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Tu co\"/>
    </mc:Choice>
  </mc:AlternateContent>
  <bookViews>
    <workbookView xWindow="-15" yWindow="60" windowWidth="7680" windowHeight="1095" tabRatio="751" firstSheet="2" activeTab="4"/>
  </bookViews>
  <sheets>
    <sheet name="CN  (2)" sheetId="38" state="hidden" r:id="rId1"/>
    <sheet name="GDQP" sheetId="39" state="hidden" r:id="rId2"/>
    <sheet name="ND 111" sheetId="37" r:id="rId3"/>
    <sheet name="Y tế" sheetId="33" state="hidden" r:id="rId4"/>
    <sheet name="CN " sheetId="18" r:id="rId5"/>
    <sheet name="BĐC T09-23" sheetId="12" r:id="rId6"/>
    <sheet name="BHXH" sheetId="34" state="hidden" r:id="rId7"/>
    <sheet name="Thu viec CN" sheetId="3" r:id="rId8"/>
    <sheet name="Moi" sheetId="35" r:id="rId9"/>
    <sheet name="Sheet1" sheetId="36" state="hidden" r:id="rId10"/>
  </sheets>
  <externalReferences>
    <externalReference r:id="rId11"/>
    <externalReference r:id="rId12"/>
  </externalReferences>
  <definedNames>
    <definedName name="_xlnm._FilterDatabase" localSheetId="4" hidden="1">'CN '!$A$12:$AM$67</definedName>
    <definedName name="_xlnm._FilterDatabase" localSheetId="0" hidden="1">'CN  (2)'!$A$12:$AN$62</definedName>
    <definedName name="_xlnm._FilterDatabase" localSheetId="1" hidden="1">GDQP!$A$12:$AM$69</definedName>
    <definedName name="_xlnm._FilterDatabase" localSheetId="8" hidden="1">Moi!$A$12:$AL$14</definedName>
    <definedName name="_xlnm._FilterDatabase" localSheetId="2" hidden="1">'ND 111'!$A$12:$AD$21</definedName>
    <definedName name="_xlnm._FilterDatabase" localSheetId="3" hidden="1">'Y tế'!$A$12:$AL$14</definedName>
    <definedName name="_xlnm.Print_Titles" localSheetId="5">'BĐC T09-23'!$7:$8</definedName>
    <definedName name="_xlnm.Print_Titles" localSheetId="6">BHXH!$7:$7</definedName>
    <definedName name="_xlnm.Print_Titles" localSheetId="4">'CN '!$10:$11</definedName>
    <definedName name="_xlnm.Print_Titles" localSheetId="0">'CN  (2)'!$10:$11</definedName>
    <definedName name="_xlnm.Print_Titles" localSheetId="1">GDQP!$10:$11</definedName>
    <definedName name="_xlnm.Print_Titles" localSheetId="8">Moi!$10:$11</definedName>
    <definedName name="_xlnm.Print_Titles" localSheetId="2">'ND 111'!$10:$11</definedName>
    <definedName name="_xlnm.Print_Titles" localSheetId="3">'Y tế'!$10:$11</definedName>
  </definedNames>
  <calcPr calcId="162913"/>
</workbook>
</file>

<file path=xl/calcChain.xml><?xml version="1.0" encoding="utf-8"?>
<calcChain xmlns="http://schemas.openxmlformats.org/spreadsheetml/2006/main">
  <c r="K13" i="3" l="1"/>
  <c r="AA67" i="18" l="1"/>
  <c r="U67" i="18"/>
  <c r="E38" i="18" l="1"/>
  <c r="L38" i="18"/>
  <c r="Q38" i="18" s="1"/>
  <c r="AB38" i="18"/>
  <c r="R19" i="18"/>
  <c r="Q19" i="18"/>
  <c r="L19" i="18"/>
  <c r="N19" i="18" s="1"/>
  <c r="P19" i="18" l="1"/>
  <c r="N38" i="18"/>
  <c r="P38" i="18" s="1"/>
  <c r="S38" i="18"/>
  <c r="U38" i="18" s="1"/>
  <c r="R38" i="18"/>
  <c r="S19" i="18"/>
  <c r="U19" i="18" s="1"/>
  <c r="AA19" i="18" s="1"/>
  <c r="AA38" i="18" l="1"/>
  <c r="I67" i="18"/>
  <c r="L18" i="18" l="1"/>
  <c r="N18" i="18" s="1"/>
  <c r="L65" i="18"/>
  <c r="S65" i="18" s="1"/>
  <c r="J14" i="3"/>
  <c r="H14" i="3"/>
  <c r="G14" i="3"/>
  <c r="K14" i="3"/>
  <c r="R65" i="18" l="1"/>
  <c r="N65" i="18"/>
  <c r="P18" i="18"/>
  <c r="R18" i="18"/>
  <c r="Q18" i="18"/>
  <c r="S18" i="18"/>
  <c r="P65" i="18"/>
  <c r="Q65" i="18"/>
  <c r="U65" i="18" s="1"/>
  <c r="AA65" i="18" s="1"/>
  <c r="AB43" i="18"/>
  <c r="AB44" i="18"/>
  <c r="K21" i="18"/>
  <c r="U18" i="18" l="1"/>
  <c r="AA18" i="18" s="1"/>
  <c r="AB37" i="18"/>
  <c r="L37" i="18" l="1"/>
  <c r="Q37" i="18" s="1"/>
  <c r="R37" i="18" l="1"/>
  <c r="N37" i="18"/>
  <c r="P37" i="18" s="1"/>
  <c r="S37" i="18"/>
  <c r="AB58" i="18"/>
  <c r="AB59" i="18"/>
  <c r="AB49" i="18"/>
  <c r="AB50" i="18"/>
  <c r="AB51" i="18"/>
  <c r="L50" i="18"/>
  <c r="N50" i="18" s="1"/>
  <c r="P50" i="18" s="1"/>
  <c r="AB60" i="18"/>
  <c r="AB61" i="18"/>
  <c r="L43" i="18"/>
  <c r="N43" i="18" s="1"/>
  <c r="L59" i="18"/>
  <c r="S59" i="18" s="1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AB36" i="18"/>
  <c r="AB39" i="18"/>
  <c r="L36" i="18"/>
  <c r="Q36" i="18" s="1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AB64" i="18"/>
  <c r="L64" i="18"/>
  <c r="Q64" i="18" s="1"/>
  <c r="Z67" i="18"/>
  <c r="Y67" i="18"/>
  <c r="X67" i="18"/>
  <c r="W67" i="18"/>
  <c r="V67" i="18"/>
  <c r="T67" i="18"/>
  <c r="O67" i="18"/>
  <c r="H67" i="18"/>
  <c r="Y21" i="37"/>
  <c r="X21" i="37"/>
  <c r="W21" i="37"/>
  <c r="V21" i="37"/>
  <c r="T21" i="37"/>
  <c r="O21" i="37"/>
  <c r="J21" i="37"/>
  <c r="I21" i="37"/>
  <c r="H21" i="37"/>
  <c r="AB20" i="37"/>
  <c r="L20" i="37"/>
  <c r="AB19" i="37"/>
  <c r="L19" i="37"/>
  <c r="AB18" i="37"/>
  <c r="L18" i="37"/>
  <c r="S18" i="37" s="1"/>
  <c r="AB17" i="37"/>
  <c r="L17" i="37"/>
  <c r="S17" i="37" s="1"/>
  <c r="K21" i="37"/>
  <c r="AB16" i="37"/>
  <c r="L16" i="37"/>
  <c r="Q16" i="37" s="1"/>
  <c r="E16" i="37"/>
  <c r="AB15" i="37"/>
  <c r="L15" i="37"/>
  <c r="R15" i="37" s="1"/>
  <c r="F15" i="37"/>
  <c r="AB14" i="37"/>
  <c r="L14" i="37"/>
  <c r="N14" i="37" s="1"/>
  <c r="P14" i="37" s="1"/>
  <c r="F14" i="37"/>
  <c r="AB13" i="37"/>
  <c r="L13" i="37"/>
  <c r="S13" i="37" s="1"/>
  <c r="E13" i="37"/>
  <c r="L39" i="18"/>
  <c r="Q39" i="18" s="1"/>
  <c r="AB28" i="18"/>
  <c r="AB16" i="18"/>
  <c r="AB14" i="18"/>
  <c r="AB13" i="18"/>
  <c r="AB21" i="18"/>
  <c r="AB22" i="18"/>
  <c r="AB34" i="18"/>
  <c r="AB29" i="18"/>
  <c r="AB40" i="18"/>
  <c r="AB27" i="18"/>
  <c r="AB23" i="18"/>
  <c r="AB26" i="18"/>
  <c r="AB63" i="18"/>
  <c r="AB47" i="18"/>
  <c r="AB15" i="18"/>
  <c r="AB56" i="18"/>
  <c r="AB55" i="18"/>
  <c r="AB30" i="18"/>
  <c r="AB52" i="18"/>
  <c r="AB25" i="18"/>
  <c r="AB62" i="18"/>
  <c r="AB31" i="18"/>
  <c r="AB53" i="18"/>
  <c r="AB54" i="18"/>
  <c r="AB32" i="18"/>
  <c r="AB66" i="18"/>
  <c r="AB45" i="18"/>
  <c r="AB57" i="18"/>
  <c r="AB41" i="18"/>
  <c r="AB33" i="18"/>
  <c r="AB35" i="18"/>
  <c r="AB17" i="18"/>
  <c r="AB48" i="18"/>
  <c r="AB20" i="18"/>
  <c r="AB42" i="18"/>
  <c r="K34" i="18"/>
  <c r="L22" i="18"/>
  <c r="Q22" i="18" s="1"/>
  <c r="L21" i="18"/>
  <c r="S21" i="18" s="1"/>
  <c r="L42" i="18"/>
  <c r="Q42" i="18" s="1"/>
  <c r="F27" i="18"/>
  <c r="F14" i="18"/>
  <c r="F16" i="18"/>
  <c r="F28" i="18"/>
  <c r="L20" i="18"/>
  <c r="R20" i="18" s="1"/>
  <c r="G15" i="36"/>
  <c r="F15" i="36"/>
  <c r="H14" i="36"/>
  <c r="H15" i="36"/>
  <c r="W14" i="35"/>
  <c r="X14" i="35"/>
  <c r="Y14" i="35"/>
  <c r="V14" i="35"/>
  <c r="T14" i="35"/>
  <c r="O14" i="35"/>
  <c r="J14" i="35"/>
  <c r="K14" i="35"/>
  <c r="I14" i="35"/>
  <c r="L35" i="18"/>
  <c r="S35" i="18" s="1"/>
  <c r="L17" i="18"/>
  <c r="R17" i="18" s="1"/>
  <c r="L61" i="18"/>
  <c r="R61" i="18" s="1"/>
  <c r="L48" i="18"/>
  <c r="Q48" i="18" s="1"/>
  <c r="L33" i="18"/>
  <c r="Q33" i="18" s="1"/>
  <c r="L57" i="18"/>
  <c r="A28" i="36"/>
  <c r="O11" i="36"/>
  <c r="L41" i="18"/>
  <c r="Q41" i="18" s="1"/>
  <c r="L13" i="35"/>
  <c r="AG6" i="35"/>
  <c r="AG9" i="35" s="1"/>
  <c r="AF6" i="35"/>
  <c r="AF4" i="35"/>
  <c r="L45" i="18"/>
  <c r="L66" i="18"/>
  <c r="N66" i="18" s="1"/>
  <c r="L32" i="18"/>
  <c r="Q32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J67" i="18"/>
  <c r="L46" i="18"/>
  <c r="S46" i="18" s="1"/>
  <c r="L28" i="18"/>
  <c r="N28" i="18" s="1"/>
  <c r="P28" i="18" s="1"/>
  <c r="L16" i="18"/>
  <c r="S16" i="18" s="1"/>
  <c r="L14" i="18"/>
  <c r="N14" i="18" s="1"/>
  <c r="P14" i="18" s="1"/>
  <c r="L13" i="18"/>
  <c r="L29" i="18"/>
  <c r="Q29" i="18" s="1"/>
  <c r="L40" i="18"/>
  <c r="N40" i="18" s="1"/>
  <c r="P40" i="18" s="1"/>
  <c r="L49" i="18"/>
  <c r="L27" i="18"/>
  <c r="N27" i="18" s="1"/>
  <c r="P27" i="18" s="1"/>
  <c r="L23" i="18"/>
  <c r="S23" i="18" s="1"/>
  <c r="L26" i="18"/>
  <c r="R26" i="18" s="1"/>
  <c r="L47" i="18"/>
  <c r="N47" i="18" s="1"/>
  <c r="P47" i="18" s="1"/>
  <c r="L15" i="18"/>
  <c r="N15" i="18" s="1"/>
  <c r="P15" i="18" s="1"/>
  <c r="L56" i="18"/>
  <c r="R56" i="18" s="1"/>
  <c r="L55" i="18"/>
  <c r="R55" i="18" s="1"/>
  <c r="L44" i="18"/>
  <c r="Q44" i="18" s="1"/>
  <c r="L30" i="18"/>
  <c r="R30" i="18" s="1"/>
  <c r="L52" i="18"/>
  <c r="R52" i="18" s="1"/>
  <c r="L25" i="18"/>
  <c r="R25" i="18" s="1"/>
  <c r="L62" i="18"/>
  <c r="R62" i="18" s="1"/>
  <c r="L60" i="18"/>
  <c r="N60" i="18" s="1"/>
  <c r="L31" i="18"/>
  <c r="Q31" i="18" s="1"/>
  <c r="L53" i="18"/>
  <c r="S53" i="18" s="1"/>
  <c r="L54" i="18"/>
  <c r="N54" i="18" s="1"/>
  <c r="L58" i="18"/>
  <c r="Q58" i="18" s="1"/>
  <c r="L51" i="18"/>
  <c r="Q51" i="18" s="1"/>
  <c r="L24" i="18"/>
  <c r="R24" i="18" s="1"/>
  <c r="K63" i="18"/>
  <c r="L63" i="18" s="1"/>
  <c r="S63" i="18" s="1"/>
  <c r="E40" i="18"/>
  <c r="E49" i="18"/>
  <c r="E26" i="18"/>
  <c r="E56" i="18"/>
  <c r="E55" i="18"/>
  <c r="E30" i="18"/>
  <c r="E52" i="18"/>
  <c r="E25" i="18"/>
  <c r="E62" i="18"/>
  <c r="E60" i="18"/>
  <c r="E31" i="18"/>
  <c r="E53" i="18"/>
  <c r="E54" i="18"/>
  <c r="E58" i="18"/>
  <c r="E51" i="18"/>
  <c r="AD24" i="18"/>
  <c r="AD46" i="18" s="1"/>
  <c r="I14" i="3"/>
  <c r="AG4" i="18"/>
  <c r="AG6" i="18"/>
  <c r="AG9" i="18" s="1"/>
  <c r="AH6" i="18"/>
  <c r="AH9" i="18" s="1"/>
  <c r="AB24" i="18"/>
  <c r="AB46" i="18"/>
  <c r="AF23" i="18"/>
  <c r="AD30" i="18"/>
  <c r="AE25" i="18"/>
  <c r="AE71" i="18"/>
  <c r="U15" i="18"/>
  <c r="U66" i="18"/>
  <c r="Q14" i="37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Q40" i="1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AF9" i="35"/>
  <c r="AF7" i="35"/>
  <c r="AF8" i="35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Q61" i="18"/>
  <c r="R57" i="18"/>
  <c r="R40" i="18"/>
  <c r="R19" i="37"/>
  <c r="R18" i="37"/>
  <c r="N15" i="37"/>
  <c r="N13" i="37"/>
  <c r="P13" i="37" s="1"/>
  <c r="Q13" i="37"/>
  <c r="R13" i="37"/>
  <c r="Q59" i="18"/>
  <c r="R16" i="18"/>
  <c r="Q16" i="18"/>
  <c r="N16" i="18"/>
  <c r="P16" i="18" s="1"/>
  <c r="S40" i="18"/>
  <c r="N25" i="18"/>
  <c r="P25" i="18" s="1"/>
  <c r="L21" i="37"/>
  <c r="N20" i="18"/>
  <c r="P20" i="18" s="1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50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R35" i="18"/>
  <c r="N48" i="18" l="1"/>
  <c r="P48" i="18" s="1"/>
  <c r="Q13" i="35"/>
  <c r="R13" i="35"/>
  <c r="R14" i="35" s="1"/>
  <c r="S13" i="35"/>
  <c r="N13" i="35"/>
  <c r="N14" i="35" s="1"/>
  <c r="L14" i="35"/>
  <c r="S16" i="37"/>
  <c r="N16" i="37"/>
  <c r="P16" i="37" s="1"/>
  <c r="S14" i="37"/>
  <c r="R14" i="37"/>
  <c r="U14" i="37" s="1"/>
  <c r="AA14" i="37" s="1"/>
  <c r="N46" i="18"/>
  <c r="P46" i="18" s="1"/>
  <c r="R16" i="37"/>
  <c r="P15" i="37"/>
  <c r="S15" i="37"/>
  <c r="U15" i="37" s="1"/>
  <c r="AA15" i="37" s="1"/>
  <c r="S20" i="18"/>
  <c r="S61" i="18"/>
  <c r="U61" i="18" s="1"/>
  <c r="AA61" i="18" s="1"/>
  <c r="S56" i="18"/>
  <c r="Q52" i="18"/>
  <c r="S52" i="18"/>
  <c r="N61" i="18"/>
  <c r="P61" i="18" s="1"/>
  <c r="Q55" i="18"/>
  <c r="Q43" i="18"/>
  <c r="N35" i="18"/>
  <c r="P35" i="18" s="1"/>
  <c r="N24" i="18"/>
  <c r="P24" i="18" s="1"/>
  <c r="Q46" i="18"/>
  <c r="R46" i="18"/>
  <c r="S36" i="18"/>
  <c r="R63" i="18"/>
  <c r="N39" i="18"/>
  <c r="P39" i="18" s="1"/>
  <c r="S31" i="18"/>
  <c r="P43" i="18"/>
  <c r="N63" i="18"/>
  <c r="P63" i="18" s="1"/>
  <c r="N32" i="18"/>
  <c r="P32" i="18" s="1"/>
  <c r="R42" i="18"/>
  <c r="N33" i="18"/>
  <c r="P33" i="18" s="1"/>
  <c r="R32" i="18"/>
  <c r="N42" i="18"/>
  <c r="P42" i="18" s="1"/>
  <c r="S32" i="18"/>
  <c r="R43" i="18"/>
  <c r="N36" i="18"/>
  <c r="P36" i="18" s="1"/>
  <c r="R36" i="18"/>
  <c r="R45" i="18"/>
  <c r="S64" i="18"/>
  <c r="Q21" i="18"/>
  <c r="Q13" i="18"/>
  <c r="K67" i="18"/>
  <c r="U40" i="18"/>
  <c r="AA40" i="18" s="1"/>
  <c r="AG7" i="18"/>
  <c r="AG8" i="18" s="1"/>
  <c r="AG10" i="18" s="1"/>
  <c r="AG11" i="18" s="1"/>
  <c r="N49" i="18"/>
  <c r="P49" i="18" s="1"/>
  <c r="S49" i="18"/>
  <c r="R49" i="18"/>
  <c r="Q49" i="18"/>
  <c r="S50" i="18"/>
  <c r="Q50" i="18"/>
  <c r="U50" i="18" s="1"/>
  <c r="AA50" i="18" s="1"/>
  <c r="U37" i="18"/>
  <c r="AA37" i="18" s="1"/>
  <c r="N20" i="37"/>
  <c r="P20" i="37" s="1"/>
  <c r="S20" i="37"/>
  <c r="Q35" i="18"/>
  <c r="U35" i="18" s="1"/>
  <c r="AA35" i="18" s="1"/>
  <c r="N53" i="18"/>
  <c r="P53" i="18" s="1"/>
  <c r="L34" i="18"/>
  <c r="Q34" i="18" s="1"/>
  <c r="S44" i="18"/>
  <c r="S25" i="18"/>
  <c r="S45" i="18"/>
  <c r="N13" i="18"/>
  <c r="P13" i="18" s="1"/>
  <c r="Q17" i="18"/>
  <c r="S47" i="18"/>
  <c r="N44" i="18"/>
  <c r="P44" i="18" s="1"/>
  <c r="N64" i="18"/>
  <c r="P64" i="18" s="1"/>
  <c r="AH7" i="18"/>
  <c r="AH8" i="18" s="1"/>
  <c r="AH10" i="18" s="1"/>
  <c r="AH11" i="18" s="1"/>
  <c r="R39" i="18"/>
  <c r="N17" i="18"/>
  <c r="P17" i="18" s="1"/>
  <c r="S24" i="18"/>
  <c r="Q24" i="18"/>
  <c r="R44" i="18"/>
  <c r="AA15" i="18"/>
  <c r="R53" i="18"/>
  <c r="Q25" i="18"/>
  <c r="Q45" i="18"/>
  <c r="S17" i="18"/>
  <c r="N45" i="18"/>
  <c r="P45" i="18" s="1"/>
  <c r="R64" i="18"/>
  <c r="U64" i="18" s="1"/>
  <c r="S39" i="18"/>
  <c r="Q53" i="18"/>
  <c r="N23" i="18"/>
  <c r="P23" i="18" s="1"/>
  <c r="R23" i="18"/>
  <c r="Q23" i="18"/>
  <c r="N62" i="18"/>
  <c r="P62" i="18" s="1"/>
  <c r="S55" i="18"/>
  <c r="S54" i="18"/>
  <c r="R54" i="18"/>
  <c r="P54" i="18"/>
  <c r="N52" i="18"/>
  <c r="P52" i="18" s="1"/>
  <c r="U13" i="37"/>
  <c r="AA13" i="37" s="1"/>
  <c r="Q20" i="37"/>
  <c r="R20" i="37"/>
  <c r="N18" i="37"/>
  <c r="P18" i="37" s="1"/>
  <c r="Q18" i="37"/>
  <c r="U18" i="37" s="1"/>
  <c r="R58" i="18"/>
  <c r="S58" i="18"/>
  <c r="Q27" i="18"/>
  <c r="Q30" i="18"/>
  <c r="N51" i="18"/>
  <c r="P51" i="18" s="1"/>
  <c r="Q56" i="18"/>
  <c r="P66" i="18"/>
  <c r="AA66" i="18" s="1"/>
  <c r="S51" i="18"/>
  <c r="S33" i="18"/>
  <c r="S28" i="18"/>
  <c r="N31" i="18"/>
  <c r="P31" i="18" s="1"/>
  <c r="R47" i="18"/>
  <c r="N21" i="18"/>
  <c r="P21" i="18" s="1"/>
  <c r="R28" i="18"/>
  <c r="Q63" i="18"/>
  <c r="Q28" i="18"/>
  <c r="R33" i="18"/>
  <c r="U33" i="18" s="1"/>
  <c r="Q20" i="18"/>
  <c r="S13" i="18"/>
  <c r="S43" i="18"/>
  <c r="Q47" i="18"/>
  <c r="N55" i="18"/>
  <c r="P55" i="18" s="1"/>
  <c r="S48" i="18"/>
  <c r="R31" i="18"/>
  <c r="R48" i="18"/>
  <c r="N58" i="18"/>
  <c r="P58" i="18" s="1"/>
  <c r="Q62" i="18"/>
  <c r="N30" i="18"/>
  <c r="P30" i="18" s="1"/>
  <c r="S30" i="18"/>
  <c r="R21" i="18"/>
  <c r="R59" i="18"/>
  <c r="U59" i="18" s="1"/>
  <c r="N56" i="18"/>
  <c r="P56" i="18" s="1"/>
  <c r="Q54" i="18"/>
  <c r="S62" i="18"/>
  <c r="AA20" i="39"/>
  <c r="AA67" i="39"/>
  <c r="AF10" i="35"/>
  <c r="AF11" i="35" s="1"/>
  <c r="N14" i="33"/>
  <c r="P13" i="33"/>
  <c r="AA21" i="39"/>
  <c r="AA17" i="39"/>
  <c r="S60" i="18"/>
  <c r="Q60" i="18"/>
  <c r="S26" i="18"/>
  <c r="Q26" i="18"/>
  <c r="N26" i="18"/>
  <c r="P26" i="18" s="1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U16" i="18"/>
  <c r="AA16" i="18" s="1"/>
  <c r="AA56" i="39"/>
  <c r="V27" i="38"/>
  <c r="AB27" i="38" s="1"/>
  <c r="AB25" i="38"/>
  <c r="AA60" i="39"/>
  <c r="AA28" i="39"/>
  <c r="AA40" i="39"/>
  <c r="Q58" i="39"/>
  <c r="U58" i="39" s="1"/>
  <c r="AA38" i="39"/>
  <c r="P60" i="18"/>
  <c r="R60" i="18"/>
  <c r="AB34" i="38"/>
  <c r="AA26" i="39"/>
  <c r="AA25" i="39"/>
  <c r="V25" i="38"/>
  <c r="AB44" i="38"/>
  <c r="AA16" i="39"/>
  <c r="AA49" i="39"/>
  <c r="V22" i="38"/>
  <c r="R29" i="18"/>
  <c r="N29" i="18"/>
  <c r="P29" i="18" s="1"/>
  <c r="S29" i="18"/>
  <c r="R41" i="18"/>
  <c r="S41" i="18"/>
  <c r="N41" i="18"/>
  <c r="P41" i="18" s="1"/>
  <c r="Q17" i="37"/>
  <c r="N17" i="37"/>
  <c r="P17" i="37" s="1"/>
  <c r="R17" i="37"/>
  <c r="N19" i="37"/>
  <c r="P19" i="37" s="1"/>
  <c r="S19" i="37"/>
  <c r="Q19" i="37"/>
  <c r="AI9" i="38"/>
  <c r="AI8" i="38"/>
  <c r="N22" i="18"/>
  <c r="P22" i="18" s="1"/>
  <c r="S22" i="18"/>
  <c r="R22" i="18"/>
  <c r="U16" i="37"/>
  <c r="AA16" i="37" s="1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51" i="18"/>
  <c r="R14" i="18"/>
  <c r="Q14" i="18"/>
  <c r="S14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AG7" i="35"/>
  <c r="AG8" i="35" s="1"/>
  <c r="AG10" i="35" s="1"/>
  <c r="AG11" i="35" s="1"/>
  <c r="S27" i="18"/>
  <c r="R27" i="18"/>
  <c r="S57" i="18"/>
  <c r="Q57" i="18"/>
  <c r="N57" i="18"/>
  <c r="P57" i="18" s="1"/>
  <c r="S42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N59" i="18"/>
  <c r="P59" i="18" s="1"/>
  <c r="R13" i="18"/>
  <c r="U63" i="18" l="1"/>
  <c r="AA63" i="18" s="1"/>
  <c r="U52" i="18"/>
  <c r="U20" i="18"/>
  <c r="AA20" i="18" s="1"/>
  <c r="U36" i="18"/>
  <c r="AA36" i="18" s="1"/>
  <c r="U55" i="18"/>
  <c r="P13" i="35"/>
  <c r="U46" i="18"/>
  <c r="AA46" i="18" s="1"/>
  <c r="U56" i="18"/>
  <c r="U25" i="18"/>
  <c r="U17" i="18"/>
  <c r="AA17" i="18" s="1"/>
  <c r="U32" i="18"/>
  <c r="AA32" i="18" s="1"/>
  <c r="S21" i="37"/>
  <c r="AA18" i="37"/>
  <c r="U42" i="18"/>
  <c r="AA42" i="18" s="1"/>
  <c r="U21" i="18"/>
  <c r="S34" i="18"/>
  <c r="S67" i="18" s="1"/>
  <c r="L67" i="18"/>
  <c r="AA55" i="18"/>
  <c r="AA56" i="18"/>
  <c r="U44" i="18"/>
  <c r="AA44" i="18" s="1"/>
  <c r="U31" i="18"/>
  <c r="U30" i="18"/>
  <c r="AA30" i="18" s="1"/>
  <c r="U13" i="35"/>
  <c r="Q14" i="35"/>
  <c r="U43" i="18"/>
  <c r="AA43" i="18" s="1"/>
  <c r="AA33" i="18"/>
  <c r="U51" i="18"/>
  <c r="AA51" i="18" s="1"/>
  <c r="AA64" i="18"/>
  <c r="U45" i="18"/>
  <c r="AA45" i="18" s="1"/>
  <c r="U58" i="18"/>
  <c r="AA58" i="18" s="1"/>
  <c r="AA21" i="18"/>
  <c r="N34" i="18"/>
  <c r="P34" i="18" s="1"/>
  <c r="P67" i="18" s="1"/>
  <c r="R34" i="18"/>
  <c r="U28" i="18"/>
  <c r="AA28" i="18" s="1"/>
  <c r="U53" i="18"/>
  <c r="AA53" i="18" s="1"/>
  <c r="U48" i="18"/>
  <c r="AA48" i="18" s="1"/>
  <c r="U24" i="18"/>
  <c r="AA24" i="18" s="1"/>
  <c r="U49" i="18"/>
  <c r="AA49" i="18" s="1"/>
  <c r="Q67" i="18"/>
  <c r="R21" i="37"/>
  <c r="U41" i="18"/>
  <c r="AA41" i="18" s="1"/>
  <c r="U54" i="18"/>
  <c r="AA54" i="18" s="1"/>
  <c r="AA52" i="18"/>
  <c r="U22" i="18"/>
  <c r="AA22" i="18" s="1"/>
  <c r="U23" i="18"/>
  <c r="AA23" i="18" s="1"/>
  <c r="U39" i="18"/>
  <c r="AA39" i="18" s="1"/>
  <c r="U62" i="18"/>
  <c r="AA62" i="18" s="1"/>
  <c r="U47" i="18"/>
  <c r="AA47" i="18" s="1"/>
  <c r="AA25" i="18"/>
  <c r="U20" i="37"/>
  <c r="AA20" i="37" s="1"/>
  <c r="N21" i="37"/>
  <c r="AA59" i="18"/>
  <c r="AA31" i="18"/>
  <c r="U27" i="18"/>
  <c r="AA27" i="18" s="1"/>
  <c r="U29" i="18"/>
  <c r="AA29" i="18" s="1"/>
  <c r="AA53" i="39"/>
  <c r="P35" i="39"/>
  <c r="AA35" i="39" s="1"/>
  <c r="N69" i="39"/>
  <c r="O62" i="38"/>
  <c r="S69" i="39"/>
  <c r="U14" i="18"/>
  <c r="AA14" i="18" s="1"/>
  <c r="V38" i="38"/>
  <c r="AB38" i="38" s="1"/>
  <c r="U19" i="37"/>
  <c r="AA19" i="37" s="1"/>
  <c r="U26" i="18"/>
  <c r="AA26" i="18" s="1"/>
  <c r="AB14" i="38"/>
  <c r="Q62" i="38"/>
  <c r="U13" i="33"/>
  <c r="U14" i="33" s="1"/>
  <c r="R14" i="33"/>
  <c r="AB37" i="38"/>
  <c r="P21" i="37"/>
  <c r="U13" i="18"/>
  <c r="AB54" i="38"/>
  <c r="U22" i="39"/>
  <c r="Q69" i="39"/>
  <c r="V56" i="38"/>
  <c r="AH10" i="39"/>
  <c r="AH11" i="39" s="1"/>
  <c r="Q21" i="37"/>
  <c r="U17" i="37"/>
  <c r="P69" i="39"/>
  <c r="V62" i="38"/>
  <c r="U60" i="18"/>
  <c r="AA60" i="18" s="1"/>
  <c r="P14" i="33"/>
  <c r="Z13" i="33"/>
  <c r="Z14" i="33" s="1"/>
  <c r="AB59" i="38"/>
  <c r="V24" i="38"/>
  <c r="AB24" i="38" s="1"/>
  <c r="S62" i="38"/>
  <c r="V36" i="38"/>
  <c r="AB36" i="38" s="1"/>
  <c r="U57" i="18"/>
  <c r="AA57" i="18" s="1"/>
  <c r="U69" i="39"/>
  <c r="AA22" i="39"/>
  <c r="AB56" i="38"/>
  <c r="AI10" i="38"/>
  <c r="AI11" i="38" s="1"/>
  <c r="AA13" i="39"/>
  <c r="AA69" i="39" s="1"/>
  <c r="AB13" i="38"/>
  <c r="S14" i="35" l="1"/>
  <c r="P14" i="35"/>
  <c r="U34" i="18"/>
  <c r="AA34" i="18" s="1"/>
  <c r="R67" i="18"/>
  <c r="Z13" i="35"/>
  <c r="Z14" i="35" s="1"/>
  <c r="U14" i="35"/>
  <c r="N67" i="18"/>
  <c r="U21" i="37"/>
  <c r="AA17" i="37"/>
  <c r="AA21" i="37" s="1"/>
  <c r="AB62" i="38"/>
  <c r="AA13" i="18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KimAnh</author>
    <author>user</author>
    <author>Admin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01/6/2020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5.xml><?xml version="1.0" encoding="utf-8"?>
<comments xmlns="http://schemas.openxmlformats.org/spreadsheetml/2006/main">
  <authors>
    <author>Admin</author>
    <author>user</author>
    <author>Windows 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D2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I22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2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
- 57% từ 01/7/2023</t>
        </r>
      </text>
    </comment>
    <comment ref="K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D38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40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4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46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47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H49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5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5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D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5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01/8/2023</t>
        </r>
      </text>
    </comment>
    <comment ref="S55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H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6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61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6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</t>
        </r>
      </text>
    </comment>
    <comment ref="K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64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66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<sst xmlns="http://schemas.openxmlformats.org/spreadsheetml/2006/main" count="1541" uniqueCount="443">
  <si>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</si>
  <si>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</si>
  <si>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</si>
  <si>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</si>
  <si>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</si>
  <si>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</si>
  <si>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</si>
  <si>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</si>
  <si>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</si>
  <si>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</si>
  <si>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</si>
  <si>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</si>
  <si>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</si>
  <si>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</si>
  <si>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</si>
  <si>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</si>
  <si>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</si>
  <si>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</si>
  <si>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</si>
  <si>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</si>
  <si>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</si>
  <si>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</si>
  <si>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</si>
  <si>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</si>
  <si>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</si>
  <si>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</si>
  <si>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</si>
  <si>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</si>
  <si>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</si>
  <si>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</si>
  <si>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</si>
  <si>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</si>
  <si>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</si>
  <si>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</si>
  <si>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</si>
  <si>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</si>
  <si>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</si>
  <si>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</si>
  <si>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</si>
  <si>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</si>
  <si>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</si>
  <si>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</si>
  <si>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</si>
  <si>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</si>
  <si>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</si>
  <si>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</si>
  <si>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</si>
  <si>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</si>
  <si>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</si>
  <si>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</si>
  <si>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</si>
  <si>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</si>
  <si>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</si>
  <si>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</si>
  <si>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</si>
  <si>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</si>
  <si>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</si>
  <si>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</si>
  <si>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</si>
  <si>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</si>
  <si>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</si>
  <si>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</si>
  <si>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</si>
  <si>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</si>
  <si>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</si>
  <si>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</si>
  <si>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</si>
  <si>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</si>
  <si>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</si>
  <si>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</si>
  <si>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</si>
  <si>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</si>
  <si>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</si>
  <si>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</si>
  <si>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</si>
  <si>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</si>
  <si>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</si>
  <si>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</si>
  <si>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TUẤN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</si>
  <si>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</si>
  <si>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</si>
  <si>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</si>
  <si>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</si>
  <si>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</si>
  <si>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</si>
  <si>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</si>
  <si>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</si>
  <si>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</si>
  <si>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</si>
  <si>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</si>
  <si>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</si>
  <si>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</si>
  <si>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</si>
  <si>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</si>
  <si>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</si>
  <si>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</si>
  <si>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</si>
  <si>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</si>
  <si>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</si>
  <si>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</si>
  <si>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</si>
  <si>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</si>
  <si>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</si>
  <si>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</si>
  <si>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</si>
  <si>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</si>
  <si>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</si>
  <si>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</si>
  <si>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</si>
  <si>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</si>
  <si>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</si>
  <si>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</si>
  <si>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</si>
  <si>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</si>
  <si>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</si>
  <si>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</si>
  <si>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</si>
  <si>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</si>
  <si>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</si>
  <si>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</si>
  <si>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</si>
  <si>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</si>
  <si>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</si>
  <si>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</si>
  <si>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</si>
  <si>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</si>
  <si>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</si>
  <si>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</si>
  <si>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</si>
  <si>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</si>
  <si>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</si>
  <si>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</si>
  <si>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</si>
  <si>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</si>
  <si>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</si>
  <si>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</si>
  <si>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</si>
  <si>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</si>
  <si>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</si>
  <si>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</si>
  <si>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</si>
  <si>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</si>
  <si>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</si>
  <si>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</si>
  <si>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</si>
  <si>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</si>
  <si>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</si>
  <si>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</si>
  <si>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</si>
  <si>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</si>
  <si>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</si>
  <si>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</si>
  <si>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</si>
  <si>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</si>
  <si>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</si>
  <si>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</si>
  <si>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</si>
  <si>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</si>
  <si>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</si>
  <si>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</si>
  <si>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</si>
  <si>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</si>
  <si>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</si>
  <si>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</si>
  <si>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</si>
  <si>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</si>
  <si>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</si>
  <si>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</si>
  <si>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</si>
  <si>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</si>
  <si>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</si>
  <si>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</si>
  <si>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</si>
  <si>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</si>
  <si>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</si>
  <si>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</si>
  <si>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</si>
  <si>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</si>
  <si>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</si>
  <si>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</si>
  <si>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</si>
  <si>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</si>
  <si>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</si>
  <si>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</si>
  <si>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</si>
  <si>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</si>
  <si>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</si>
  <si>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</si>
  <si>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</si>
  <si>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</si>
  <si>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</si>
  <si>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</si>
  <si>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</si>
  <si>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</si>
  <si>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</si>
  <si>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</si>
  <si>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</si>
  <si>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</si>
  <si>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</si>
  <si>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</si>
  <si>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</si>
  <si>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</si>
  <si>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</si>
  <si>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</si>
  <si>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</si>
  <si>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</si>
  <si>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</si>
  <si>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</si>
  <si>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</si>
  <si>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</si>
  <si>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</si>
  <si>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</si>
  <si>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</si>
  <si>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</si>
  <si>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</si>
  <si>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</si>
  <si>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</si>
  <si>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</si>
  <si>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</si>
  <si>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</si>
  <si>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</si>
  <si>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</si>
  <si>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</si>
  <si>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</si>
  <si>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</si>
  <si>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</si>
  <si>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CỦA NHÂN VIÊN HỢP ĐỒNG NGOÀI CHỈ TIÊU BIÊN CHẾ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</si>
  <si>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</si>
  <si>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</si>
  <si>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</si>
  <si>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</si>
  <si>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</si>
  <si>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</si>
  <si>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</si>
  <si>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</si>
  <si>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</si>
  <si>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</si>
  <si>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</si>
  <si>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</si>
  <si>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</si>
  <si>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</si>
  <si>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</si>
  <si>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</si>
  <si>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</si>
  <si>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</si>
  <si>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</si>
  <si>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</si>
  <si>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</si>
  <si>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</si>
  <si>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</si>
  <si>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</si>
  <si>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</si>
  <si>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</si>
  <si>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</si>
  <si>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</si>
  <si>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</si>
  <si>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</si>
  <si>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</si>
  <si>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</si>
  <si>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</si>
  <si>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</si>
  <si>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</si>
  <si>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</si>
  <si>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</si>
  <si>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</si>
  <si>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</si>
  <si>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</si>
  <si>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</si>
  <si>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</si>
  <si>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</si>
  <si>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</si>
  <si>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</si>
  <si>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</si>
  <si>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</si>
  <si>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</si>
  <si>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</si>
  <si>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</si>
  <si>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</si>
  <si>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</si>
  <si>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</si>
  <si>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</si>
  <si>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</si>
  <si>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</si>
  <si>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</si>
  <si>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</si>
  <si>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</si>
  <si>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</si>
  <si>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</si>
  <si>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</si>
  <si>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</si>
  <si>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</si>
  <si>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</si>
  <si>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</si>
  <si>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</si>
  <si>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</si>
  <si>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</si>
  <si>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</si>
  <si>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</si>
  <si>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</si>
  <si>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</si>
  <si>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</si>
  <si>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</si>
  <si>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</si>
  <si>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</si>
  <si>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</si>
  <si>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</si>
  <si>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</si>
  <si>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</si>
  <si>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</si>
  <si>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</si>
  <si>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</si>
  <si>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</si>
  <si>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</si>
  <si>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</si>
  <si>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</si>
  <si>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</si>
  <si>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</si>
  <si>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</si>
  <si>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</si>
  <si>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</si>
  <si>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</si>
  <si>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</si>
  <si>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</si>
  <si>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</si>
  <si>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</si>
  <si>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</si>
  <si>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</si>
  <si>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</si>
  <si>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</si>
  <si>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</si>
  <si>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</si>
  <si>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</si>
  <si>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</si>
  <si>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</si>
  <si>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</si>
  <si>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</si>
  <si>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</si>
  <si>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</si>
  <si>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</si>
  <si>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</si>
  <si>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</si>
  <si>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</si>
  <si>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</si>
  <si>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</si>
  <si>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</si>
  <si>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</si>
  <si>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</si>
  <si>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</si>
  <si>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</si>
  <si>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</si>
  <si>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</si>
  <si>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</si>
  <si>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</si>
  <si>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</si>
  <si>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</si>
  <si>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</si>
  <si>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</si>
  <si>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</si>
  <si>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</si>
  <si>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</si>
  <si>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</si>
  <si>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</si>
  <si>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</si>
  <si>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</si>
  <si>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</si>
  <si>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</si>
  <si>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</si>
  <si>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</si>
  <si>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</si>
  <si>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</si>
  <si>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</si>
  <si>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</si>
  <si>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</si>
  <si>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</si>
  <si>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</si>
  <si>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</si>
  <si>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</si>
  <si>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</si>
  <si>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</si>
  <si>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</si>
  <si>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</si>
  <si>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</si>
  <si>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</si>
  <si>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</si>
  <si>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</si>
  <si>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</si>
  <si>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</si>
  <si>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</si>
  <si>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</si>
  <si>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</si>
  <si>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</si>
  <si>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</si>
  <si>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</si>
  <si>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</si>
  <si>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</si>
  <si>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</si>
  <si>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</si>
  <si>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</si>
  <si>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</si>
  <si>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</si>
  <si>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</si>
  <si>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</si>
  <si>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</si>
  <si>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</si>
  <si>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</si>
  <si>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</si>
  <si>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</si>
  <si>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</si>
  <si>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</si>
  <si>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</si>
  <si>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</si>
  <si>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</si>
  <si>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Phòng Tổ chức - Hành chính - Tổng hợp</t>
  </si>
  <si>
    <t>Trần Thanh Cường</t>
  </si>
  <si>
    <t>HĐLĐ từ 10/07/2023</t>
  </si>
  <si>
    <t>Nguyễn Hoàng Hải</t>
  </si>
  <si>
    <t>HĐLĐ từ 10/7/2023</t>
  </si>
  <si>
    <t>Thành phố Hồ Chí Minh, ngày 01 tháng 8 năm 2022</t>
  </si>
  <si>
    <t>HĐLĐ từ 01/8/2023</t>
  </si>
  <si>
    <t>Tháng 8/2023</t>
  </si>
  <si>
    <t>TRUY LÃNH TIỀN LƯƠNG THÁNG 7 NĂM 2023</t>
  </si>
  <si>
    <t>Hai triệu tám trăm hai mươi ba ngàn sáu trăm đồng.</t>
  </si>
  <si>
    <t>HĐLĐ từ 01/9/2023</t>
  </si>
  <si>
    <t>Vũ Anh Hiếu</t>
  </si>
  <si>
    <t>HĐLĐ từ ngày 01/09/2023</t>
  </si>
  <si>
    <t>Phòng Khảo thí và Đảm bảo chất lượng</t>
  </si>
  <si>
    <t>Quyết định Nâng lương thường xuyên từ 01/09/2023</t>
  </si>
  <si>
    <t>Phòng Quản trị Dịch vụ</t>
  </si>
  <si>
    <t>05
NĐ 111</t>
  </si>
  <si>
    <t>Chuyển từ diện HĐ theo Nghị định NĐ111/2022/NĐ-CP sang hợp đồng lao động từ ngày 01/9/2023</t>
  </si>
  <si>
    <t>LÃNH TIỀN LƯƠNG THÁNG 9 NĂM 2023</t>
  </si>
  <si>
    <t>Ba mươi tám triệu năm trăm chín mươi tư ngàn hai trăm ba mươi ba đồng.</t>
  </si>
  <si>
    <t>Thành phố Hồ Chí Minh, ngày 05 tháng 9 năm 2023</t>
  </si>
  <si>
    <t>BẢNG ĐIỀU CHỈNH THAY ĐỔI LƯƠNG THÁNG 9/2023</t>
  </si>
  <si>
    <t>Tháng 9/2023</t>
  </si>
  <si>
    <t>Vũ Anh</t>
  </si>
  <si>
    <t>KHỐI CHUYÊN NGHIỆP LÃNH TIỀN LƯƠNG THỬ VIỆC THÁNG 08/2023</t>
  </si>
  <si>
    <t>HĐ Thử việc từ 25/08/2023 đến hết 31/08/2023</t>
  </si>
  <si>
    <t>Thành phố Hồ Chí Minh, ngày 05 tháng 09 năm 2023</t>
  </si>
  <si>
    <t>Phòng Thanh tra giáo dục - Công tác Sinh viên</t>
  </si>
  <si>
    <t>QĐ Số 392/QĐ-LTT-TC ngày 06/7/2023 về việc nghỉ hưu đối với bà Lê Thị Nữ từ ngày 01/9/2023. Bà Nữ không còn tên trên BL T9/2023 của Trường.</t>
  </si>
  <si>
    <t>Ba trăm mười một triệu năm trăm hai mươi chín ngàn sáu trăm ba mươi ba đồng.</t>
  </si>
  <si>
    <t>Chín trăm mười tám ngàn đồng chẵn.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</si>
</sst>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1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692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10" fillId="0" borderId="0" xfId="0" applyFont="1" applyAlignment="1">
      <alignment horizontal="center"/>
    </xf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55" fillId="0" borderId="0" xfId="0" applyFont="1"/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 applyAlignment="1"/>
    <xf numFmtId="0" fontId="6" fillId="0" borderId="0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173" fontId="5" fillId="20" borderId="8" xfId="28" applyNumberFormat="1" applyFont="1" applyFill="1" applyBorder="1" applyAlignment="1">
      <alignment horizontal="center"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NumberFormat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5" fillId="20" borderId="0" xfId="0" applyFont="1" applyFill="1" applyBorder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0" fontId="6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 applyAlignment="1"/>
    <xf numFmtId="0" fontId="5" fillId="0" borderId="0" xfId="0" applyFont="1" applyFill="1" applyAlignment="1">
      <alignment horizontal="center"/>
    </xf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5" fillId="20" borderId="0" xfId="0" applyFont="1" applyFill="1"/>
    <xf numFmtId="0" fontId="70" fillId="0" borderId="0" xfId="0" applyFont="1" applyFill="1" applyBorder="1" applyAlignment="1">
      <alignment horizontal="left" vertical="center" wrapText="1"/>
    </xf>
    <xf numFmtId="0" fontId="70" fillId="0" borderId="0" xfId="0" applyFont="1" applyFill="1" applyBorder="1" applyAlignment="1">
      <alignment horizontal="center" vertical="center" wrapText="1"/>
    </xf>
    <xf numFmtId="0" fontId="70" fillId="0" borderId="0" xfId="0" quotePrefix="1" applyFont="1" applyFill="1" applyBorder="1" applyAlignment="1">
      <alignment horizontal="center" vertical="center" wrapText="1"/>
    </xf>
    <xf numFmtId="2" fontId="70" fillId="0" borderId="0" xfId="0" applyNumberFormat="1" applyFont="1" applyFill="1" applyBorder="1" applyAlignment="1">
      <alignment horizontal="center" vertical="center" wrapText="1"/>
    </xf>
    <xf numFmtId="3" fontId="70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8" xfId="0" quotePrefix="1" applyNumberFormat="1" applyFont="1" applyFill="1" applyBorder="1" applyAlignment="1">
      <alignment horizontal="center" vertical="center"/>
    </xf>
    <xf numFmtId="1" fontId="13" fillId="20" borderId="18" xfId="0" applyNumberFormat="1" applyFont="1" applyFill="1" applyBorder="1" applyAlignment="1">
      <alignment horizontal="center" vertical="center"/>
    </xf>
    <xf numFmtId="3" fontId="13" fillId="20" borderId="18" xfId="0" applyNumberFormat="1" applyFont="1" applyFill="1" applyBorder="1" applyAlignment="1">
      <alignment vertical="center"/>
    </xf>
    <xf numFmtId="3" fontId="13" fillId="20" borderId="18" xfId="0" applyNumberFormat="1" applyFont="1" applyFill="1" applyBorder="1" applyAlignment="1">
      <alignment horizontal="center" vertical="center"/>
    </xf>
    <xf numFmtId="3" fontId="13" fillId="20" borderId="20" xfId="0" applyNumberFormat="1" applyFont="1" applyFill="1" applyBorder="1" applyAlignment="1">
      <alignment vertical="center"/>
    </xf>
    <xf numFmtId="172" fontId="13" fillId="20" borderId="20" xfId="0" applyNumberFormat="1" applyFont="1" applyFill="1" applyBorder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20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3" fontId="9" fillId="20" borderId="20" xfId="0" applyNumberFormat="1" applyFont="1" applyFill="1" applyBorder="1" applyAlignment="1">
      <alignment vertical="center"/>
    </xf>
    <xf numFmtId="0" fontId="4" fillId="0" borderId="0" xfId="0" applyFont="1" applyFill="1"/>
    <xf numFmtId="0" fontId="18" fillId="0" borderId="0" xfId="0" applyFont="1" applyFill="1" applyBorder="1" applyAlignment="1"/>
    <xf numFmtId="0" fontId="6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/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9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0" borderId="0" xfId="0" applyFont="1" applyFill="1"/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9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0" fontId="5" fillId="20" borderId="12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69" fillId="22" borderId="16" xfId="0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horizontal="center" vertical="center"/>
    </xf>
    <xf numFmtId="3" fontId="13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1" fillId="23" borderId="14" xfId="0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3" fillId="22" borderId="14" xfId="0" applyFont="1" applyFill="1" applyBorder="1" applyAlignment="1">
      <alignment horizontal="left" vertical="center" wrapText="1"/>
    </xf>
    <xf numFmtId="1" fontId="9" fillId="22" borderId="16" xfId="0" quotePrefix="1" applyNumberFormat="1" applyFont="1" applyFill="1" applyBorder="1" applyAlignment="1">
      <alignment horizontal="center" vertical="center"/>
    </xf>
    <xf numFmtId="1" fontId="13" fillId="22" borderId="16" xfId="0" quotePrefix="1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horizontal="center" vertical="center" wrapText="1"/>
    </xf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2" borderId="14" xfId="0" applyFont="1" applyFill="1" applyBorder="1" applyAlignment="1">
      <alignment vertical="center"/>
    </xf>
    <xf numFmtId="0" fontId="1" fillId="22" borderId="15" xfId="0" applyFont="1" applyFill="1" applyBorder="1" applyAlignment="1">
      <alignment vertical="center"/>
    </xf>
    <xf numFmtId="0" fontId="1" fillId="22" borderId="16" xfId="0" applyFont="1" applyFill="1" applyBorder="1" applyAlignment="1">
      <alignment horizontal="center" vertical="center" wrapText="1"/>
    </xf>
    <xf numFmtId="1" fontId="1" fillId="22" borderId="16" xfId="0" applyNumberFormat="1" applyFont="1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6" xfId="0" applyNumberFormat="1" applyFont="1" applyFill="1" applyBorder="1" applyAlignment="1">
      <alignment horizontal="center" vertical="center"/>
    </xf>
    <xf numFmtId="3" fontId="1" fillId="22" borderId="14" xfId="0" applyNumberFormat="1" applyFont="1" applyFill="1" applyBorder="1" applyAlignment="1">
      <alignment vertical="center"/>
    </xf>
    <xf numFmtId="172" fontId="1" fillId="22" borderId="14" xfId="0" applyNumberFormat="1" applyFont="1" applyFill="1" applyBorder="1" applyAlignment="1">
      <alignment vertical="center"/>
    </xf>
    <xf numFmtId="0" fontId="1" fillId="22" borderId="14" xfId="0" applyFont="1" applyFill="1" applyBorder="1" applyAlignment="1">
      <alignment horizontal="center" vertical="center"/>
    </xf>
    <xf numFmtId="3" fontId="1" fillId="22" borderId="15" xfId="0" applyNumberFormat="1" applyFont="1" applyFill="1" applyBorder="1" applyAlignment="1">
      <alignment vertical="center" wrapText="1"/>
    </xf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0" xfId="0" applyFont="1" applyFill="1"/>
    <xf numFmtId="0" fontId="43" fillId="0" borderId="0" xfId="0" applyFont="1" applyFill="1" applyAlignment="1">
      <alignment horizontal="center"/>
    </xf>
    <xf numFmtId="0" fontId="9" fillId="0" borderId="0" xfId="0" applyFont="1" applyFill="1"/>
    <xf numFmtId="0" fontId="45" fillId="0" borderId="0" xfId="0" applyFont="1" applyFill="1" applyAlignment="1">
      <alignment horizontal="center"/>
    </xf>
    <xf numFmtId="3" fontId="5" fillId="0" borderId="0" xfId="0" applyNumberFormat="1" applyFont="1" applyFill="1"/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75" style="347" bestFit="1" customWidth="1"/>
    <col min="11" max="11" width="5.5" style="45" bestFit="1" customWidth="1"/>
    <col min="12" max="12" width="8.375" style="44" customWidth="1"/>
    <col min="13" max="13" width="8.125" style="44" customWidth="1"/>
    <col min="14" max="14" width="1.625" style="44" hidden="1" customWidth="1"/>
    <col min="15" max="15" width="7.5" style="44" customWidth="1"/>
    <col min="16" max="16" width="6.5" style="44" customWidth="1"/>
    <col min="17" max="17" width="9.25" style="44" customWidth="1"/>
    <col min="18" max="18" width="7.625" style="44" customWidth="1"/>
    <col min="19" max="19" width="6.75" style="44" customWidth="1"/>
    <col min="20" max="20" width="7.125" style="44" customWidth="1"/>
    <col min="21" max="21" width="5.875" style="44" customWidth="1"/>
    <col min="22" max="22" width="8" style="44" customWidth="1"/>
    <col min="23" max="23" width="4.25" style="44" customWidth="1"/>
    <col min="24" max="24" width="5.125" style="44" customWidth="1"/>
    <col min="25" max="25" width="4.375" style="44" customWidth="1"/>
    <col min="26" max="26" width="5.25" style="44" customWidth="1"/>
    <col min="27" max="27" width="7.625" style="357" bestFit="1" customWidth="1"/>
    <col min="28" max="28" width="11.75" style="44" customWidth="1"/>
    <col min="29" max="29" width="2.5" style="44" customWidth="1"/>
    <col min="30" max="30" width="16.75" style="6" customWidth="1"/>
    <col min="31" max="31" width="20.25" style="6" customWidth="1"/>
    <col min="32" max="37" width="9" style="16"/>
    <col min="38" max="38" width="9" style="55"/>
    <col min="39" max="16384" width="9" style="16"/>
  </cols>
  <sheetData>
    <row r="1" spans="1:39" ht="16.5">
      <c r="A1" s="591" t="s">
        <v>79</v>
      </c>
      <c r="B1" s="591"/>
      <c r="C1" s="591"/>
      <c r="D1" s="591"/>
      <c r="E1" s="591"/>
      <c r="F1" s="591"/>
      <c r="G1" s="591"/>
      <c r="H1" s="591"/>
      <c r="I1" s="17"/>
      <c r="J1" s="341"/>
      <c r="K1" s="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351"/>
      <c r="AB1" s="17"/>
      <c r="AC1" s="17"/>
      <c r="AD1" s="17"/>
      <c r="AE1" s="8"/>
      <c r="AF1" s="17"/>
      <c r="AG1" s="17"/>
      <c r="AH1" s="17"/>
      <c r="AI1" s="17"/>
      <c r="AJ1" s="15"/>
    </row>
    <row r="2" spans="1:39" ht="16.5">
      <c r="A2" s="592" t="s">
        <v>186</v>
      </c>
      <c r="B2" s="592"/>
      <c r="C2" s="592"/>
      <c r="D2" s="592"/>
      <c r="E2" s="592"/>
      <c r="F2" s="592"/>
      <c r="G2" s="592"/>
      <c r="H2" s="592"/>
      <c r="I2" s="18"/>
      <c r="J2" s="342"/>
      <c r="K2" s="2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52"/>
      <c r="AB2" s="18"/>
      <c r="AC2" s="18"/>
      <c r="AD2" s="18"/>
      <c r="AE2" s="24"/>
      <c r="AF2" s="18"/>
      <c r="AG2" s="18"/>
      <c r="AH2" s="18"/>
      <c r="AI2" s="18"/>
      <c r="AJ2" s="15"/>
    </row>
    <row r="3" spans="1:39" ht="3.75" customHeight="1">
      <c r="A3" s="4"/>
      <c r="B3" s="45"/>
      <c r="C3" s="593"/>
      <c r="D3" s="593"/>
      <c r="E3" s="4"/>
      <c r="F3" s="37"/>
      <c r="G3" s="4"/>
      <c r="H3" s="45"/>
      <c r="I3" s="45"/>
      <c r="J3" s="382"/>
      <c r="L3" s="45"/>
      <c r="M3" s="45"/>
      <c r="N3" s="45"/>
      <c r="O3" s="45"/>
      <c r="P3" s="45"/>
      <c r="Q3" s="45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594"/>
      <c r="AE3" s="45"/>
      <c r="AF3" s="4"/>
      <c r="AG3" s="593"/>
      <c r="AH3" s="593"/>
      <c r="AI3" s="595"/>
      <c r="AJ3" s="595"/>
    </row>
    <row r="4" spans="1:39" ht="22.5" customHeight="1">
      <c r="A4" s="596" t="s">
        <v>191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596"/>
      <c r="M4" s="596"/>
      <c r="N4" s="596"/>
      <c r="O4" s="596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596"/>
      <c r="AE4" s="72"/>
      <c r="AF4" s="17"/>
      <c r="AG4" s="17"/>
      <c r="AH4" s="17">
        <f>2.67*1150000*0.65</f>
        <v>1995825</v>
      </c>
      <c r="AI4" s="17"/>
      <c r="AJ4" s="15"/>
    </row>
    <row r="5" spans="1:39" ht="22.5" customHeight="1">
      <c r="A5" s="596" t="s">
        <v>368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596"/>
      <c r="O5" s="596"/>
      <c r="P5" s="596"/>
      <c r="Q5" s="596"/>
      <c r="R5" s="596"/>
      <c r="S5" s="596"/>
      <c r="T5" s="596"/>
      <c r="U5" s="596"/>
      <c r="V5" s="596"/>
      <c r="W5" s="596"/>
      <c r="X5" s="596"/>
      <c r="Y5" s="596"/>
      <c r="Z5" s="596"/>
      <c r="AA5" s="596"/>
      <c r="AB5" s="596"/>
      <c r="AC5" s="596"/>
      <c r="AD5" s="596"/>
      <c r="AE5" s="72"/>
      <c r="AF5" s="17"/>
      <c r="AG5" s="17"/>
      <c r="AH5" s="17"/>
      <c r="AI5" s="17"/>
      <c r="AJ5" s="15"/>
    </row>
    <row r="6" spans="1:39" ht="18" customHeight="1">
      <c r="A6" s="8"/>
      <c r="B6" s="50"/>
      <c r="C6" s="8" t="s">
        <v>87</v>
      </c>
      <c r="D6" s="597"/>
      <c r="E6" s="597"/>
      <c r="F6" s="597"/>
      <c r="G6" s="597"/>
      <c r="H6" s="597"/>
      <c r="R6" s="48" t="s">
        <v>230</v>
      </c>
      <c r="S6" s="48"/>
      <c r="T6" s="48"/>
      <c r="U6" s="48"/>
      <c r="V6" s="48"/>
      <c r="W6" s="48"/>
      <c r="X6" s="48"/>
      <c r="Y6" s="48"/>
      <c r="Z6" s="48"/>
      <c r="AA6" s="353"/>
      <c r="AB6" s="48"/>
      <c r="AC6" s="48"/>
      <c r="AD6" s="67"/>
      <c r="AE6" s="67"/>
      <c r="AF6" s="17" t="s">
        <v>17</v>
      </c>
      <c r="AG6" s="17"/>
      <c r="AH6" s="17">
        <f>3*1150000</f>
        <v>3450000</v>
      </c>
      <c r="AI6" s="17">
        <f>2.67*1150000</f>
        <v>3070500</v>
      </c>
      <c r="AJ6" s="17"/>
    </row>
    <row r="7" spans="1:39">
      <c r="A7" s="8"/>
      <c r="B7" s="146">
        <v>1490000</v>
      </c>
      <c r="C7" s="77">
        <v>1150000</v>
      </c>
      <c r="D7" s="597"/>
      <c r="E7" s="597"/>
      <c r="F7" s="597"/>
      <c r="G7" s="597"/>
      <c r="H7" s="597"/>
      <c r="I7" s="48"/>
      <c r="J7" s="343"/>
      <c r="K7" s="50"/>
      <c r="L7" s="48"/>
      <c r="M7" s="48"/>
      <c r="N7" s="48"/>
      <c r="O7" s="48"/>
      <c r="P7" s="48"/>
      <c r="Q7" s="48"/>
      <c r="R7" s="48" t="s">
        <v>16</v>
      </c>
      <c r="S7" s="48"/>
      <c r="T7" s="48"/>
      <c r="U7" s="48"/>
      <c r="V7" s="48"/>
      <c r="W7" s="48"/>
      <c r="X7" s="48"/>
      <c r="Y7" s="48"/>
      <c r="Z7" s="48"/>
      <c r="AA7" s="353"/>
      <c r="AB7" s="48"/>
      <c r="AC7" s="48"/>
      <c r="AF7" s="17"/>
      <c r="AG7" s="17"/>
      <c r="AH7" s="17">
        <f>AH6*10.5%</f>
        <v>362250</v>
      </c>
      <c r="AI7" s="17">
        <f>AI6*10.5%</f>
        <v>322402.5</v>
      </c>
      <c r="AJ7" s="17"/>
    </row>
    <row r="8" spans="1:39">
      <c r="A8" s="8"/>
      <c r="B8" s="50"/>
      <c r="C8" s="8"/>
      <c r="D8" s="598"/>
      <c r="E8" s="598"/>
      <c r="F8" s="598"/>
      <c r="G8" s="598"/>
      <c r="H8" s="598"/>
      <c r="I8" s="52"/>
      <c r="J8" s="344"/>
      <c r="K8" s="46"/>
      <c r="L8" s="52"/>
      <c r="M8" s="52"/>
      <c r="N8" s="52"/>
      <c r="O8" s="52"/>
      <c r="P8" s="52"/>
      <c r="Q8" s="52"/>
      <c r="R8" s="52" t="s">
        <v>1</v>
      </c>
      <c r="S8" s="52"/>
      <c r="T8" s="52"/>
      <c r="U8" s="52"/>
      <c r="V8" s="52"/>
      <c r="W8" s="52"/>
      <c r="X8" s="52"/>
      <c r="Y8" s="52"/>
      <c r="Z8" s="52"/>
      <c r="AA8" s="354"/>
      <c r="AB8" s="52"/>
      <c r="AC8" s="52"/>
      <c r="AD8" s="66"/>
      <c r="AE8" s="66"/>
      <c r="AF8" s="17"/>
      <c r="AG8" s="17"/>
      <c r="AH8" s="16">
        <f>AH6-AH7</f>
        <v>3087750</v>
      </c>
      <c r="AI8" s="16">
        <f>AI6-AI7</f>
        <v>2748097.5</v>
      </c>
      <c r="AL8" s="56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344"/>
      <c r="K9" s="46"/>
      <c r="L9" s="52"/>
      <c r="M9" s="52"/>
      <c r="N9" s="52"/>
      <c r="O9" s="52"/>
      <c r="P9" s="52"/>
      <c r="Q9" s="52"/>
      <c r="R9" s="48"/>
      <c r="S9" s="48"/>
      <c r="T9" s="48"/>
      <c r="U9" s="48"/>
      <c r="V9" s="48"/>
      <c r="W9" s="48"/>
      <c r="X9" s="48"/>
      <c r="Y9" s="48"/>
      <c r="Z9" s="48"/>
      <c r="AA9" s="353"/>
      <c r="AB9" s="48"/>
      <c r="AC9" s="53"/>
      <c r="AF9" s="17"/>
      <c r="AG9" s="17"/>
      <c r="AH9" s="16">
        <f>AH6*0.65</f>
        <v>2242500</v>
      </c>
      <c r="AI9" s="16">
        <f>AI6*0.65</f>
        <v>1995825</v>
      </c>
      <c r="AL9" s="56"/>
    </row>
    <row r="10" spans="1:39" s="43" customFormat="1" ht="27.75" customHeight="1">
      <c r="A10" s="599" t="s">
        <v>2</v>
      </c>
      <c r="B10" s="599" t="s">
        <v>3</v>
      </c>
      <c r="C10" s="599"/>
      <c r="D10" s="600" t="s">
        <v>51</v>
      </c>
      <c r="E10" s="601" t="s">
        <v>237</v>
      </c>
      <c r="F10" s="603" t="s">
        <v>15</v>
      </c>
      <c r="G10" s="605" t="s">
        <v>130</v>
      </c>
      <c r="H10" s="601" t="s">
        <v>272</v>
      </c>
      <c r="I10" s="607" t="s">
        <v>180</v>
      </c>
      <c r="J10" s="609" t="s">
        <v>371</v>
      </c>
      <c r="K10" s="607" t="s">
        <v>268</v>
      </c>
      <c r="L10" s="607" t="s">
        <v>269</v>
      </c>
      <c r="M10" s="607" t="s">
        <v>170</v>
      </c>
      <c r="N10" s="609"/>
      <c r="O10" s="601" t="s">
        <v>148</v>
      </c>
      <c r="P10" s="601" t="s">
        <v>149</v>
      </c>
      <c r="Q10" s="605" t="s">
        <v>150</v>
      </c>
      <c r="R10" s="611" t="s">
        <v>67</v>
      </c>
      <c r="S10" s="612"/>
      <c r="T10" s="612"/>
      <c r="U10" s="612"/>
      <c r="V10" s="613"/>
      <c r="W10" s="614" t="s">
        <v>168</v>
      </c>
      <c r="X10" s="615"/>
      <c r="Y10" s="614" t="s">
        <v>169</v>
      </c>
      <c r="Z10" s="615"/>
      <c r="AA10" s="616" t="s">
        <v>274</v>
      </c>
      <c r="AB10" s="605" t="s">
        <v>154</v>
      </c>
      <c r="AC10" s="618" t="s">
        <v>5</v>
      </c>
      <c r="AD10" s="619"/>
      <c r="AE10" s="84"/>
      <c r="AF10" s="85"/>
      <c r="AG10" s="86"/>
      <c r="AH10" s="86">
        <f>AH9+AH8</f>
        <v>5330250</v>
      </c>
      <c r="AI10" s="86">
        <f>AI9+AI8</f>
        <v>4743922.5</v>
      </c>
      <c r="AJ10" s="86"/>
      <c r="AK10" s="622"/>
      <c r="AL10" s="87"/>
      <c r="AM10" s="79"/>
    </row>
    <row r="11" spans="1:39" s="43" customFormat="1" ht="41.25" customHeight="1">
      <c r="A11" s="599"/>
      <c r="B11" s="599"/>
      <c r="C11" s="599"/>
      <c r="D11" s="600"/>
      <c r="E11" s="602"/>
      <c r="F11" s="604"/>
      <c r="G11" s="606"/>
      <c r="H11" s="602"/>
      <c r="I11" s="608"/>
      <c r="J11" s="610"/>
      <c r="K11" s="608"/>
      <c r="L11" s="608"/>
      <c r="M11" s="608"/>
      <c r="N11" s="610"/>
      <c r="O11" s="602"/>
      <c r="P11" s="602"/>
      <c r="Q11" s="606"/>
      <c r="R11" s="140" t="s">
        <v>114</v>
      </c>
      <c r="S11" s="140" t="s">
        <v>68</v>
      </c>
      <c r="T11" s="140" t="s">
        <v>60</v>
      </c>
      <c r="U11" s="138" t="s">
        <v>151</v>
      </c>
      <c r="V11" s="138" t="s">
        <v>152</v>
      </c>
      <c r="W11" s="138" t="s">
        <v>85</v>
      </c>
      <c r="X11" s="340" t="s">
        <v>170</v>
      </c>
      <c r="Y11" s="138" t="s">
        <v>85</v>
      </c>
      <c r="Z11" s="340" t="s">
        <v>170</v>
      </c>
      <c r="AA11" s="617"/>
      <c r="AB11" s="606"/>
      <c r="AC11" s="620"/>
      <c r="AD11" s="621"/>
      <c r="AE11" s="84"/>
      <c r="AF11" s="85"/>
      <c r="AG11" s="86"/>
      <c r="AH11" s="86">
        <f>AH10+750000</f>
        <v>6080250</v>
      </c>
      <c r="AI11" s="86">
        <f>AI10+750000</f>
        <v>5493922.5</v>
      </c>
      <c r="AJ11" s="86"/>
      <c r="AK11" s="622"/>
      <c r="AL11" s="87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383"/>
      <c r="K12" s="254"/>
      <c r="L12" s="254" t="s">
        <v>43</v>
      </c>
      <c r="M12" s="254" t="s">
        <v>270</v>
      </c>
      <c r="N12" s="149"/>
      <c r="O12" s="149" t="s">
        <v>74</v>
      </c>
      <c r="P12" s="149" t="s">
        <v>47</v>
      </c>
      <c r="Q12" s="254" t="s">
        <v>176</v>
      </c>
      <c r="R12" s="149" t="s">
        <v>75</v>
      </c>
      <c r="S12" s="149" t="s">
        <v>76</v>
      </c>
      <c r="T12" s="149" t="s">
        <v>159</v>
      </c>
      <c r="U12" s="149" t="s">
        <v>160</v>
      </c>
      <c r="V12" s="254" t="s">
        <v>177</v>
      </c>
      <c r="W12" s="149" t="s">
        <v>161</v>
      </c>
      <c r="X12" s="149" t="s">
        <v>162</v>
      </c>
      <c r="Y12" s="149" t="s">
        <v>163</v>
      </c>
      <c r="Z12" s="149" t="s">
        <v>171</v>
      </c>
      <c r="AA12" s="367" t="s">
        <v>362</v>
      </c>
      <c r="AB12" s="254" t="s">
        <v>363</v>
      </c>
      <c r="AC12" s="623" t="s">
        <v>172</v>
      </c>
      <c r="AD12" s="624"/>
      <c r="AE12" s="84"/>
      <c r="AF12" s="147"/>
      <c r="AG12" s="86"/>
      <c r="AH12" s="86"/>
      <c r="AI12" s="86"/>
      <c r="AJ12" s="86"/>
      <c r="AK12" s="141"/>
      <c r="AL12" s="87"/>
      <c r="AM12" s="79"/>
    </row>
    <row r="13" spans="1:39" s="381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9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384">
        <f>I13*6%</f>
        <v>292383</v>
      </c>
      <c r="K13" s="237"/>
      <c r="L13" s="131"/>
      <c r="M13" s="131">
        <f t="shared" ref="M13:M61" si="0">ROUND(I13+L13,0)</f>
        <v>4873050</v>
      </c>
      <c r="N13" s="131"/>
      <c r="O13" s="131">
        <f t="shared" ref="O13:O61" si="1">M13/24*N13</f>
        <v>0</v>
      </c>
      <c r="P13" s="131"/>
      <c r="Q13" s="131">
        <f t="shared" ref="Q13:Q61" si="2">M13-O13+P13</f>
        <v>4873050</v>
      </c>
      <c r="R13" s="131">
        <f>M13*8%</f>
        <v>389844</v>
      </c>
      <c r="S13" s="132">
        <f>M13*1.5%</f>
        <v>73095.75</v>
      </c>
      <c r="T13" s="131">
        <f>M13*1%</f>
        <v>48730.5</v>
      </c>
      <c r="U13" s="132"/>
      <c r="V13" s="132">
        <f t="shared" ref="V13:V61" si="3">SUM(R13:U13)</f>
        <v>511670.25</v>
      </c>
      <c r="W13" s="132"/>
      <c r="X13" s="132"/>
      <c r="Y13" s="370"/>
      <c r="Z13" s="132"/>
      <c r="AA13" s="132"/>
      <c r="AB13" s="132">
        <f t="shared" ref="AB13:AB61" si="4">Q13-V13+X13+Z13+AA13</f>
        <v>4361379.75</v>
      </c>
      <c r="AC13" s="133" t="str">
        <f t="shared" ref="AC13:AC35" si="5">A13</f>
        <v>01</v>
      </c>
      <c r="AD13" s="371"/>
      <c r="AE13" s="102" t="s">
        <v>233</v>
      </c>
      <c r="AF13" s="120"/>
      <c r="AG13" s="116"/>
      <c r="AL13" s="380"/>
    </row>
    <row r="14" spans="1:39" s="381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385">
        <f t="shared" ref="J14:J61" si="6">I14*6%</f>
        <v>391821.18</v>
      </c>
      <c r="K14" s="113"/>
      <c r="L14" s="98"/>
      <c r="M14" s="98">
        <f t="shared" si="0"/>
        <v>6530353</v>
      </c>
      <c r="N14" s="98"/>
      <c r="O14" s="98">
        <f t="shared" si="1"/>
        <v>0</v>
      </c>
      <c r="P14" s="98"/>
      <c r="Q14" s="98">
        <f t="shared" si="2"/>
        <v>6530353</v>
      </c>
      <c r="R14" s="98">
        <f>M14*8%</f>
        <v>522428.24</v>
      </c>
      <c r="S14" s="99">
        <f>M14*1.5%</f>
        <v>97955.294999999998</v>
      </c>
      <c r="T14" s="98">
        <f>M14*1%</f>
        <v>65303.53</v>
      </c>
      <c r="U14" s="99"/>
      <c r="V14" s="99">
        <f t="shared" si="3"/>
        <v>685687.06500000006</v>
      </c>
      <c r="W14" s="99"/>
      <c r="X14" s="99"/>
      <c r="Y14" s="151"/>
      <c r="Z14" s="99"/>
      <c r="AA14" s="99"/>
      <c r="AB14" s="99">
        <f t="shared" si="4"/>
        <v>5844665.9349999996</v>
      </c>
      <c r="AC14" s="101" t="str">
        <f t="shared" si="5"/>
        <v>02</v>
      </c>
      <c r="AD14" s="102"/>
      <c r="AE14" s="380"/>
      <c r="AF14" s="380"/>
      <c r="AL14" s="380"/>
    </row>
    <row r="15" spans="1:39" s="381" customFormat="1" ht="42.75" customHeight="1">
      <c r="A15" s="202" t="s">
        <v>34</v>
      </c>
      <c r="B15" s="94" t="s">
        <v>245</v>
      </c>
      <c r="C15" s="159"/>
      <c r="D15" s="112" t="s">
        <v>246</v>
      </c>
      <c r="E15" s="228"/>
      <c r="F15" s="223"/>
      <c r="G15" s="97" t="s">
        <v>244</v>
      </c>
      <c r="H15" s="233">
        <v>2</v>
      </c>
      <c r="I15" s="98">
        <v>5313481</v>
      </c>
      <c r="J15" s="385">
        <f t="shared" si="6"/>
        <v>318808.86</v>
      </c>
      <c r="K15" s="113"/>
      <c r="L15" s="98"/>
      <c r="M15" s="98">
        <f t="shared" si="0"/>
        <v>5313481</v>
      </c>
      <c r="N15" s="98"/>
      <c r="O15" s="98">
        <f t="shared" si="1"/>
        <v>0</v>
      </c>
      <c r="P15" s="98"/>
      <c r="Q15" s="98">
        <f t="shared" si="2"/>
        <v>5313481</v>
      </c>
      <c r="R15" s="98"/>
      <c r="S15" s="99"/>
      <c r="T15" s="98"/>
      <c r="U15" s="99"/>
      <c r="V15" s="99">
        <f t="shared" si="3"/>
        <v>0</v>
      </c>
      <c r="W15" s="99"/>
      <c r="X15" s="99"/>
      <c r="Y15" s="99"/>
      <c r="Z15" s="99"/>
      <c r="AA15" s="99"/>
      <c r="AB15" s="99">
        <f t="shared" si="4"/>
        <v>5313481</v>
      </c>
      <c r="AC15" s="101" t="str">
        <f t="shared" si="5"/>
        <v>03</v>
      </c>
      <c r="AD15" s="118"/>
      <c r="AE15" s="372"/>
      <c r="AF15" s="232"/>
      <c r="AG15" s="232"/>
      <c r="AH15" s="110"/>
      <c r="AI15" s="110"/>
      <c r="AL15" s="111"/>
    </row>
    <row r="16" spans="1:39" s="381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385">
        <f t="shared" si="6"/>
        <v>411412.26</v>
      </c>
      <c r="K16" s="113"/>
      <c r="L16" s="98"/>
      <c r="M16" s="98">
        <f t="shared" si="0"/>
        <v>6856871</v>
      </c>
      <c r="N16" s="98"/>
      <c r="O16" s="98">
        <f t="shared" si="1"/>
        <v>0</v>
      </c>
      <c r="P16" s="98"/>
      <c r="Q16" s="98">
        <f t="shared" si="2"/>
        <v>6856871</v>
      </c>
      <c r="R16" s="98">
        <f t="shared" ref="R16:R35" si="7">M16*8%</f>
        <v>548549.68000000005</v>
      </c>
      <c r="S16" s="99">
        <f t="shared" ref="S16:S60" si="8">M16*1.5%</f>
        <v>102853.065</v>
      </c>
      <c r="T16" s="98">
        <f t="shared" ref="T16:T60" si="9">M16*1%</f>
        <v>68568.710000000006</v>
      </c>
      <c r="U16" s="99"/>
      <c r="V16" s="99">
        <f t="shared" si="3"/>
        <v>719971.45500000007</v>
      </c>
      <c r="W16" s="99"/>
      <c r="X16" s="99"/>
      <c r="Y16" s="151"/>
      <c r="Z16" s="99"/>
      <c r="AA16" s="99"/>
      <c r="AB16" s="99">
        <f t="shared" si="4"/>
        <v>6136899.5449999999</v>
      </c>
      <c r="AC16" s="101" t="str">
        <f t="shared" si="5"/>
        <v>04</v>
      </c>
      <c r="AD16" s="102"/>
      <c r="AE16" s="380"/>
      <c r="AF16" s="380"/>
      <c r="AL16" s="380"/>
    </row>
    <row r="17" spans="1:38" s="381" customFormat="1" ht="39" customHeight="1">
      <c r="A17" s="202" t="s">
        <v>36</v>
      </c>
      <c r="B17" s="94" t="s">
        <v>308</v>
      </c>
      <c r="C17" s="95"/>
      <c r="D17" s="112" t="s">
        <v>309</v>
      </c>
      <c r="E17" s="228"/>
      <c r="F17" s="223"/>
      <c r="G17" s="97" t="s">
        <v>244</v>
      </c>
      <c r="H17" s="233">
        <v>1</v>
      </c>
      <c r="I17" s="98">
        <v>5060458</v>
      </c>
      <c r="J17" s="385">
        <f t="shared" si="6"/>
        <v>303627.48</v>
      </c>
      <c r="K17" s="113"/>
      <c r="L17" s="98"/>
      <c r="M17" s="98">
        <f t="shared" si="0"/>
        <v>5060458</v>
      </c>
      <c r="N17" s="98"/>
      <c r="O17" s="98">
        <f t="shared" si="1"/>
        <v>0</v>
      </c>
      <c r="P17" s="98"/>
      <c r="Q17" s="98">
        <f t="shared" si="2"/>
        <v>5060458</v>
      </c>
      <c r="R17" s="98">
        <f t="shared" si="7"/>
        <v>404836.64</v>
      </c>
      <c r="S17" s="99">
        <f t="shared" si="8"/>
        <v>75906.87</v>
      </c>
      <c r="T17" s="98">
        <f t="shared" si="9"/>
        <v>50604.58</v>
      </c>
      <c r="U17" s="99"/>
      <c r="V17" s="99">
        <f t="shared" si="3"/>
        <v>531348.09</v>
      </c>
      <c r="W17" s="99"/>
      <c r="X17" s="100"/>
      <c r="Y17" s="100"/>
      <c r="Z17" s="100"/>
      <c r="AA17" s="100"/>
      <c r="AB17" s="99">
        <f t="shared" si="4"/>
        <v>4529109.91</v>
      </c>
      <c r="AC17" s="101" t="str">
        <f t="shared" si="5"/>
        <v>05</v>
      </c>
      <c r="AD17" s="255"/>
      <c r="AE17" s="255" t="s">
        <v>310</v>
      </c>
      <c r="AF17" s="117"/>
      <c r="AG17" s="144"/>
      <c r="AL17" s="380"/>
    </row>
    <row r="18" spans="1:38" s="381" customFormat="1" ht="42.75" customHeight="1">
      <c r="A18" s="202" t="s">
        <v>37</v>
      </c>
      <c r="B18" s="94" t="s">
        <v>320</v>
      </c>
      <c r="C18" s="95"/>
      <c r="D18" s="112" t="s">
        <v>246</v>
      </c>
      <c r="E18" s="227" t="s">
        <v>337</v>
      </c>
      <c r="F18" s="336" t="s">
        <v>338</v>
      </c>
      <c r="G18" s="97" t="s">
        <v>244</v>
      </c>
      <c r="H18" s="233">
        <v>1</v>
      </c>
      <c r="I18" s="98">
        <v>5060458</v>
      </c>
      <c r="J18" s="385">
        <f t="shared" si="6"/>
        <v>303627.48</v>
      </c>
      <c r="K18" s="113"/>
      <c r="L18" s="98"/>
      <c r="M18" s="98">
        <f t="shared" si="0"/>
        <v>5060458</v>
      </c>
      <c r="N18" s="98"/>
      <c r="O18" s="98">
        <f t="shared" si="1"/>
        <v>0</v>
      </c>
      <c r="P18" s="98"/>
      <c r="Q18" s="98">
        <f t="shared" si="2"/>
        <v>5060458</v>
      </c>
      <c r="R18" s="98">
        <f t="shared" si="7"/>
        <v>404836.64</v>
      </c>
      <c r="S18" s="99">
        <f t="shared" si="8"/>
        <v>75906.87</v>
      </c>
      <c r="T18" s="98">
        <f t="shared" si="9"/>
        <v>50604.58</v>
      </c>
      <c r="U18" s="99"/>
      <c r="V18" s="99">
        <f t="shared" si="3"/>
        <v>531348.09</v>
      </c>
      <c r="W18" s="99"/>
      <c r="X18" s="100"/>
      <c r="Y18" s="100"/>
      <c r="Z18" s="100"/>
      <c r="AA18" s="100"/>
      <c r="AB18" s="99">
        <f t="shared" si="4"/>
        <v>4529109.91</v>
      </c>
      <c r="AC18" s="101" t="str">
        <f t="shared" si="5"/>
        <v>06</v>
      </c>
      <c r="AD18" s="255"/>
      <c r="AE18" s="255" t="s">
        <v>322</v>
      </c>
      <c r="AF18" s="117"/>
      <c r="AG18" s="144"/>
      <c r="AL18" s="380"/>
    </row>
    <row r="19" spans="1:38" s="381" customFormat="1" ht="31.5" customHeight="1">
      <c r="A19" s="202" t="s">
        <v>38</v>
      </c>
      <c r="B19" s="94" t="s">
        <v>345</v>
      </c>
      <c r="C19" s="95"/>
      <c r="D19" s="112" t="s">
        <v>55</v>
      </c>
      <c r="E19" s="228"/>
      <c r="F19" s="223"/>
      <c r="G19" s="97" t="s">
        <v>247</v>
      </c>
      <c r="H19" s="233">
        <v>12</v>
      </c>
      <c r="I19" s="98">
        <v>8088879</v>
      </c>
      <c r="J19" s="385">
        <f t="shared" si="6"/>
        <v>485332.74</v>
      </c>
      <c r="K19" s="113"/>
      <c r="L19" s="98"/>
      <c r="M19" s="98">
        <f t="shared" si="0"/>
        <v>8088879</v>
      </c>
      <c r="N19" s="98"/>
      <c r="O19" s="98">
        <f t="shared" si="1"/>
        <v>0</v>
      </c>
      <c r="P19" s="98"/>
      <c r="Q19" s="98">
        <f t="shared" si="2"/>
        <v>8088879</v>
      </c>
      <c r="R19" s="98">
        <f t="shared" si="7"/>
        <v>647110.32000000007</v>
      </c>
      <c r="S19" s="99">
        <f t="shared" si="8"/>
        <v>121333.185</v>
      </c>
      <c r="T19" s="98">
        <f t="shared" si="9"/>
        <v>80888.790000000008</v>
      </c>
      <c r="U19" s="99"/>
      <c r="V19" s="99">
        <f t="shared" si="3"/>
        <v>849332.29500000016</v>
      </c>
      <c r="W19" s="99"/>
      <c r="X19" s="99"/>
      <c r="Y19" s="151"/>
      <c r="Z19" s="99"/>
      <c r="AA19" s="99"/>
      <c r="AB19" s="99">
        <f t="shared" si="4"/>
        <v>7239546.7050000001</v>
      </c>
      <c r="AC19" s="101" t="str">
        <f t="shared" si="5"/>
        <v>07</v>
      </c>
      <c r="AD19" s="102"/>
      <c r="AE19" s="102"/>
      <c r="AF19" s="120"/>
      <c r="AG19" s="116"/>
      <c r="AL19" s="380"/>
    </row>
    <row r="20" spans="1:38" s="104" customFormat="1" ht="31.5" customHeight="1">
      <c r="A20" s="202" t="s">
        <v>39</v>
      </c>
      <c r="B20" s="94" t="s">
        <v>346</v>
      </c>
      <c r="C20" s="95"/>
      <c r="D20" s="112" t="s">
        <v>347</v>
      </c>
      <c r="E20" s="228"/>
      <c r="F20" s="209"/>
      <c r="G20" s="97" t="s">
        <v>244</v>
      </c>
      <c r="H20" s="233">
        <v>6</v>
      </c>
      <c r="I20" s="98">
        <v>6458569</v>
      </c>
      <c r="J20" s="385">
        <f t="shared" si="6"/>
        <v>387514.14</v>
      </c>
      <c r="K20" s="113"/>
      <c r="L20" s="98"/>
      <c r="M20" s="98">
        <f t="shared" si="0"/>
        <v>6458569</v>
      </c>
      <c r="N20" s="98"/>
      <c r="O20" s="98">
        <f t="shared" si="1"/>
        <v>0</v>
      </c>
      <c r="P20" s="98"/>
      <c r="Q20" s="98">
        <f t="shared" si="2"/>
        <v>6458569</v>
      </c>
      <c r="R20" s="98">
        <f t="shared" si="7"/>
        <v>516685.52</v>
      </c>
      <c r="S20" s="99">
        <f t="shared" si="8"/>
        <v>96878.535000000003</v>
      </c>
      <c r="T20" s="98">
        <f t="shared" si="9"/>
        <v>64585.69</v>
      </c>
      <c r="U20" s="99"/>
      <c r="V20" s="99">
        <f t="shared" si="3"/>
        <v>678149.74500000011</v>
      </c>
      <c r="W20" s="99"/>
      <c r="X20" s="99"/>
      <c r="Y20" s="151"/>
      <c r="Z20" s="99"/>
      <c r="AA20" s="99"/>
      <c r="AB20" s="99">
        <f t="shared" si="4"/>
        <v>5780419.2549999999</v>
      </c>
      <c r="AC20" s="101" t="str">
        <f t="shared" si="5"/>
        <v>08</v>
      </c>
      <c r="AD20" s="102"/>
      <c r="AE20" s="102"/>
      <c r="AF20" s="120"/>
      <c r="AG20" s="116"/>
      <c r="AH20" s="381"/>
      <c r="AL20" s="105"/>
    </row>
    <row r="21" spans="1:38" s="104" customFormat="1" ht="28.5" customHeight="1">
      <c r="A21" s="202" t="s">
        <v>40</v>
      </c>
      <c r="B21" s="94" t="s">
        <v>136</v>
      </c>
      <c r="C21" s="95" t="s">
        <v>110</v>
      </c>
      <c r="D21" s="112" t="s">
        <v>121</v>
      </c>
      <c r="E21" s="227" t="s">
        <v>238</v>
      </c>
      <c r="F21" s="209" t="s">
        <v>209</v>
      </c>
      <c r="G21" s="107" t="s">
        <v>244</v>
      </c>
      <c r="H21" s="233">
        <v>5</v>
      </c>
      <c r="I21" s="98">
        <v>6151018</v>
      </c>
      <c r="J21" s="385">
        <f t="shared" si="6"/>
        <v>369061.07999999996</v>
      </c>
      <c r="K21" s="113"/>
      <c r="L21" s="98"/>
      <c r="M21" s="98">
        <f t="shared" si="0"/>
        <v>6151018</v>
      </c>
      <c r="N21" s="98"/>
      <c r="O21" s="98">
        <f t="shared" si="1"/>
        <v>0</v>
      </c>
      <c r="P21" s="98"/>
      <c r="Q21" s="98">
        <f t="shared" si="2"/>
        <v>6151018</v>
      </c>
      <c r="R21" s="98">
        <f t="shared" si="7"/>
        <v>492081.44</v>
      </c>
      <c r="S21" s="99">
        <f t="shared" si="8"/>
        <v>92265.26999999999</v>
      </c>
      <c r="T21" s="98">
        <f t="shared" si="9"/>
        <v>61510.18</v>
      </c>
      <c r="U21" s="99"/>
      <c r="V21" s="99">
        <f t="shared" si="3"/>
        <v>645856.89</v>
      </c>
      <c r="W21" s="99"/>
      <c r="X21" s="99"/>
      <c r="Y21" s="99"/>
      <c r="Z21" s="99"/>
      <c r="AA21" s="99"/>
      <c r="AB21" s="99">
        <f t="shared" si="4"/>
        <v>5505161.1100000003</v>
      </c>
      <c r="AC21" s="101" t="str">
        <f t="shared" si="5"/>
        <v>09</v>
      </c>
      <c r="AD21" s="102"/>
      <c r="AE21" s="102" t="s">
        <v>111</v>
      </c>
      <c r="AF21" s="102" t="s">
        <v>113</v>
      </c>
      <c r="AG21" s="110" t="e">
        <f>#REF!*2</f>
        <v>#REF!</v>
      </c>
      <c r="AH21" s="110"/>
      <c r="AI21" s="110"/>
      <c r="AL21" s="111"/>
    </row>
    <row r="22" spans="1:38" s="381" customFormat="1" ht="26.25" customHeight="1">
      <c r="A22" s="202" t="s">
        <v>24</v>
      </c>
      <c r="B22" s="143" t="s">
        <v>133</v>
      </c>
      <c r="C22" s="95" t="s">
        <v>6</v>
      </c>
      <c r="D22" s="112" t="s">
        <v>167</v>
      </c>
      <c r="E22" s="338" t="s">
        <v>236</v>
      </c>
      <c r="F22" s="223" t="s">
        <v>203</v>
      </c>
      <c r="G22" s="107" t="s">
        <v>247</v>
      </c>
      <c r="H22" s="96">
        <v>5</v>
      </c>
      <c r="I22" s="98">
        <v>5748615</v>
      </c>
      <c r="J22" s="385">
        <f t="shared" si="6"/>
        <v>344916.89999999997</v>
      </c>
      <c r="K22" s="113"/>
      <c r="L22" s="98"/>
      <c r="M22" s="98">
        <f t="shared" si="0"/>
        <v>5748615</v>
      </c>
      <c r="N22" s="98"/>
      <c r="O22" s="98">
        <f t="shared" si="1"/>
        <v>0</v>
      </c>
      <c r="P22" s="98"/>
      <c r="Q22" s="98">
        <f t="shared" si="2"/>
        <v>5748615</v>
      </c>
      <c r="R22" s="98">
        <f t="shared" si="7"/>
        <v>459889.2</v>
      </c>
      <c r="S22" s="99">
        <f t="shared" si="8"/>
        <v>86229.224999999991</v>
      </c>
      <c r="T22" s="98">
        <f t="shared" si="9"/>
        <v>57486.15</v>
      </c>
      <c r="U22" s="99"/>
      <c r="V22" s="99">
        <f t="shared" si="3"/>
        <v>603604.57500000007</v>
      </c>
      <c r="W22" s="99"/>
      <c r="X22" s="99"/>
      <c r="Y22" s="99"/>
      <c r="Z22" s="99"/>
      <c r="AA22" s="99"/>
      <c r="AB22" s="99">
        <f t="shared" si="4"/>
        <v>5145010.4249999998</v>
      </c>
      <c r="AC22" s="101" t="str">
        <f t="shared" si="5"/>
        <v>10</v>
      </c>
      <c r="AD22" s="102" t="s">
        <v>360</v>
      </c>
      <c r="AE22" s="117">
        <f>3.33*1390000</f>
        <v>4628700</v>
      </c>
      <c r="AF22" s="625"/>
      <c r="AG22" s="626"/>
      <c r="AH22" s="626"/>
      <c r="AL22" s="119"/>
    </row>
    <row r="23" spans="1:38" s="381" customFormat="1" ht="23.25" customHeight="1">
      <c r="A23" s="202" t="s">
        <v>25</v>
      </c>
      <c r="B23" s="94" t="s">
        <v>140</v>
      </c>
      <c r="C23" s="95" t="s">
        <v>82</v>
      </c>
      <c r="D23" s="112" t="s">
        <v>69</v>
      </c>
      <c r="E23" s="228" t="str">
        <f>VLOOKUP(B23,[2]T3!$B$2:$D$328,3,FALSE)</f>
        <v>026050143</v>
      </c>
      <c r="F23" s="223" t="s">
        <v>218</v>
      </c>
      <c r="G23" s="107" t="s">
        <v>244</v>
      </c>
      <c r="H23" s="233">
        <v>6</v>
      </c>
      <c r="I23" s="98">
        <v>6458569</v>
      </c>
      <c r="J23" s="385">
        <f t="shared" si="6"/>
        <v>387514.14</v>
      </c>
      <c r="K23" s="113"/>
      <c r="L23" s="98"/>
      <c r="M23" s="98">
        <f t="shared" si="0"/>
        <v>6458569</v>
      </c>
      <c r="N23" s="98"/>
      <c r="O23" s="98">
        <f t="shared" si="1"/>
        <v>0</v>
      </c>
      <c r="P23" s="98"/>
      <c r="Q23" s="98">
        <f t="shared" si="2"/>
        <v>6458569</v>
      </c>
      <c r="R23" s="98">
        <f t="shared" si="7"/>
        <v>516685.52</v>
      </c>
      <c r="S23" s="99">
        <f t="shared" si="8"/>
        <v>96878.535000000003</v>
      </c>
      <c r="T23" s="98">
        <f t="shared" si="9"/>
        <v>64585.69</v>
      </c>
      <c r="U23" s="99"/>
      <c r="V23" s="99">
        <f t="shared" si="3"/>
        <v>678149.74500000011</v>
      </c>
      <c r="W23" s="99"/>
      <c r="X23" s="99"/>
      <c r="Y23" s="99"/>
      <c r="Z23" s="99"/>
      <c r="AA23" s="99"/>
      <c r="AB23" s="99">
        <f t="shared" si="4"/>
        <v>5780419.2549999999</v>
      </c>
      <c r="AC23" s="101" t="str">
        <f t="shared" si="5"/>
        <v>11</v>
      </c>
      <c r="AD23" s="102"/>
      <c r="AE23" s="134" t="s">
        <v>109</v>
      </c>
      <c r="AF23" s="117" t="e">
        <f>#REF!/24</f>
        <v>#REF!</v>
      </c>
      <c r="AL23" s="380"/>
    </row>
    <row r="24" spans="1:38" s="381" customFormat="1" ht="27" customHeight="1">
      <c r="A24" s="202" t="s">
        <v>26</v>
      </c>
      <c r="B24" s="143" t="s">
        <v>128</v>
      </c>
      <c r="C24" s="95" t="s">
        <v>125</v>
      </c>
      <c r="D24" s="112" t="s">
        <v>121</v>
      </c>
      <c r="E24" s="228" t="str">
        <f>VLOOKUP(B24,[2]T3!$B$2:$D$328,3,FALSE)</f>
        <v>025444854</v>
      </c>
      <c r="F24" s="223" t="s">
        <v>210</v>
      </c>
      <c r="G24" s="107" t="s">
        <v>247</v>
      </c>
      <c r="H24" s="233">
        <v>2</v>
      </c>
      <c r="I24" s="98">
        <v>4965870</v>
      </c>
      <c r="J24" s="385">
        <f t="shared" si="6"/>
        <v>297952.2</v>
      </c>
      <c r="K24" s="113"/>
      <c r="L24" s="98"/>
      <c r="M24" s="98">
        <f t="shared" si="0"/>
        <v>4965870</v>
      </c>
      <c r="N24" s="98"/>
      <c r="O24" s="98">
        <f t="shared" si="1"/>
        <v>0</v>
      </c>
      <c r="P24" s="98"/>
      <c r="Q24" s="98">
        <f t="shared" si="2"/>
        <v>4965870</v>
      </c>
      <c r="R24" s="98">
        <f t="shared" si="7"/>
        <v>397269.60000000003</v>
      </c>
      <c r="S24" s="99">
        <f t="shared" si="8"/>
        <v>74488.05</v>
      </c>
      <c r="T24" s="98">
        <f t="shared" si="9"/>
        <v>49658.700000000004</v>
      </c>
      <c r="U24" s="99"/>
      <c r="V24" s="99">
        <f t="shared" si="3"/>
        <v>521416.35000000003</v>
      </c>
      <c r="W24" s="99"/>
      <c r="X24" s="99"/>
      <c r="Y24" s="99"/>
      <c r="Z24" s="99"/>
      <c r="AA24" s="99"/>
      <c r="AB24" s="99">
        <f t="shared" si="4"/>
        <v>4444453.6500000004</v>
      </c>
      <c r="AC24" s="101" t="str">
        <f t="shared" si="5"/>
        <v>12</v>
      </c>
      <c r="AD24" s="102"/>
      <c r="AE24" s="102" t="s">
        <v>126</v>
      </c>
      <c r="AF24" s="144"/>
      <c r="AG24" s="110"/>
      <c r="AH24" s="110"/>
      <c r="AI24" s="110"/>
      <c r="AL24" s="111"/>
    </row>
    <row r="25" spans="1:38" s="381" customFormat="1" ht="30" customHeight="1">
      <c r="A25" s="202" t="s">
        <v>31</v>
      </c>
      <c r="B25" s="94" t="s">
        <v>258</v>
      </c>
      <c r="C25" s="95"/>
      <c r="D25" s="112" t="s">
        <v>259</v>
      </c>
      <c r="E25" s="228"/>
      <c r="F25" s="223" t="str">
        <f>VLOOKUP(B25,[1]LuongBC_T01!$B$277:$C$292,2,FALSE)</f>
        <v>0016100006675004</v>
      </c>
      <c r="G25" s="107" t="s">
        <v>247</v>
      </c>
      <c r="H25" s="96">
        <v>4</v>
      </c>
      <c r="I25" s="98">
        <v>5474872</v>
      </c>
      <c r="J25" s="385">
        <f t="shared" si="6"/>
        <v>328492.32</v>
      </c>
      <c r="K25" s="113"/>
      <c r="L25" s="98"/>
      <c r="M25" s="98">
        <f t="shared" si="0"/>
        <v>5474872</v>
      </c>
      <c r="N25" s="98"/>
      <c r="O25" s="98">
        <f t="shared" si="1"/>
        <v>0</v>
      </c>
      <c r="P25" s="98"/>
      <c r="Q25" s="98">
        <f t="shared" si="2"/>
        <v>5474872</v>
      </c>
      <c r="R25" s="98">
        <f t="shared" si="7"/>
        <v>437989.76</v>
      </c>
      <c r="S25" s="99">
        <f t="shared" si="8"/>
        <v>82123.08</v>
      </c>
      <c r="T25" s="98">
        <f t="shared" si="9"/>
        <v>54748.72</v>
      </c>
      <c r="U25" s="99"/>
      <c r="V25" s="99">
        <f t="shared" si="3"/>
        <v>574861.56000000006</v>
      </c>
      <c r="W25" s="99"/>
      <c r="X25" s="100"/>
      <c r="Y25" s="100"/>
      <c r="Z25" s="100"/>
      <c r="AA25" s="100"/>
      <c r="AB25" s="99">
        <f t="shared" si="4"/>
        <v>4900010.4399999995</v>
      </c>
      <c r="AC25" s="101" t="str">
        <f t="shared" si="5"/>
        <v>13</v>
      </c>
      <c r="AD25" s="102"/>
      <c r="AE25" s="102"/>
      <c r="AF25" s="109"/>
      <c r="AG25" s="110"/>
      <c r="AH25" s="110"/>
      <c r="AI25" s="110"/>
      <c r="AJ25" s="110"/>
      <c r="AK25" s="109"/>
      <c r="AL25" s="111"/>
    </row>
    <row r="26" spans="1:38" s="381" customFormat="1" ht="30.75" customHeight="1">
      <c r="A26" s="202" t="s">
        <v>27</v>
      </c>
      <c r="B26" s="94" t="s">
        <v>249</v>
      </c>
      <c r="C26" s="95"/>
      <c r="D26" s="112" t="s">
        <v>8</v>
      </c>
      <c r="E26" s="338"/>
      <c r="F26" s="223" t="str">
        <f>VLOOKUP(B26,[1]LuongBC_T01!$B$277:$C$292,2,FALSE)</f>
        <v>0016100006692006</v>
      </c>
      <c r="G26" s="107" t="s">
        <v>248</v>
      </c>
      <c r="H26" s="233">
        <v>11</v>
      </c>
      <c r="I26" s="98">
        <v>7559700</v>
      </c>
      <c r="J26" s="385">
        <f t="shared" si="6"/>
        <v>453582</v>
      </c>
      <c r="K26" s="113"/>
      <c r="L26" s="98"/>
      <c r="M26" s="98">
        <f t="shared" si="0"/>
        <v>7559700</v>
      </c>
      <c r="N26" s="98"/>
      <c r="O26" s="98">
        <f t="shared" si="1"/>
        <v>0</v>
      </c>
      <c r="P26" s="98"/>
      <c r="Q26" s="98">
        <f t="shared" si="2"/>
        <v>7559700</v>
      </c>
      <c r="R26" s="98">
        <f t="shared" si="7"/>
        <v>604776</v>
      </c>
      <c r="S26" s="99">
        <f t="shared" si="8"/>
        <v>113395.5</v>
      </c>
      <c r="T26" s="98">
        <f t="shared" si="9"/>
        <v>75597</v>
      </c>
      <c r="U26" s="99"/>
      <c r="V26" s="99">
        <f t="shared" si="3"/>
        <v>793768.5</v>
      </c>
      <c r="W26" s="151"/>
      <c r="X26" s="99"/>
      <c r="Y26" s="99"/>
      <c r="Z26" s="99"/>
      <c r="AA26" s="99"/>
      <c r="AB26" s="99">
        <f t="shared" si="4"/>
        <v>6765931.5</v>
      </c>
      <c r="AC26" s="101" t="str">
        <f t="shared" si="5"/>
        <v>14</v>
      </c>
      <c r="AD26" s="102"/>
      <c r="AE26" s="117"/>
      <c r="AF26" s="234"/>
      <c r="AG26" s="110"/>
      <c r="AH26" s="110"/>
      <c r="AJ26" s="144"/>
      <c r="AL26" s="111"/>
    </row>
    <row r="27" spans="1:38" s="381" customFormat="1" ht="29.25" customHeight="1">
      <c r="A27" s="202" t="s">
        <v>28</v>
      </c>
      <c r="B27" s="94" t="s">
        <v>250</v>
      </c>
      <c r="C27" s="95"/>
      <c r="D27" s="112" t="s">
        <v>8</v>
      </c>
      <c r="E27" s="338"/>
      <c r="F27" s="223" t="str">
        <f>VLOOKUP(B27,[1]LuongBC_T01!$B$277:$C$292,2,FALSE)</f>
        <v>0016100006677007</v>
      </c>
      <c r="G27" s="107" t="s">
        <v>248</v>
      </c>
      <c r="H27" s="233">
        <v>10</v>
      </c>
      <c r="I27" s="98">
        <v>7199714</v>
      </c>
      <c r="J27" s="385">
        <f t="shared" si="6"/>
        <v>431982.83999999997</v>
      </c>
      <c r="K27" s="113"/>
      <c r="L27" s="98"/>
      <c r="M27" s="98">
        <f t="shared" si="0"/>
        <v>7199714</v>
      </c>
      <c r="N27" s="98"/>
      <c r="O27" s="98">
        <f t="shared" si="1"/>
        <v>0</v>
      </c>
      <c r="P27" s="98"/>
      <c r="Q27" s="98">
        <f t="shared" si="2"/>
        <v>7199714</v>
      </c>
      <c r="R27" s="98">
        <f t="shared" si="7"/>
        <v>575977.12</v>
      </c>
      <c r="S27" s="99">
        <f t="shared" si="8"/>
        <v>107995.70999999999</v>
      </c>
      <c r="T27" s="98">
        <f t="shared" si="9"/>
        <v>71997.14</v>
      </c>
      <c r="U27" s="99"/>
      <c r="V27" s="99">
        <f t="shared" si="3"/>
        <v>755969.97</v>
      </c>
      <c r="W27" s="151"/>
      <c r="X27" s="99"/>
      <c r="Y27" s="99"/>
      <c r="Z27" s="99"/>
      <c r="AA27" s="99"/>
      <c r="AB27" s="99">
        <f t="shared" si="4"/>
        <v>6443744.0300000003</v>
      </c>
      <c r="AC27" s="101" t="str">
        <f t="shared" si="5"/>
        <v>15</v>
      </c>
      <c r="AD27" s="102"/>
      <c r="AE27" s="117"/>
      <c r="AF27" s="234"/>
      <c r="AG27" s="110"/>
      <c r="AH27" s="110"/>
      <c r="AJ27" s="144"/>
      <c r="AL27" s="111"/>
    </row>
    <row r="28" spans="1:38" s="381" customFormat="1" ht="29.25" customHeight="1">
      <c r="A28" s="202" t="s">
        <v>29</v>
      </c>
      <c r="B28" s="94" t="s">
        <v>255</v>
      </c>
      <c r="C28" s="95"/>
      <c r="D28" s="112" t="s">
        <v>8</v>
      </c>
      <c r="E28" s="228"/>
      <c r="F28" s="223"/>
      <c r="G28" s="97" t="s">
        <v>248</v>
      </c>
      <c r="H28" s="233">
        <v>2</v>
      </c>
      <c r="I28" s="98">
        <v>4641000</v>
      </c>
      <c r="J28" s="385">
        <f t="shared" si="6"/>
        <v>278460</v>
      </c>
      <c r="K28" s="113"/>
      <c r="L28" s="98"/>
      <c r="M28" s="98">
        <f t="shared" si="0"/>
        <v>4641000</v>
      </c>
      <c r="N28" s="98"/>
      <c r="O28" s="98">
        <f t="shared" si="1"/>
        <v>0</v>
      </c>
      <c r="P28" s="98"/>
      <c r="Q28" s="98">
        <f t="shared" si="2"/>
        <v>4641000</v>
      </c>
      <c r="R28" s="98">
        <f t="shared" si="7"/>
        <v>371280</v>
      </c>
      <c r="S28" s="99">
        <f t="shared" si="8"/>
        <v>69615</v>
      </c>
      <c r="T28" s="98">
        <f t="shared" si="9"/>
        <v>46410</v>
      </c>
      <c r="U28" s="99"/>
      <c r="V28" s="99">
        <f t="shared" si="3"/>
        <v>487305</v>
      </c>
      <c r="W28" s="99"/>
      <c r="X28" s="99"/>
      <c r="Y28" s="151"/>
      <c r="Z28" s="99"/>
      <c r="AA28" s="99"/>
      <c r="AB28" s="99">
        <f t="shared" si="4"/>
        <v>4153695</v>
      </c>
      <c r="AC28" s="101" t="str">
        <f t="shared" si="5"/>
        <v>16</v>
      </c>
      <c r="AD28" s="102"/>
      <c r="AE28" s="102"/>
      <c r="AF28" s="120"/>
      <c r="AG28" s="116"/>
      <c r="AL28" s="380"/>
    </row>
    <row r="29" spans="1:38" s="381" customFormat="1" ht="28.5" customHeight="1">
      <c r="A29" s="202" t="s">
        <v>30</v>
      </c>
      <c r="B29" s="94" t="s">
        <v>135</v>
      </c>
      <c r="C29" s="95" t="s">
        <v>56</v>
      </c>
      <c r="D29" s="112" t="s">
        <v>259</v>
      </c>
      <c r="E29" s="228" t="str">
        <f>VLOOKUP(B29,[2]T3!$B$2:$D$328,3,FALSE)</f>
        <v>025804258</v>
      </c>
      <c r="F29" s="223" t="s">
        <v>208</v>
      </c>
      <c r="G29" s="107" t="s">
        <v>247</v>
      </c>
      <c r="H29" s="96">
        <v>5</v>
      </c>
      <c r="I29" s="98">
        <v>5748615</v>
      </c>
      <c r="J29" s="385">
        <f t="shared" si="6"/>
        <v>344916.89999999997</v>
      </c>
      <c r="K29" s="113"/>
      <c r="L29" s="98"/>
      <c r="M29" s="98">
        <f t="shared" si="0"/>
        <v>5748615</v>
      </c>
      <c r="N29" s="98"/>
      <c r="O29" s="98">
        <f t="shared" si="1"/>
        <v>0</v>
      </c>
      <c r="P29" s="98"/>
      <c r="Q29" s="98">
        <f t="shared" si="2"/>
        <v>5748615</v>
      </c>
      <c r="R29" s="98">
        <f t="shared" si="7"/>
        <v>459889.2</v>
      </c>
      <c r="S29" s="99">
        <f t="shared" si="8"/>
        <v>86229.224999999991</v>
      </c>
      <c r="T29" s="98">
        <f t="shared" si="9"/>
        <v>57486.15</v>
      </c>
      <c r="U29" s="99"/>
      <c r="V29" s="99">
        <f t="shared" si="3"/>
        <v>603604.57500000007</v>
      </c>
      <c r="W29" s="99"/>
      <c r="X29" s="100"/>
      <c r="Y29" s="100"/>
      <c r="Z29" s="100"/>
      <c r="AA29" s="100"/>
      <c r="AB29" s="99">
        <f t="shared" si="4"/>
        <v>5145010.4249999998</v>
      </c>
      <c r="AC29" s="101" t="str">
        <f t="shared" si="5"/>
        <v>17</v>
      </c>
      <c r="AD29" s="102"/>
      <c r="AE29" s="102" t="s">
        <v>107</v>
      </c>
      <c r="AF29" s="109">
        <v>1786995</v>
      </c>
      <c r="AG29" s="110">
        <f>AF29/26</f>
        <v>68730.576923076922</v>
      </c>
      <c r="AH29" s="110"/>
      <c r="AI29" s="110" t="e">
        <f>#REF!+48000</f>
        <v>#REF!</v>
      </c>
      <c r="AJ29" s="110"/>
      <c r="AK29" s="109"/>
      <c r="AL29" s="111"/>
    </row>
    <row r="30" spans="1:38" s="104" customFormat="1" ht="28.5" customHeight="1">
      <c r="A30" s="202" t="s">
        <v>89</v>
      </c>
      <c r="B30" s="94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107" t="s">
        <v>247</v>
      </c>
      <c r="H30" s="96">
        <v>4</v>
      </c>
      <c r="I30" s="98">
        <v>5474872</v>
      </c>
      <c r="J30" s="385">
        <f t="shared" si="6"/>
        <v>328492.32</v>
      </c>
      <c r="K30" s="113"/>
      <c r="L30" s="98"/>
      <c r="M30" s="98">
        <f t="shared" si="0"/>
        <v>5474872</v>
      </c>
      <c r="N30" s="98"/>
      <c r="O30" s="98">
        <f t="shared" si="1"/>
        <v>0</v>
      </c>
      <c r="P30" s="98"/>
      <c r="Q30" s="98">
        <f t="shared" si="2"/>
        <v>5474872</v>
      </c>
      <c r="R30" s="98">
        <f t="shared" si="7"/>
        <v>437989.76</v>
      </c>
      <c r="S30" s="99">
        <f t="shared" si="8"/>
        <v>82123.08</v>
      </c>
      <c r="T30" s="98">
        <f t="shared" si="9"/>
        <v>54748.72</v>
      </c>
      <c r="U30" s="99"/>
      <c r="V30" s="99">
        <f t="shared" si="3"/>
        <v>574861.56000000006</v>
      </c>
      <c r="W30" s="99"/>
      <c r="X30" s="99"/>
      <c r="Y30" s="99"/>
      <c r="Z30" s="99"/>
      <c r="AA30" s="99"/>
      <c r="AB30" s="99">
        <f t="shared" si="4"/>
        <v>4900010.4399999995</v>
      </c>
      <c r="AC30" s="101" t="str">
        <f t="shared" si="5"/>
        <v>18</v>
      </c>
      <c r="AD30" s="102"/>
      <c r="AE30" s="135">
        <f>2.67-2.41</f>
        <v>0.25999999999999979</v>
      </c>
      <c r="AF30" s="106" t="s">
        <v>59</v>
      </c>
      <c r="AG30" s="136"/>
      <c r="AH30" s="137"/>
      <c r="AL30" s="111"/>
    </row>
    <row r="31" spans="1:38" s="104" customFormat="1" ht="27.75" customHeight="1">
      <c r="A31" s="202" t="s">
        <v>90</v>
      </c>
      <c r="B31" s="94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107" t="s">
        <v>247</v>
      </c>
      <c r="H31" s="233">
        <v>2</v>
      </c>
      <c r="I31" s="98">
        <v>4965870</v>
      </c>
      <c r="J31" s="385">
        <f t="shared" si="6"/>
        <v>297952.2</v>
      </c>
      <c r="K31" s="113"/>
      <c r="L31" s="98"/>
      <c r="M31" s="98">
        <f t="shared" si="0"/>
        <v>4965870</v>
      </c>
      <c r="N31" s="98"/>
      <c r="O31" s="98">
        <f t="shared" si="1"/>
        <v>0</v>
      </c>
      <c r="P31" s="98"/>
      <c r="Q31" s="98">
        <f t="shared" si="2"/>
        <v>4965870</v>
      </c>
      <c r="R31" s="98">
        <f t="shared" si="7"/>
        <v>397269.60000000003</v>
      </c>
      <c r="S31" s="99">
        <f t="shared" si="8"/>
        <v>74488.05</v>
      </c>
      <c r="T31" s="98">
        <f t="shared" si="9"/>
        <v>49658.700000000004</v>
      </c>
      <c r="U31" s="99"/>
      <c r="V31" s="99">
        <f t="shared" si="3"/>
        <v>521416.35000000003</v>
      </c>
      <c r="W31" s="99"/>
      <c r="X31" s="99"/>
      <c r="Y31" s="99"/>
      <c r="Z31" s="99"/>
      <c r="AA31" s="99"/>
      <c r="AB31" s="99">
        <f t="shared" si="4"/>
        <v>4444453.6500000004</v>
      </c>
      <c r="AC31" s="101" t="str">
        <f t="shared" si="5"/>
        <v>19</v>
      </c>
      <c r="AD31" s="102"/>
      <c r="AE31" s="120" t="s">
        <v>86</v>
      </c>
      <c r="AF31" s="109"/>
      <c r="AG31" s="120" t="s">
        <v>112</v>
      </c>
      <c r="AH31" s="110"/>
      <c r="AI31" s="110"/>
      <c r="AL31" s="111"/>
    </row>
    <row r="32" spans="1:38" s="104" customFormat="1" ht="25.5" customHeight="1">
      <c r="A32" s="202" t="s">
        <v>91</v>
      </c>
      <c r="B32" s="94" t="s">
        <v>278</v>
      </c>
      <c r="C32" s="95"/>
      <c r="D32" s="112" t="s">
        <v>279</v>
      </c>
      <c r="E32" s="228"/>
      <c r="F32" s="223"/>
      <c r="G32" s="97" t="s">
        <v>248</v>
      </c>
      <c r="H32" s="233">
        <v>1</v>
      </c>
      <c r="I32" s="98">
        <v>4420000</v>
      </c>
      <c r="J32" s="385">
        <f t="shared" si="6"/>
        <v>265200</v>
      </c>
      <c r="K32" s="113"/>
      <c r="L32" s="98"/>
      <c r="M32" s="98">
        <f t="shared" si="0"/>
        <v>4420000</v>
      </c>
      <c r="N32" s="98"/>
      <c r="O32" s="98">
        <f t="shared" si="1"/>
        <v>0</v>
      </c>
      <c r="P32" s="98"/>
      <c r="Q32" s="98">
        <f t="shared" si="2"/>
        <v>4420000</v>
      </c>
      <c r="R32" s="98">
        <f t="shared" si="7"/>
        <v>353600</v>
      </c>
      <c r="S32" s="99">
        <f t="shared" si="8"/>
        <v>66300</v>
      </c>
      <c r="T32" s="98">
        <f t="shared" si="9"/>
        <v>44200</v>
      </c>
      <c r="U32" s="99"/>
      <c r="V32" s="99">
        <f t="shared" si="3"/>
        <v>464100</v>
      </c>
      <c r="W32" s="99"/>
      <c r="X32" s="100"/>
      <c r="Y32" s="100"/>
      <c r="Z32" s="100"/>
      <c r="AA32" s="100"/>
      <c r="AB32" s="99">
        <f t="shared" si="4"/>
        <v>3955900</v>
      </c>
      <c r="AC32" s="101" t="str">
        <f t="shared" si="5"/>
        <v>20</v>
      </c>
      <c r="AD32" s="255"/>
      <c r="AE32" s="255" t="s">
        <v>280</v>
      </c>
      <c r="AF32" s="117"/>
      <c r="AG32" s="144"/>
      <c r="AH32" s="381"/>
      <c r="AL32" s="105"/>
    </row>
    <row r="33" spans="1:38" s="104" customFormat="1" ht="38.25" customHeight="1">
      <c r="A33" s="202" t="s">
        <v>92</v>
      </c>
      <c r="B33" s="94" t="s">
        <v>305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385">
        <f t="shared" si="6"/>
        <v>265200</v>
      </c>
      <c r="K33" s="113"/>
      <c r="L33" s="98"/>
      <c r="M33" s="98">
        <f t="shared" si="0"/>
        <v>4420000</v>
      </c>
      <c r="N33" s="98"/>
      <c r="O33" s="98">
        <f t="shared" si="1"/>
        <v>0</v>
      </c>
      <c r="P33" s="98"/>
      <c r="Q33" s="98">
        <f t="shared" si="2"/>
        <v>4420000</v>
      </c>
      <c r="R33" s="98">
        <f t="shared" si="7"/>
        <v>353600</v>
      </c>
      <c r="S33" s="99">
        <f t="shared" si="8"/>
        <v>66300</v>
      </c>
      <c r="T33" s="98">
        <f t="shared" si="9"/>
        <v>44200</v>
      </c>
      <c r="U33" s="99"/>
      <c r="V33" s="99">
        <f t="shared" si="3"/>
        <v>464100</v>
      </c>
      <c r="W33" s="99"/>
      <c r="X33" s="100"/>
      <c r="Y33" s="100"/>
      <c r="Z33" s="100"/>
      <c r="AA33" s="100"/>
      <c r="AB33" s="99">
        <f t="shared" si="4"/>
        <v>3955900</v>
      </c>
      <c r="AC33" s="101" t="str">
        <f t="shared" si="5"/>
        <v>21</v>
      </c>
      <c r="AD33" s="255"/>
      <c r="AE33" s="255" t="s">
        <v>316</v>
      </c>
      <c r="AF33" s="117"/>
      <c r="AG33" s="144"/>
      <c r="AH33" s="381"/>
      <c r="AL33" s="105"/>
    </row>
    <row r="34" spans="1:38" s="104" customFormat="1" ht="31.5" customHeight="1">
      <c r="A34" s="202" t="s">
        <v>93</v>
      </c>
      <c r="B34" s="94" t="s">
        <v>352</v>
      </c>
      <c r="C34" s="95"/>
      <c r="D34" s="112" t="s">
        <v>241</v>
      </c>
      <c r="E34" s="228"/>
      <c r="F34" s="209"/>
      <c r="G34" s="97" t="s">
        <v>248</v>
      </c>
      <c r="H34" s="233">
        <v>12</v>
      </c>
      <c r="I34" s="98">
        <v>7559700</v>
      </c>
      <c r="J34" s="385">
        <f t="shared" si="6"/>
        <v>453582</v>
      </c>
      <c r="K34" s="339">
        <v>0.55000000000000004</v>
      </c>
      <c r="L34" s="113">
        <f>I34*K34</f>
        <v>4157835.0000000005</v>
      </c>
      <c r="M34" s="98">
        <f t="shared" si="0"/>
        <v>11717535</v>
      </c>
      <c r="N34" s="98"/>
      <c r="O34" s="98">
        <f t="shared" si="1"/>
        <v>0</v>
      </c>
      <c r="P34" s="98"/>
      <c r="Q34" s="98">
        <f t="shared" si="2"/>
        <v>11717535</v>
      </c>
      <c r="R34" s="98">
        <f t="shared" si="7"/>
        <v>937402.8</v>
      </c>
      <c r="S34" s="99">
        <f t="shared" si="8"/>
        <v>175763.02499999999</v>
      </c>
      <c r="T34" s="98">
        <f t="shared" si="9"/>
        <v>117175.35</v>
      </c>
      <c r="U34" s="99"/>
      <c r="V34" s="99">
        <f t="shared" si="3"/>
        <v>1230341.175</v>
      </c>
      <c r="W34" s="99"/>
      <c r="X34" s="99"/>
      <c r="Y34" s="151"/>
      <c r="Z34" s="99"/>
      <c r="AA34" s="99"/>
      <c r="AB34" s="99">
        <f t="shared" si="4"/>
        <v>10487193.824999999</v>
      </c>
      <c r="AC34" s="101" t="str">
        <f t="shared" si="5"/>
        <v>22</v>
      </c>
      <c r="AD34" s="102"/>
      <c r="AE34" s="102"/>
      <c r="AF34" s="120"/>
      <c r="AG34" s="116"/>
      <c r="AH34" s="381"/>
      <c r="AL34" s="105"/>
    </row>
    <row r="35" spans="1:38" s="104" customFormat="1" ht="39.75" customHeight="1">
      <c r="A35" s="202" t="s">
        <v>94</v>
      </c>
      <c r="B35" s="94" t="s">
        <v>307</v>
      </c>
      <c r="C35" s="95"/>
      <c r="D35" s="112" t="s">
        <v>306</v>
      </c>
      <c r="E35" s="228"/>
      <c r="F35" s="223"/>
      <c r="G35" s="97" t="s">
        <v>248</v>
      </c>
      <c r="H35" s="233">
        <v>1</v>
      </c>
      <c r="I35" s="98">
        <v>4420000</v>
      </c>
      <c r="J35" s="385">
        <f t="shared" si="6"/>
        <v>265200</v>
      </c>
      <c r="K35" s="113"/>
      <c r="L35" s="98"/>
      <c r="M35" s="98">
        <f t="shared" si="0"/>
        <v>4420000</v>
      </c>
      <c r="N35" s="98"/>
      <c r="O35" s="98">
        <f t="shared" si="1"/>
        <v>0</v>
      </c>
      <c r="P35" s="98"/>
      <c r="Q35" s="98">
        <f t="shared" si="2"/>
        <v>4420000</v>
      </c>
      <c r="R35" s="98">
        <f t="shared" si="7"/>
        <v>353600</v>
      </c>
      <c r="S35" s="99">
        <f t="shared" si="8"/>
        <v>66300</v>
      </c>
      <c r="T35" s="98">
        <f t="shared" si="9"/>
        <v>44200</v>
      </c>
      <c r="U35" s="99"/>
      <c r="V35" s="99">
        <f t="shared" si="3"/>
        <v>464100</v>
      </c>
      <c r="W35" s="99"/>
      <c r="X35" s="100"/>
      <c r="Y35" s="100"/>
      <c r="Z35" s="100"/>
      <c r="AA35" s="100"/>
      <c r="AB35" s="99">
        <f t="shared" si="4"/>
        <v>3955900</v>
      </c>
      <c r="AC35" s="101" t="str">
        <f t="shared" si="5"/>
        <v>23</v>
      </c>
      <c r="AD35" s="255"/>
      <c r="AE35" s="255" t="s">
        <v>317</v>
      </c>
      <c r="AF35" s="117"/>
      <c r="AG35" s="144"/>
      <c r="AH35" s="381"/>
      <c r="AL35" s="105"/>
    </row>
    <row r="36" spans="1:38" s="381" customFormat="1" ht="30" customHeight="1">
      <c r="A36" s="202" t="s">
        <v>95</v>
      </c>
      <c r="B36" s="94" t="s">
        <v>256</v>
      </c>
      <c r="C36" s="95"/>
      <c r="D36" s="112" t="s">
        <v>257</v>
      </c>
      <c r="E36" s="228"/>
      <c r="F36" s="223"/>
      <c r="G36" s="107" t="s">
        <v>247</v>
      </c>
      <c r="H36" s="96">
        <v>7</v>
      </c>
      <c r="I36" s="98">
        <v>6337848</v>
      </c>
      <c r="J36" s="385">
        <f t="shared" si="6"/>
        <v>380270.88</v>
      </c>
      <c r="K36" s="113"/>
      <c r="L36" s="98"/>
      <c r="M36" s="98">
        <f t="shared" si="0"/>
        <v>6337848</v>
      </c>
      <c r="N36" s="98"/>
      <c r="O36" s="98">
        <f t="shared" si="1"/>
        <v>0</v>
      </c>
      <c r="P36" s="98"/>
      <c r="Q36" s="98">
        <f t="shared" si="2"/>
        <v>6337848</v>
      </c>
      <c r="R36" s="98">
        <f>M36*8%+1</f>
        <v>507028.84</v>
      </c>
      <c r="S36" s="99">
        <f t="shared" si="8"/>
        <v>95067.72</v>
      </c>
      <c r="T36" s="98">
        <f t="shared" si="9"/>
        <v>63378.48</v>
      </c>
      <c r="U36" s="99"/>
      <c r="V36" s="99">
        <f t="shared" si="3"/>
        <v>665475.04</v>
      </c>
      <c r="W36" s="99"/>
      <c r="X36" s="100"/>
      <c r="Y36" s="100"/>
      <c r="Z36" s="100"/>
      <c r="AA36" s="100">
        <v>852000</v>
      </c>
      <c r="AB36" s="99">
        <f t="shared" si="4"/>
        <v>6524372.96</v>
      </c>
      <c r="AC36" s="101"/>
      <c r="AD36" s="102"/>
      <c r="AE36" s="102"/>
      <c r="AF36" s="109"/>
      <c r="AG36" s="110"/>
      <c r="AH36" s="110"/>
      <c r="AI36" s="110"/>
      <c r="AJ36" s="110"/>
      <c r="AK36" s="109"/>
      <c r="AL36" s="111"/>
    </row>
    <row r="37" spans="1:38" s="381" customFormat="1" ht="24.75" customHeight="1">
      <c r="A37" s="202" t="s">
        <v>96</v>
      </c>
      <c r="B37" s="94" t="s">
        <v>134</v>
      </c>
      <c r="C37" s="95" t="s">
        <v>65</v>
      </c>
      <c r="D37" s="112" t="s">
        <v>73</v>
      </c>
      <c r="E37" s="228" t="str">
        <f>VLOOKUP(B37,[2]T3!$B$2:$D$328,3,FALSE)</f>
        <v>230718298</v>
      </c>
      <c r="F37" s="209" t="s">
        <v>207</v>
      </c>
      <c r="G37" s="107" t="s">
        <v>244</v>
      </c>
      <c r="H37" s="233">
        <v>5</v>
      </c>
      <c r="I37" s="98">
        <v>6151018</v>
      </c>
      <c r="J37" s="385">
        <f t="shared" si="6"/>
        <v>369061.07999999996</v>
      </c>
      <c r="K37" s="113"/>
      <c r="L37" s="98"/>
      <c r="M37" s="98">
        <f t="shared" si="0"/>
        <v>6151018</v>
      </c>
      <c r="N37" s="98">
        <v>0</v>
      </c>
      <c r="O37" s="98">
        <f t="shared" si="1"/>
        <v>0</v>
      </c>
      <c r="P37" s="98"/>
      <c r="Q37" s="98">
        <f t="shared" si="2"/>
        <v>6151018</v>
      </c>
      <c r="R37" s="98">
        <f t="shared" ref="R37:R60" si="10">M37*8%</f>
        <v>492081.44</v>
      </c>
      <c r="S37" s="99">
        <f t="shared" si="8"/>
        <v>92265.26999999999</v>
      </c>
      <c r="T37" s="98">
        <f t="shared" si="9"/>
        <v>61510.18</v>
      </c>
      <c r="U37" s="99"/>
      <c r="V37" s="99">
        <f t="shared" si="3"/>
        <v>645856.89</v>
      </c>
      <c r="W37" s="99"/>
      <c r="X37" s="100"/>
      <c r="Y37" s="100"/>
      <c r="Z37" s="100"/>
      <c r="AA37" s="100"/>
      <c r="AB37" s="99">
        <f t="shared" si="4"/>
        <v>5505161.1100000003</v>
      </c>
      <c r="AC37" s="101" t="str">
        <f t="shared" ref="AC37:AC61" si="11">A37</f>
        <v>25</v>
      </c>
      <c r="AD37" s="102"/>
      <c r="AE37" s="102" t="s">
        <v>106</v>
      </c>
      <c r="AF37" s="108"/>
      <c r="AH37" s="381" t="e">
        <f>#REF!-#REF!</f>
        <v>#REF!</v>
      </c>
      <c r="AI37" s="116"/>
      <c r="AL37" s="380"/>
    </row>
    <row r="38" spans="1:38" s="104" customFormat="1" ht="24.75" customHeight="1">
      <c r="A38" s="202" t="s">
        <v>97</v>
      </c>
      <c r="B38" s="94" t="s">
        <v>292</v>
      </c>
      <c r="C38" s="95"/>
      <c r="D38" s="112" t="s">
        <v>293</v>
      </c>
      <c r="E38" s="228"/>
      <c r="F38" s="223"/>
      <c r="G38" s="97" t="s">
        <v>244</v>
      </c>
      <c r="H38" s="233">
        <v>1</v>
      </c>
      <c r="I38" s="98">
        <v>5060458</v>
      </c>
      <c r="J38" s="385">
        <f t="shared" si="6"/>
        <v>303627.48</v>
      </c>
      <c r="K38" s="113"/>
      <c r="L38" s="98"/>
      <c r="M38" s="98">
        <f t="shared" si="0"/>
        <v>5060458</v>
      </c>
      <c r="N38" s="98"/>
      <c r="O38" s="98">
        <f t="shared" si="1"/>
        <v>0</v>
      </c>
      <c r="P38" s="98"/>
      <c r="Q38" s="98">
        <f t="shared" si="2"/>
        <v>5060458</v>
      </c>
      <c r="R38" s="98">
        <f t="shared" si="10"/>
        <v>404836.64</v>
      </c>
      <c r="S38" s="99">
        <f t="shared" si="8"/>
        <v>75906.87</v>
      </c>
      <c r="T38" s="98">
        <f t="shared" si="9"/>
        <v>50604.58</v>
      </c>
      <c r="U38" s="99"/>
      <c r="V38" s="99">
        <f t="shared" si="3"/>
        <v>531348.09</v>
      </c>
      <c r="W38" s="99"/>
      <c r="X38" s="100"/>
      <c r="Y38" s="100"/>
      <c r="Z38" s="100"/>
      <c r="AA38" s="100"/>
      <c r="AB38" s="99">
        <f t="shared" si="4"/>
        <v>4529109.91</v>
      </c>
      <c r="AC38" s="101" t="str">
        <f t="shared" si="11"/>
        <v>26</v>
      </c>
      <c r="AD38" s="255"/>
      <c r="AE38" s="255" t="s">
        <v>302</v>
      </c>
      <c r="AF38" s="117"/>
      <c r="AG38" s="144"/>
      <c r="AH38" s="381"/>
      <c r="AL38" s="105"/>
    </row>
    <row r="39" spans="1:38" s="104" customFormat="1" ht="33" customHeight="1">
      <c r="A39" s="202" t="s">
        <v>98</v>
      </c>
      <c r="B39" s="94" t="s">
        <v>329</v>
      </c>
      <c r="C39" s="95"/>
      <c r="D39" s="112" t="s">
        <v>328</v>
      </c>
      <c r="E39" s="228"/>
      <c r="F39" s="336" t="s">
        <v>339</v>
      </c>
      <c r="G39" s="97" t="s">
        <v>244</v>
      </c>
      <c r="H39" s="233">
        <v>1</v>
      </c>
      <c r="I39" s="98">
        <v>5060458</v>
      </c>
      <c r="J39" s="385">
        <f t="shared" si="6"/>
        <v>303627.48</v>
      </c>
      <c r="K39" s="113"/>
      <c r="L39" s="98"/>
      <c r="M39" s="98">
        <f t="shared" si="0"/>
        <v>5060458</v>
      </c>
      <c r="N39" s="98"/>
      <c r="O39" s="98">
        <f t="shared" si="1"/>
        <v>0</v>
      </c>
      <c r="P39" s="98"/>
      <c r="Q39" s="98">
        <f t="shared" si="2"/>
        <v>5060458</v>
      </c>
      <c r="R39" s="98">
        <f t="shared" si="10"/>
        <v>404836.64</v>
      </c>
      <c r="S39" s="99">
        <f t="shared" si="8"/>
        <v>75906.87</v>
      </c>
      <c r="T39" s="98">
        <f t="shared" si="9"/>
        <v>50604.58</v>
      </c>
      <c r="U39" s="99"/>
      <c r="V39" s="99">
        <f t="shared" si="3"/>
        <v>531348.09</v>
      </c>
      <c r="W39" s="99"/>
      <c r="X39" s="100"/>
      <c r="Y39" s="100"/>
      <c r="Z39" s="100"/>
      <c r="AA39" s="100"/>
      <c r="AB39" s="99">
        <f t="shared" si="4"/>
        <v>4529109.91</v>
      </c>
      <c r="AC39" s="101" t="str">
        <f t="shared" si="11"/>
        <v>27</v>
      </c>
      <c r="AD39" s="255"/>
      <c r="AE39" s="335" t="s">
        <v>330</v>
      </c>
      <c r="AF39" s="117"/>
      <c r="AG39" s="144"/>
      <c r="AH39" s="381"/>
      <c r="AL39" s="105"/>
    </row>
    <row r="40" spans="1:38" s="104" customFormat="1" ht="36.75" customHeight="1">
      <c r="A40" s="202" t="s">
        <v>99</v>
      </c>
      <c r="B40" s="94" t="s">
        <v>139</v>
      </c>
      <c r="C40" s="95" t="s">
        <v>66</v>
      </c>
      <c r="D40" s="112" t="s">
        <v>173</v>
      </c>
      <c r="E40" s="227" t="s">
        <v>239</v>
      </c>
      <c r="F40" s="209" t="s">
        <v>215</v>
      </c>
      <c r="G40" s="107" t="s">
        <v>244</v>
      </c>
      <c r="H40" s="235">
        <v>7</v>
      </c>
      <c r="I40" s="98">
        <v>6781498</v>
      </c>
      <c r="J40" s="385">
        <f t="shared" si="6"/>
        <v>406889.88</v>
      </c>
      <c r="K40" s="113"/>
      <c r="L40" s="98"/>
      <c r="M40" s="98">
        <f t="shared" si="0"/>
        <v>6781498</v>
      </c>
      <c r="N40" s="98"/>
      <c r="O40" s="98">
        <f t="shared" si="1"/>
        <v>0</v>
      </c>
      <c r="P40" s="98"/>
      <c r="Q40" s="98">
        <f t="shared" si="2"/>
        <v>6781498</v>
      </c>
      <c r="R40" s="98">
        <f t="shared" si="10"/>
        <v>542519.84</v>
      </c>
      <c r="S40" s="99">
        <f t="shared" si="8"/>
        <v>101722.47</v>
      </c>
      <c r="T40" s="98">
        <f t="shared" si="9"/>
        <v>67814.98</v>
      </c>
      <c r="U40" s="99"/>
      <c r="V40" s="99">
        <f t="shared" si="3"/>
        <v>712057.28999999992</v>
      </c>
      <c r="W40" s="99"/>
      <c r="X40" s="99"/>
      <c r="Y40" s="99"/>
      <c r="Z40" s="99"/>
      <c r="AA40" s="99"/>
      <c r="AB40" s="99">
        <f t="shared" si="4"/>
        <v>6069440.71</v>
      </c>
      <c r="AC40" s="101" t="str">
        <f t="shared" si="11"/>
        <v>28</v>
      </c>
      <c r="AD40" s="102"/>
      <c r="AE40" s="103" t="s">
        <v>72</v>
      </c>
      <c r="AF40" s="152"/>
      <c r="AG40" s="104" t="e">
        <f>AG51*15</f>
        <v>#REF!</v>
      </c>
      <c r="AH40" s="381"/>
      <c r="AL40" s="105"/>
    </row>
    <row r="41" spans="1:38" s="104" customFormat="1" ht="42.75" customHeight="1">
      <c r="A41" s="202" t="s">
        <v>100</v>
      </c>
      <c r="B41" s="94" t="s">
        <v>285</v>
      </c>
      <c r="C41" s="95"/>
      <c r="D41" s="112" t="s">
        <v>289</v>
      </c>
      <c r="E41" s="228"/>
      <c r="F41" s="223" t="s">
        <v>326</v>
      </c>
      <c r="G41" s="97" t="s">
        <v>244</v>
      </c>
      <c r="H41" s="233">
        <v>1</v>
      </c>
      <c r="I41" s="98">
        <v>5060458</v>
      </c>
      <c r="J41" s="385">
        <f t="shared" si="6"/>
        <v>303627.48</v>
      </c>
      <c r="K41" s="113"/>
      <c r="L41" s="98"/>
      <c r="M41" s="98">
        <f t="shared" si="0"/>
        <v>5060458</v>
      </c>
      <c r="N41" s="98"/>
      <c r="O41" s="98">
        <f t="shared" si="1"/>
        <v>0</v>
      </c>
      <c r="P41" s="98"/>
      <c r="Q41" s="98">
        <f t="shared" si="2"/>
        <v>5060458</v>
      </c>
      <c r="R41" s="98">
        <f t="shared" si="10"/>
        <v>404836.64</v>
      </c>
      <c r="S41" s="99">
        <f t="shared" si="8"/>
        <v>75906.87</v>
      </c>
      <c r="T41" s="98">
        <f t="shared" si="9"/>
        <v>50604.58</v>
      </c>
      <c r="U41" s="99"/>
      <c r="V41" s="99">
        <f t="shared" si="3"/>
        <v>531348.09</v>
      </c>
      <c r="W41" s="99"/>
      <c r="X41" s="100"/>
      <c r="Y41" s="100"/>
      <c r="Z41" s="100"/>
      <c r="AA41" s="100"/>
      <c r="AB41" s="99">
        <f t="shared" si="4"/>
        <v>4529109.91</v>
      </c>
      <c r="AC41" s="101" t="str">
        <f t="shared" si="11"/>
        <v>29</v>
      </c>
      <c r="AD41" s="255"/>
      <c r="AE41" s="255" t="s">
        <v>286</v>
      </c>
      <c r="AF41" s="117"/>
      <c r="AG41" s="144"/>
      <c r="AH41" s="381"/>
      <c r="AL41" s="105"/>
    </row>
    <row r="42" spans="1:38" s="381" customFormat="1" ht="33" customHeight="1">
      <c r="A42" s="202" t="s">
        <v>101</v>
      </c>
      <c r="B42" s="143" t="s">
        <v>131</v>
      </c>
      <c r="C42" s="95" t="s">
        <v>7</v>
      </c>
      <c r="D42" s="112" t="s">
        <v>241</v>
      </c>
      <c r="E42" s="226" t="s">
        <v>235</v>
      </c>
      <c r="F42" s="223" t="s">
        <v>204</v>
      </c>
      <c r="G42" s="107" t="s">
        <v>247</v>
      </c>
      <c r="H42" s="233">
        <v>4</v>
      </c>
      <c r="I42" s="98">
        <v>5474872</v>
      </c>
      <c r="J42" s="385">
        <f t="shared" si="6"/>
        <v>328492.32</v>
      </c>
      <c r="K42" s="113"/>
      <c r="L42" s="98"/>
      <c r="M42" s="98">
        <f t="shared" si="0"/>
        <v>5474872</v>
      </c>
      <c r="N42" s="98"/>
      <c r="O42" s="98">
        <f t="shared" si="1"/>
        <v>0</v>
      </c>
      <c r="P42" s="98"/>
      <c r="Q42" s="98">
        <f t="shared" si="2"/>
        <v>5474872</v>
      </c>
      <c r="R42" s="98">
        <f t="shared" si="10"/>
        <v>437989.76</v>
      </c>
      <c r="S42" s="99">
        <f t="shared" si="8"/>
        <v>82123.08</v>
      </c>
      <c r="T42" s="98">
        <f t="shared" si="9"/>
        <v>54748.72</v>
      </c>
      <c r="U42" s="99"/>
      <c r="V42" s="99">
        <f t="shared" si="3"/>
        <v>574861.56000000006</v>
      </c>
      <c r="W42" s="151"/>
      <c r="X42" s="99"/>
      <c r="Y42" s="151"/>
      <c r="Z42" s="99"/>
      <c r="AA42" s="99"/>
      <c r="AB42" s="99">
        <f t="shared" si="4"/>
        <v>4900010.4399999995</v>
      </c>
      <c r="AC42" s="101" t="str">
        <f t="shared" si="11"/>
        <v>30</v>
      </c>
      <c r="AD42" s="102" t="s">
        <v>361</v>
      </c>
      <c r="AE42" s="117">
        <f>AE22*10.5%</f>
        <v>486013.5</v>
      </c>
      <c r="AF42" s="625"/>
      <c r="AG42" s="626"/>
      <c r="AH42" s="626"/>
      <c r="AI42" s="626"/>
      <c r="AL42" s="119"/>
    </row>
    <row r="43" spans="1:38" s="104" customFormat="1" ht="37.5" customHeight="1">
      <c r="A43" s="202" t="s">
        <v>102</v>
      </c>
      <c r="B43" s="94" t="s">
        <v>146</v>
      </c>
      <c r="C43" s="95" t="s">
        <v>118</v>
      </c>
      <c r="D43" s="112" t="s">
        <v>289</v>
      </c>
      <c r="E43" s="226" t="s">
        <v>234</v>
      </c>
      <c r="F43" s="209" t="s">
        <v>211</v>
      </c>
      <c r="G43" s="107" t="s">
        <v>244</v>
      </c>
      <c r="H43" s="233">
        <v>1</v>
      </c>
      <c r="I43" s="98">
        <v>5060458</v>
      </c>
      <c r="J43" s="385">
        <f t="shared" si="6"/>
        <v>303627.48</v>
      </c>
      <c r="K43" s="113"/>
      <c r="L43" s="98"/>
      <c r="M43" s="98">
        <f t="shared" si="0"/>
        <v>5060458</v>
      </c>
      <c r="N43" s="98"/>
      <c r="O43" s="98">
        <f t="shared" si="1"/>
        <v>0</v>
      </c>
      <c r="P43" s="98"/>
      <c r="Q43" s="98">
        <f t="shared" si="2"/>
        <v>5060458</v>
      </c>
      <c r="R43" s="98">
        <f t="shared" si="10"/>
        <v>404836.64</v>
      </c>
      <c r="S43" s="99">
        <f t="shared" si="8"/>
        <v>75906.87</v>
      </c>
      <c r="T43" s="98">
        <f t="shared" si="9"/>
        <v>50604.58</v>
      </c>
      <c r="U43" s="99"/>
      <c r="V43" s="99">
        <f t="shared" si="3"/>
        <v>531348.09</v>
      </c>
      <c r="W43" s="99"/>
      <c r="X43" s="99"/>
      <c r="Y43" s="99"/>
      <c r="Z43" s="99"/>
      <c r="AA43" s="99"/>
      <c r="AB43" s="99">
        <f t="shared" si="4"/>
        <v>4529109.91</v>
      </c>
      <c r="AC43" s="101" t="str">
        <f t="shared" si="11"/>
        <v>31</v>
      </c>
      <c r="AD43" s="118"/>
      <c r="AE43" s="139" t="s">
        <v>119</v>
      </c>
      <c r="AF43" s="155"/>
      <c r="AG43" s="128"/>
      <c r="AH43" s="110"/>
      <c r="AI43" s="110"/>
      <c r="AL43" s="111"/>
    </row>
    <row r="44" spans="1:38" s="104" customFormat="1" ht="42.75" customHeight="1">
      <c r="A44" s="202" t="s">
        <v>103</v>
      </c>
      <c r="B44" s="94" t="s">
        <v>313</v>
      </c>
      <c r="C44" s="95"/>
      <c r="D44" s="112" t="s">
        <v>289</v>
      </c>
      <c r="E44" s="228"/>
      <c r="F44" s="223"/>
      <c r="G44" s="97" t="s">
        <v>244</v>
      </c>
      <c r="H44" s="233">
        <v>1</v>
      </c>
      <c r="I44" s="98">
        <v>5060458</v>
      </c>
      <c r="J44" s="385">
        <f t="shared" si="6"/>
        <v>303627.48</v>
      </c>
      <c r="K44" s="113"/>
      <c r="L44" s="98"/>
      <c r="M44" s="98">
        <f t="shared" si="0"/>
        <v>5060458</v>
      </c>
      <c r="N44" s="98"/>
      <c r="O44" s="98">
        <f t="shared" si="1"/>
        <v>0</v>
      </c>
      <c r="P44" s="98"/>
      <c r="Q44" s="98">
        <f t="shared" si="2"/>
        <v>5060458</v>
      </c>
      <c r="R44" s="98">
        <f t="shared" si="10"/>
        <v>404836.64</v>
      </c>
      <c r="S44" s="99">
        <f t="shared" si="8"/>
        <v>75906.87</v>
      </c>
      <c r="T44" s="98">
        <f t="shared" si="9"/>
        <v>50604.58</v>
      </c>
      <c r="U44" s="99"/>
      <c r="V44" s="99">
        <f t="shared" si="3"/>
        <v>531348.09</v>
      </c>
      <c r="W44" s="99"/>
      <c r="X44" s="100"/>
      <c r="Y44" s="100"/>
      <c r="Z44" s="100"/>
      <c r="AA44" s="100"/>
      <c r="AB44" s="99">
        <f t="shared" si="4"/>
        <v>4529109.91</v>
      </c>
      <c r="AC44" s="101" t="str">
        <f t="shared" si="11"/>
        <v>32</v>
      </c>
      <c r="AD44" s="255"/>
      <c r="AE44" s="255" t="s">
        <v>314</v>
      </c>
      <c r="AF44" s="117"/>
      <c r="AG44" s="144"/>
      <c r="AH44" s="381"/>
      <c r="AL44" s="105"/>
    </row>
    <row r="45" spans="1:38" s="381" customFormat="1" ht="39" customHeight="1">
      <c r="A45" s="202" t="s">
        <v>104</v>
      </c>
      <c r="B45" s="94" t="s">
        <v>348</v>
      </c>
      <c r="C45" s="95"/>
      <c r="D45" s="112" t="s">
        <v>349</v>
      </c>
      <c r="E45" s="228"/>
      <c r="F45" s="223"/>
      <c r="G45" s="97" t="s">
        <v>247</v>
      </c>
      <c r="H45" s="233">
        <v>4</v>
      </c>
      <c r="I45" s="98">
        <v>5474872</v>
      </c>
      <c r="J45" s="385">
        <f t="shared" si="6"/>
        <v>328492.32</v>
      </c>
      <c r="K45" s="113"/>
      <c r="L45" s="98"/>
      <c r="M45" s="98">
        <f t="shared" si="0"/>
        <v>5474872</v>
      </c>
      <c r="N45" s="98"/>
      <c r="O45" s="98">
        <f t="shared" si="1"/>
        <v>0</v>
      </c>
      <c r="P45" s="98"/>
      <c r="Q45" s="98">
        <f t="shared" si="2"/>
        <v>5474872</v>
      </c>
      <c r="R45" s="98">
        <f t="shared" si="10"/>
        <v>437989.76</v>
      </c>
      <c r="S45" s="99">
        <f t="shared" si="8"/>
        <v>82123.08</v>
      </c>
      <c r="T45" s="98">
        <f t="shared" si="9"/>
        <v>54748.72</v>
      </c>
      <c r="U45" s="99"/>
      <c r="V45" s="99">
        <f t="shared" si="3"/>
        <v>574861.56000000006</v>
      </c>
      <c r="W45" s="99"/>
      <c r="X45" s="99"/>
      <c r="Y45" s="151"/>
      <c r="Z45" s="99"/>
      <c r="AA45" s="99"/>
      <c r="AB45" s="99">
        <f t="shared" si="4"/>
        <v>4900010.4399999995</v>
      </c>
      <c r="AC45" s="101" t="str">
        <f t="shared" si="11"/>
        <v>33</v>
      </c>
      <c r="AD45" s="102"/>
      <c r="AE45" s="102"/>
      <c r="AF45" s="120"/>
      <c r="AG45" s="116"/>
      <c r="AL45" s="380"/>
    </row>
    <row r="46" spans="1:38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385">
        <f t="shared" si="6"/>
        <v>303627.48</v>
      </c>
      <c r="K46" s="113"/>
      <c r="L46" s="98"/>
      <c r="M46" s="98">
        <f t="shared" si="0"/>
        <v>5060458</v>
      </c>
      <c r="N46" s="98"/>
      <c r="O46" s="98">
        <f t="shared" si="1"/>
        <v>0</v>
      </c>
      <c r="P46" s="98"/>
      <c r="Q46" s="98">
        <f t="shared" si="2"/>
        <v>5060458</v>
      </c>
      <c r="R46" s="98">
        <f t="shared" si="10"/>
        <v>404836.64</v>
      </c>
      <c r="S46" s="99">
        <f t="shared" si="8"/>
        <v>75906.87</v>
      </c>
      <c r="T46" s="98">
        <f t="shared" si="9"/>
        <v>50604.58</v>
      </c>
      <c r="U46" s="99"/>
      <c r="V46" s="99">
        <f t="shared" si="3"/>
        <v>531348.09</v>
      </c>
      <c r="W46" s="99"/>
      <c r="X46" s="334"/>
      <c r="Y46" s="334"/>
      <c r="Z46" s="334"/>
      <c r="AA46" s="334"/>
      <c r="AB46" s="99">
        <f t="shared" si="4"/>
        <v>4529109.91</v>
      </c>
      <c r="AC46" s="101" t="str">
        <f t="shared" si="11"/>
        <v>34</v>
      </c>
      <c r="AD46" s="102"/>
      <c r="AE46" s="145" t="s">
        <v>127</v>
      </c>
      <c r="AF46" s="381"/>
      <c r="AG46" s="381"/>
      <c r="AK46" s="105"/>
    </row>
    <row r="47" spans="1:38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385">
        <f t="shared" si="6"/>
        <v>334749.3</v>
      </c>
      <c r="K47" s="113"/>
      <c r="L47" s="98"/>
      <c r="M47" s="98">
        <f t="shared" si="0"/>
        <v>5579155</v>
      </c>
      <c r="N47" s="98"/>
      <c r="O47" s="98">
        <f t="shared" si="1"/>
        <v>0</v>
      </c>
      <c r="P47" s="98"/>
      <c r="Q47" s="98">
        <f t="shared" si="2"/>
        <v>5579155</v>
      </c>
      <c r="R47" s="98">
        <f t="shared" si="10"/>
        <v>446332.4</v>
      </c>
      <c r="S47" s="99">
        <f t="shared" si="8"/>
        <v>83687.324999999997</v>
      </c>
      <c r="T47" s="98">
        <f t="shared" si="9"/>
        <v>55791.55</v>
      </c>
      <c r="U47" s="99"/>
      <c r="V47" s="99">
        <f t="shared" si="3"/>
        <v>585811.27500000002</v>
      </c>
      <c r="W47" s="99"/>
      <c r="X47" s="99"/>
      <c r="Y47" s="99"/>
      <c r="Z47" s="99"/>
      <c r="AA47" s="99"/>
      <c r="AB47" s="99">
        <f t="shared" si="4"/>
        <v>4993343.7249999996</v>
      </c>
      <c r="AC47" s="101" t="str">
        <f t="shared" si="11"/>
        <v>35</v>
      </c>
      <c r="AD47" s="102"/>
      <c r="AE47" s="127" t="s">
        <v>116</v>
      </c>
      <c r="AF47" s="109" t="e">
        <f>AF23*4</f>
        <v>#REF!</v>
      </c>
      <c r="AG47" s="120"/>
      <c r="AH47" s="110"/>
      <c r="AI47" s="110"/>
      <c r="AL47" s="111"/>
    </row>
    <row r="48" spans="1:38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385">
        <f t="shared" si="6"/>
        <v>369061.07999999996</v>
      </c>
      <c r="K48" s="113"/>
      <c r="L48" s="98"/>
      <c r="M48" s="98">
        <f t="shared" si="0"/>
        <v>6151018</v>
      </c>
      <c r="N48" s="98"/>
      <c r="O48" s="98">
        <f t="shared" si="1"/>
        <v>0</v>
      </c>
      <c r="P48" s="98"/>
      <c r="Q48" s="98">
        <f t="shared" si="2"/>
        <v>6151018</v>
      </c>
      <c r="R48" s="98">
        <f t="shared" si="10"/>
        <v>492081.44</v>
      </c>
      <c r="S48" s="99">
        <f t="shared" si="8"/>
        <v>92265.26999999999</v>
      </c>
      <c r="T48" s="98">
        <f t="shared" si="9"/>
        <v>61510.18</v>
      </c>
      <c r="U48" s="99"/>
      <c r="V48" s="99">
        <f t="shared" si="3"/>
        <v>645856.89</v>
      </c>
      <c r="W48" s="99"/>
      <c r="X48" s="99"/>
      <c r="Y48" s="99"/>
      <c r="Z48" s="99"/>
      <c r="AA48" s="99"/>
      <c r="AB48" s="99">
        <f t="shared" si="4"/>
        <v>5505161.1100000003</v>
      </c>
      <c r="AC48" s="101" t="str">
        <f t="shared" si="11"/>
        <v>36</v>
      </c>
      <c r="AD48" s="118"/>
      <c r="AE48" s="155"/>
      <c r="AF48" s="155"/>
      <c r="AG48" s="128"/>
      <c r="AH48" s="110"/>
      <c r="AI48" s="110"/>
      <c r="AL48" s="111"/>
    </row>
    <row r="49" spans="1:39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385">
        <f t="shared" si="6"/>
        <v>387514.14</v>
      </c>
      <c r="K49" s="113"/>
      <c r="L49" s="98"/>
      <c r="M49" s="98">
        <f t="shared" si="0"/>
        <v>6458569</v>
      </c>
      <c r="N49" s="98"/>
      <c r="O49" s="98">
        <f t="shared" si="1"/>
        <v>0</v>
      </c>
      <c r="P49" s="98"/>
      <c r="Q49" s="98">
        <f t="shared" si="2"/>
        <v>6458569</v>
      </c>
      <c r="R49" s="98">
        <f t="shared" si="10"/>
        <v>516685.52</v>
      </c>
      <c r="S49" s="99">
        <f t="shared" si="8"/>
        <v>96878.535000000003</v>
      </c>
      <c r="T49" s="98">
        <f t="shared" si="9"/>
        <v>64585.69</v>
      </c>
      <c r="U49" s="99"/>
      <c r="V49" s="99">
        <f t="shared" si="3"/>
        <v>678149.74500000011</v>
      </c>
      <c r="W49" s="99"/>
      <c r="X49" s="100"/>
      <c r="Y49" s="100"/>
      <c r="Z49" s="100"/>
      <c r="AA49" s="100"/>
      <c r="AB49" s="99">
        <f t="shared" si="4"/>
        <v>5780419.2549999999</v>
      </c>
      <c r="AC49" s="101" t="str">
        <f t="shared" si="11"/>
        <v>37</v>
      </c>
      <c r="AD49" s="255"/>
      <c r="AE49" s="103"/>
      <c r="AF49" s="103" t="s">
        <v>64</v>
      </c>
      <c r="AG49" s="102"/>
      <c r="AH49" s="381"/>
      <c r="AL49" s="105"/>
    </row>
    <row r="50" spans="1:39" s="104" customFormat="1" ht="28.5" customHeight="1">
      <c r="A50" s="202" t="s">
        <v>263</v>
      </c>
      <c r="B50" s="94" t="s">
        <v>364</v>
      </c>
      <c r="C50" s="95"/>
      <c r="D50" s="112" t="s">
        <v>188</v>
      </c>
      <c r="E50" s="228"/>
      <c r="F50" s="209"/>
      <c r="G50" s="97" t="s">
        <v>244</v>
      </c>
      <c r="H50" s="233">
        <v>1</v>
      </c>
      <c r="I50" s="98">
        <v>5060458</v>
      </c>
      <c r="J50" s="385">
        <f t="shared" si="6"/>
        <v>303627.48</v>
      </c>
      <c r="K50" s="113"/>
      <c r="L50" s="98"/>
      <c r="M50" s="98">
        <f t="shared" si="0"/>
        <v>5060458</v>
      </c>
      <c r="N50" s="98"/>
      <c r="O50" s="98">
        <f t="shared" si="1"/>
        <v>0</v>
      </c>
      <c r="P50" s="98"/>
      <c r="Q50" s="98">
        <f t="shared" si="2"/>
        <v>5060458</v>
      </c>
      <c r="R50" s="98">
        <f t="shared" si="10"/>
        <v>404836.64</v>
      </c>
      <c r="S50" s="99">
        <f t="shared" si="8"/>
        <v>75906.87</v>
      </c>
      <c r="T50" s="98">
        <f t="shared" si="9"/>
        <v>50604.58</v>
      </c>
      <c r="U50" s="99"/>
      <c r="V50" s="99">
        <f t="shared" si="3"/>
        <v>531348.09</v>
      </c>
      <c r="W50" s="99"/>
      <c r="X50" s="100"/>
      <c r="Y50" s="100"/>
      <c r="Z50" s="100"/>
      <c r="AA50" s="100"/>
      <c r="AB50" s="99">
        <f t="shared" si="4"/>
        <v>4529109.91</v>
      </c>
      <c r="AC50" s="101" t="str">
        <f t="shared" si="11"/>
        <v>38</v>
      </c>
      <c r="AD50" s="255"/>
      <c r="AE50" s="255" t="s">
        <v>369</v>
      </c>
      <c r="AF50" s="103"/>
      <c r="AG50" s="144"/>
      <c r="AH50" s="381"/>
      <c r="AL50" s="105"/>
    </row>
    <row r="51" spans="1:39" s="104" customFormat="1" ht="36.75" customHeight="1">
      <c r="A51" s="202" t="s">
        <v>264</v>
      </c>
      <c r="B51" s="143" t="s">
        <v>138</v>
      </c>
      <c r="C51" s="95" t="s">
        <v>83</v>
      </c>
      <c r="D51" s="112" t="s">
        <v>189</v>
      </c>
      <c r="E51" s="228" t="str">
        <f>VLOOKUP(B51,[2]T3!$B$2:$D$328,3,FALSE)</f>
        <v>095189000070</v>
      </c>
      <c r="F51" s="209" t="s">
        <v>214</v>
      </c>
      <c r="G51" s="97" t="s">
        <v>244</v>
      </c>
      <c r="H51" s="235">
        <v>5</v>
      </c>
      <c r="I51" s="98">
        <v>6151018</v>
      </c>
      <c r="J51" s="385">
        <f t="shared" si="6"/>
        <v>369061.07999999996</v>
      </c>
      <c r="K51" s="113"/>
      <c r="L51" s="98"/>
      <c r="M51" s="98">
        <f t="shared" si="0"/>
        <v>6151018</v>
      </c>
      <c r="N51" s="98"/>
      <c r="O51" s="98">
        <f t="shared" si="1"/>
        <v>0</v>
      </c>
      <c r="P51" s="98"/>
      <c r="Q51" s="98">
        <f t="shared" si="2"/>
        <v>6151018</v>
      </c>
      <c r="R51" s="98">
        <f t="shared" si="10"/>
        <v>492081.44</v>
      </c>
      <c r="S51" s="99">
        <f t="shared" si="8"/>
        <v>92265.26999999999</v>
      </c>
      <c r="T51" s="98">
        <f t="shared" si="9"/>
        <v>61510.18</v>
      </c>
      <c r="U51" s="99"/>
      <c r="V51" s="99">
        <f t="shared" si="3"/>
        <v>645856.89</v>
      </c>
      <c r="W51" s="99"/>
      <c r="X51" s="99"/>
      <c r="Y51" s="99"/>
      <c r="Z51" s="99"/>
      <c r="AA51" s="99"/>
      <c r="AB51" s="99">
        <f t="shared" si="4"/>
        <v>5505161.1100000003</v>
      </c>
      <c r="AC51" s="101" t="str">
        <f t="shared" si="11"/>
        <v>39</v>
      </c>
      <c r="AD51" s="134"/>
      <c r="AE51" s="102" t="s">
        <v>84</v>
      </c>
      <c r="AF51" s="102" t="s">
        <v>113</v>
      </c>
      <c r="AG51" s="104" t="e">
        <f>#REF!/24</f>
        <v>#REF!</v>
      </c>
      <c r="AH51" s="381"/>
      <c r="AL51" s="105"/>
    </row>
    <row r="52" spans="1:39" s="104" customFormat="1" ht="27" customHeight="1">
      <c r="A52" s="202" t="s">
        <v>265</v>
      </c>
      <c r="B52" s="94" t="s">
        <v>137</v>
      </c>
      <c r="C52" s="331" t="s">
        <v>7</v>
      </c>
      <c r="D52" s="112" t="s">
        <v>190</v>
      </c>
      <c r="E52" s="228" t="str">
        <f>VLOOKUP(B52,[2]T3!$B$2:$D$328,3,FALSE)</f>
        <v>023680986</v>
      </c>
      <c r="F52" s="209" t="s">
        <v>213</v>
      </c>
      <c r="G52" s="97" t="s">
        <v>244</v>
      </c>
      <c r="H52" s="233">
        <v>5</v>
      </c>
      <c r="I52" s="98">
        <v>6151018</v>
      </c>
      <c r="J52" s="385">
        <f t="shared" si="6"/>
        <v>369061.07999999996</v>
      </c>
      <c r="K52" s="113"/>
      <c r="L52" s="98"/>
      <c r="M52" s="98">
        <f t="shared" si="0"/>
        <v>6151018</v>
      </c>
      <c r="N52" s="98"/>
      <c r="O52" s="98">
        <f t="shared" si="1"/>
        <v>0</v>
      </c>
      <c r="P52" s="98"/>
      <c r="Q52" s="98">
        <f t="shared" si="2"/>
        <v>6151018</v>
      </c>
      <c r="R52" s="98">
        <f t="shared" si="10"/>
        <v>492081.44</v>
      </c>
      <c r="S52" s="99">
        <f t="shared" si="8"/>
        <v>92265.26999999999</v>
      </c>
      <c r="T52" s="98">
        <f t="shared" si="9"/>
        <v>61510.18</v>
      </c>
      <c r="U52" s="99"/>
      <c r="V52" s="99">
        <f t="shared" si="3"/>
        <v>645856.89</v>
      </c>
      <c r="W52" s="99"/>
      <c r="X52" s="332"/>
      <c r="Y52" s="332"/>
      <c r="Z52" s="332"/>
      <c r="AA52" s="332"/>
      <c r="AB52" s="99">
        <f t="shared" si="4"/>
        <v>5505161.1100000003</v>
      </c>
      <c r="AC52" s="101" t="str">
        <f t="shared" si="11"/>
        <v>40</v>
      </c>
      <c r="AD52" s="118"/>
      <c r="AE52" s="114" t="s">
        <v>108</v>
      </c>
      <c r="AF52" s="115"/>
      <c r="AG52" s="115" t="e">
        <f>#REF!*2</f>
        <v>#REF!</v>
      </c>
      <c r="AH52" s="115"/>
      <c r="AI52" s="115"/>
      <c r="AL52" s="105"/>
    </row>
    <row r="53" spans="1:39" s="104" customFormat="1" ht="33" customHeight="1">
      <c r="A53" s="202" t="s">
        <v>266</v>
      </c>
      <c r="B53" s="94" t="s">
        <v>303</v>
      </c>
      <c r="C53" s="95"/>
      <c r="D53" s="112" t="s">
        <v>190</v>
      </c>
      <c r="E53" s="228"/>
      <c r="F53" s="223" t="s">
        <v>327</v>
      </c>
      <c r="G53" s="97" t="s">
        <v>244</v>
      </c>
      <c r="H53" s="233">
        <v>1</v>
      </c>
      <c r="I53" s="98">
        <v>5060458</v>
      </c>
      <c r="J53" s="385">
        <f t="shared" si="6"/>
        <v>303627.48</v>
      </c>
      <c r="K53" s="113"/>
      <c r="L53" s="98"/>
      <c r="M53" s="98">
        <f>ROUND(I53+L53,0)</f>
        <v>5060458</v>
      </c>
      <c r="N53" s="98"/>
      <c r="O53" s="98">
        <f>M53/24*N53</f>
        <v>0</v>
      </c>
      <c r="P53" s="98"/>
      <c r="Q53" s="98">
        <f>M53-O53+P53</f>
        <v>5060458</v>
      </c>
      <c r="R53" s="98">
        <f>M53*8%</f>
        <v>404836.64</v>
      </c>
      <c r="S53" s="99">
        <f>M53*1.5%</f>
        <v>75906.87</v>
      </c>
      <c r="T53" s="98">
        <f>M53*1%</f>
        <v>50604.58</v>
      </c>
      <c r="U53" s="99"/>
      <c r="V53" s="99">
        <f>SUM(R53:U53)</f>
        <v>531348.09</v>
      </c>
      <c r="W53" s="99"/>
      <c r="X53" s="100"/>
      <c r="Y53" s="100"/>
      <c r="Z53" s="100"/>
      <c r="AA53" s="100"/>
      <c r="AB53" s="99">
        <f>Q53-V53+X53+Z53+AA53</f>
        <v>4529109.91</v>
      </c>
      <c r="AC53" s="101" t="str">
        <f>A53</f>
        <v>41</v>
      </c>
      <c r="AD53" s="255"/>
      <c r="AE53" s="255" t="s">
        <v>304</v>
      </c>
      <c r="AF53" s="117"/>
      <c r="AG53" s="144"/>
      <c r="AH53" s="381"/>
      <c r="AL53" s="105"/>
    </row>
    <row r="54" spans="1:39" s="104" customFormat="1" ht="35.25" customHeight="1">
      <c r="A54" s="202" t="s">
        <v>267</v>
      </c>
      <c r="B54" s="94" t="s">
        <v>182</v>
      </c>
      <c r="C54" s="95"/>
      <c r="D54" s="112" t="s">
        <v>366</v>
      </c>
      <c r="E54" s="228" t="str">
        <f>VLOOKUP(B54,[2]T3!$B$2:$D$328,3,FALSE)</f>
        <v>025273555</v>
      </c>
      <c r="F54" s="223" t="s">
        <v>224</v>
      </c>
      <c r="G54" s="97" t="s">
        <v>248</v>
      </c>
      <c r="H54" s="233">
        <v>3</v>
      </c>
      <c r="I54" s="98">
        <v>4873050</v>
      </c>
      <c r="J54" s="385">
        <f t="shared" si="6"/>
        <v>292383</v>
      </c>
      <c r="K54" s="113"/>
      <c r="L54" s="98"/>
      <c r="M54" s="98">
        <f t="shared" si="0"/>
        <v>4873050</v>
      </c>
      <c r="N54" s="98"/>
      <c r="O54" s="98">
        <f t="shared" si="1"/>
        <v>0</v>
      </c>
      <c r="P54" s="98"/>
      <c r="Q54" s="98">
        <f t="shared" si="2"/>
        <v>4873050</v>
      </c>
      <c r="R54" s="98">
        <f t="shared" si="10"/>
        <v>389844</v>
      </c>
      <c r="S54" s="99">
        <f t="shared" si="8"/>
        <v>73095.75</v>
      </c>
      <c r="T54" s="98">
        <f t="shared" si="9"/>
        <v>48730.5</v>
      </c>
      <c r="U54" s="99"/>
      <c r="V54" s="99">
        <f t="shared" si="3"/>
        <v>511670.25</v>
      </c>
      <c r="W54" s="99"/>
      <c r="X54" s="100"/>
      <c r="Y54" s="100"/>
      <c r="Z54" s="100"/>
      <c r="AA54" s="100"/>
      <c r="AB54" s="99">
        <f t="shared" si="4"/>
        <v>4361379.75</v>
      </c>
      <c r="AC54" s="101" t="str">
        <f t="shared" si="11"/>
        <v>42</v>
      </c>
      <c r="AD54" s="255"/>
      <c r="AE54" s="145" t="s">
        <v>184</v>
      </c>
      <c r="AF54" s="117"/>
      <c r="AG54" s="144"/>
      <c r="AH54" s="381"/>
      <c r="AL54" s="105"/>
    </row>
    <row r="55" spans="1:39" s="104" customFormat="1" ht="33.75" customHeight="1">
      <c r="A55" s="202" t="s">
        <v>281</v>
      </c>
      <c r="B55" s="94" t="s">
        <v>174</v>
      </c>
      <c r="C55" s="95"/>
      <c r="D55" s="112" t="s">
        <v>366</v>
      </c>
      <c r="E55" s="228" t="str">
        <f>VLOOKUP(B55,[2]T3!$B$2:$D$328,3,FALSE)</f>
        <v>025947357</v>
      </c>
      <c r="F55" s="209" t="s">
        <v>212</v>
      </c>
      <c r="G55" s="97" t="s">
        <v>244</v>
      </c>
      <c r="H55" s="233">
        <v>3</v>
      </c>
      <c r="I55" s="98">
        <v>5579155</v>
      </c>
      <c r="J55" s="385">
        <f t="shared" si="6"/>
        <v>334749.3</v>
      </c>
      <c r="K55" s="113"/>
      <c r="L55" s="98"/>
      <c r="M55" s="98">
        <f t="shared" si="0"/>
        <v>5579155</v>
      </c>
      <c r="N55" s="98"/>
      <c r="O55" s="98">
        <f t="shared" si="1"/>
        <v>0</v>
      </c>
      <c r="P55" s="98"/>
      <c r="Q55" s="98">
        <f t="shared" si="2"/>
        <v>5579155</v>
      </c>
      <c r="R55" s="98">
        <f t="shared" si="10"/>
        <v>446332.4</v>
      </c>
      <c r="S55" s="99">
        <f t="shared" si="8"/>
        <v>83687.324999999997</v>
      </c>
      <c r="T55" s="98">
        <f t="shared" si="9"/>
        <v>55791.55</v>
      </c>
      <c r="U55" s="99"/>
      <c r="V55" s="99">
        <f t="shared" si="3"/>
        <v>585811.27500000002</v>
      </c>
      <c r="W55" s="99"/>
      <c r="X55" s="99"/>
      <c r="Y55" s="99"/>
      <c r="Z55" s="99"/>
      <c r="AA55" s="99"/>
      <c r="AB55" s="99">
        <f t="shared" si="4"/>
        <v>4993343.7249999996</v>
      </c>
      <c r="AC55" s="101" t="str">
        <f t="shared" si="11"/>
        <v>43</v>
      </c>
      <c r="AD55" s="118"/>
      <c r="AE55" s="139" t="s">
        <v>175</v>
      </c>
      <c r="AF55" s="155"/>
      <c r="AG55" s="128"/>
      <c r="AH55" s="110"/>
      <c r="AI55" s="110"/>
      <c r="AL55" s="111"/>
    </row>
    <row r="56" spans="1:39" s="381" customFormat="1" ht="24" customHeight="1">
      <c r="A56" s="202" t="s">
        <v>287</v>
      </c>
      <c r="B56" s="94" t="s">
        <v>144</v>
      </c>
      <c r="C56" s="95" t="s">
        <v>9</v>
      </c>
      <c r="D56" s="112" t="s">
        <v>10</v>
      </c>
      <c r="E56" s="228" t="str">
        <f>VLOOKUP(B56,[2]T3!$B$2:$D$328,3,FALSE)</f>
        <v>273417648</v>
      </c>
      <c r="F56" s="223" t="s">
        <v>220</v>
      </c>
      <c r="G56" s="107" t="s">
        <v>244</v>
      </c>
      <c r="H56" s="96">
        <v>3</v>
      </c>
      <c r="I56" s="98">
        <v>5579155</v>
      </c>
      <c r="J56" s="385">
        <f t="shared" si="6"/>
        <v>334749.3</v>
      </c>
      <c r="K56" s="113"/>
      <c r="L56" s="98"/>
      <c r="M56" s="98">
        <f t="shared" si="0"/>
        <v>5579155</v>
      </c>
      <c r="N56" s="98"/>
      <c r="O56" s="98">
        <f t="shared" si="1"/>
        <v>0</v>
      </c>
      <c r="P56" s="98"/>
      <c r="Q56" s="98">
        <f t="shared" si="2"/>
        <v>5579155</v>
      </c>
      <c r="R56" s="98">
        <f t="shared" si="10"/>
        <v>446332.4</v>
      </c>
      <c r="S56" s="99">
        <f t="shared" si="8"/>
        <v>83687.324999999997</v>
      </c>
      <c r="T56" s="98">
        <f t="shared" si="9"/>
        <v>55791.55</v>
      </c>
      <c r="U56" s="99"/>
      <c r="V56" s="99">
        <f t="shared" si="3"/>
        <v>585811.27500000002</v>
      </c>
      <c r="W56" s="99"/>
      <c r="X56" s="99"/>
      <c r="Y56" s="99"/>
      <c r="Z56" s="99"/>
      <c r="AA56" s="99"/>
      <c r="AB56" s="99">
        <f t="shared" si="4"/>
        <v>4993343.7249999996</v>
      </c>
      <c r="AC56" s="101" t="str">
        <f t="shared" si="11"/>
        <v>44</v>
      </c>
      <c r="AD56" s="102"/>
      <c r="AE56" s="117" t="s">
        <v>117</v>
      </c>
      <c r="AF56" s="109"/>
      <c r="AG56" s="120"/>
      <c r="AH56" s="110" t="e">
        <f>AH58*12</f>
        <v>#REF!</v>
      </c>
      <c r="AI56" s="110"/>
      <c r="AL56" s="111"/>
    </row>
    <row r="57" spans="1:39" s="104" customFormat="1" ht="31.5" customHeight="1">
      <c r="A57" s="202" t="s">
        <v>290</v>
      </c>
      <c r="B57" s="94" t="s">
        <v>311</v>
      </c>
      <c r="C57" s="95"/>
      <c r="D57" s="112" t="s">
        <v>312</v>
      </c>
      <c r="E57" s="228"/>
      <c r="F57" s="223"/>
      <c r="G57" s="97" t="s">
        <v>247</v>
      </c>
      <c r="H57" s="233">
        <v>1</v>
      </c>
      <c r="I57" s="98">
        <v>4729400</v>
      </c>
      <c r="J57" s="385">
        <f t="shared" si="6"/>
        <v>283764</v>
      </c>
      <c r="K57" s="113"/>
      <c r="L57" s="98"/>
      <c r="M57" s="98">
        <f t="shared" si="0"/>
        <v>4729400</v>
      </c>
      <c r="N57" s="98"/>
      <c r="O57" s="98">
        <f t="shared" si="1"/>
        <v>0</v>
      </c>
      <c r="P57" s="98"/>
      <c r="Q57" s="98">
        <f t="shared" si="2"/>
        <v>4729400</v>
      </c>
      <c r="R57" s="98">
        <f t="shared" si="10"/>
        <v>378352</v>
      </c>
      <c r="S57" s="99">
        <f t="shared" si="8"/>
        <v>70941</v>
      </c>
      <c r="T57" s="98">
        <f t="shared" si="9"/>
        <v>47294</v>
      </c>
      <c r="U57" s="99"/>
      <c r="V57" s="99">
        <f t="shared" si="3"/>
        <v>496587</v>
      </c>
      <c r="W57" s="99"/>
      <c r="X57" s="100"/>
      <c r="Y57" s="100"/>
      <c r="Z57" s="100"/>
      <c r="AA57" s="100"/>
      <c r="AB57" s="99">
        <f t="shared" si="4"/>
        <v>4232813</v>
      </c>
      <c r="AC57" s="101" t="str">
        <f t="shared" si="11"/>
        <v>45</v>
      </c>
      <c r="AD57" s="255"/>
      <c r="AE57" s="255" t="s">
        <v>310</v>
      </c>
      <c r="AF57" s="117"/>
      <c r="AG57" s="144"/>
      <c r="AH57" s="381"/>
      <c r="AL57" s="105"/>
    </row>
    <row r="58" spans="1:39" s="104" customFormat="1" ht="30" customHeight="1">
      <c r="A58" s="202" t="s">
        <v>294</v>
      </c>
      <c r="B58" s="94" t="s">
        <v>143</v>
      </c>
      <c r="C58" s="95" t="s">
        <v>115</v>
      </c>
      <c r="D58" s="112" t="s">
        <v>10</v>
      </c>
      <c r="E58" s="228" t="str">
        <f>VLOOKUP(B58,[2]T3!$B$2:$D$328,3,FALSE)</f>
        <v>250835904</v>
      </c>
      <c r="F58" s="223" t="s">
        <v>219</v>
      </c>
      <c r="G58" s="107" t="s">
        <v>244</v>
      </c>
      <c r="H58" s="96">
        <v>3</v>
      </c>
      <c r="I58" s="98">
        <v>5579155</v>
      </c>
      <c r="J58" s="385">
        <f t="shared" si="6"/>
        <v>334749.3</v>
      </c>
      <c r="K58" s="113"/>
      <c r="L58" s="98"/>
      <c r="M58" s="98">
        <f t="shared" si="0"/>
        <v>5579155</v>
      </c>
      <c r="N58" s="98"/>
      <c r="O58" s="98">
        <f t="shared" si="1"/>
        <v>0</v>
      </c>
      <c r="P58" s="98"/>
      <c r="Q58" s="98">
        <f t="shared" si="2"/>
        <v>5579155</v>
      </c>
      <c r="R58" s="98">
        <f t="shared" si="10"/>
        <v>446332.4</v>
      </c>
      <c r="S58" s="99">
        <f t="shared" si="8"/>
        <v>83687.324999999997</v>
      </c>
      <c r="T58" s="98">
        <f t="shared" si="9"/>
        <v>55791.55</v>
      </c>
      <c r="U58" s="99"/>
      <c r="V58" s="99">
        <f t="shared" si="3"/>
        <v>585811.27500000002</v>
      </c>
      <c r="W58" s="99"/>
      <c r="X58" s="99"/>
      <c r="Y58" s="99"/>
      <c r="Z58" s="99"/>
      <c r="AA58" s="99"/>
      <c r="AB58" s="99">
        <f t="shared" si="4"/>
        <v>4993343.7249999996</v>
      </c>
      <c r="AC58" s="101" t="str">
        <f t="shared" si="11"/>
        <v>46</v>
      </c>
      <c r="AD58" s="102"/>
      <c r="AE58" s="127" t="s">
        <v>116</v>
      </c>
      <c r="AF58" s="109"/>
      <c r="AG58" s="120"/>
      <c r="AH58" s="110" t="e">
        <f>#REF!/26</f>
        <v>#REF!</v>
      </c>
      <c r="AI58" s="110"/>
      <c r="AL58" s="111"/>
    </row>
    <row r="59" spans="1:39" s="104" customFormat="1" ht="30" customHeight="1">
      <c r="A59" s="202" t="s">
        <v>295</v>
      </c>
      <c r="B59" s="94" t="s">
        <v>166</v>
      </c>
      <c r="C59" s="159"/>
      <c r="D59" s="112" t="s">
        <v>271</v>
      </c>
      <c r="E59" s="226"/>
      <c r="F59" s="209"/>
      <c r="G59" s="107" t="s">
        <v>244</v>
      </c>
      <c r="H59" s="233">
        <v>12</v>
      </c>
      <c r="I59" s="98">
        <v>8655100</v>
      </c>
      <c r="J59" s="385">
        <f t="shared" si="6"/>
        <v>519306</v>
      </c>
      <c r="K59" s="339">
        <v>0.09</v>
      </c>
      <c r="L59" s="113">
        <f>I59*K59</f>
        <v>778959</v>
      </c>
      <c r="M59" s="98">
        <f t="shared" si="0"/>
        <v>9434059</v>
      </c>
      <c r="N59" s="98"/>
      <c r="O59" s="98">
        <f t="shared" si="1"/>
        <v>0</v>
      </c>
      <c r="P59" s="98"/>
      <c r="Q59" s="98">
        <f t="shared" si="2"/>
        <v>9434059</v>
      </c>
      <c r="R59" s="98">
        <f t="shared" si="10"/>
        <v>754724.72</v>
      </c>
      <c r="S59" s="99">
        <f t="shared" si="8"/>
        <v>141510.88500000001</v>
      </c>
      <c r="T59" s="98">
        <f t="shared" si="9"/>
        <v>94340.59</v>
      </c>
      <c r="U59" s="99"/>
      <c r="V59" s="99">
        <f t="shared" si="3"/>
        <v>990576.19499999995</v>
      </c>
      <c r="W59" s="99"/>
      <c r="X59" s="99"/>
      <c r="Y59" s="99"/>
      <c r="Z59" s="99"/>
      <c r="AA59" s="99"/>
      <c r="AB59" s="99">
        <f t="shared" si="4"/>
        <v>8443482.8049999997</v>
      </c>
      <c r="AC59" s="101" t="str">
        <f t="shared" si="11"/>
        <v>47</v>
      </c>
      <c r="AD59" s="102"/>
      <c r="AE59" s="117"/>
      <c r="AF59" s="380"/>
      <c r="AG59" s="381"/>
      <c r="AH59" s="381"/>
      <c r="AL59" s="105"/>
    </row>
    <row r="60" spans="1:39" s="381" customFormat="1" ht="39" customHeight="1">
      <c r="A60" s="202" t="s">
        <v>315</v>
      </c>
      <c r="B60" s="94" t="s">
        <v>350</v>
      </c>
      <c r="C60" s="95"/>
      <c r="D60" s="112" t="s">
        <v>351</v>
      </c>
      <c r="E60" s="228"/>
      <c r="F60" s="209"/>
      <c r="G60" s="97" t="s">
        <v>247</v>
      </c>
      <c r="H60" s="233">
        <v>4</v>
      </c>
      <c r="I60" s="98">
        <v>5474872</v>
      </c>
      <c r="J60" s="385">
        <f t="shared" si="6"/>
        <v>328492.32</v>
      </c>
      <c r="K60" s="113"/>
      <c r="L60" s="98"/>
      <c r="M60" s="98">
        <f t="shared" si="0"/>
        <v>5474872</v>
      </c>
      <c r="N60" s="98"/>
      <c r="O60" s="98">
        <f t="shared" si="1"/>
        <v>0</v>
      </c>
      <c r="P60" s="98"/>
      <c r="Q60" s="98">
        <f t="shared" si="2"/>
        <v>5474872</v>
      </c>
      <c r="R60" s="98">
        <f t="shared" si="10"/>
        <v>437989.76</v>
      </c>
      <c r="S60" s="99">
        <f t="shared" si="8"/>
        <v>82123.08</v>
      </c>
      <c r="T60" s="98">
        <f t="shared" si="9"/>
        <v>54748.72</v>
      </c>
      <c r="U60" s="99"/>
      <c r="V60" s="99">
        <f t="shared" si="3"/>
        <v>574861.56000000006</v>
      </c>
      <c r="W60" s="99"/>
      <c r="X60" s="99"/>
      <c r="Y60" s="151"/>
      <c r="Z60" s="99"/>
      <c r="AA60" s="99"/>
      <c r="AB60" s="99">
        <f t="shared" si="4"/>
        <v>4900010.4399999995</v>
      </c>
      <c r="AC60" s="101" t="str">
        <f t="shared" si="11"/>
        <v>48</v>
      </c>
      <c r="AD60" s="102"/>
      <c r="AE60" s="102"/>
      <c r="AF60" s="120"/>
      <c r="AG60" s="116"/>
      <c r="AL60" s="380"/>
    </row>
    <row r="61" spans="1:39" s="104" customFormat="1" ht="28.5" customHeight="1">
      <c r="A61" s="202" t="s">
        <v>365</v>
      </c>
      <c r="B61" s="318" t="s">
        <v>282</v>
      </c>
      <c r="C61" s="319"/>
      <c r="D61" s="320" t="s">
        <v>283</v>
      </c>
      <c r="E61" s="230"/>
      <c r="F61" s="321"/>
      <c r="G61" s="322" t="s">
        <v>244</v>
      </c>
      <c r="H61" s="323">
        <v>10</v>
      </c>
      <c r="I61" s="236">
        <v>7850431</v>
      </c>
      <c r="J61" s="386">
        <f t="shared" si="6"/>
        <v>471025.86</v>
      </c>
      <c r="K61" s="324"/>
      <c r="L61" s="236"/>
      <c r="M61" s="236">
        <f t="shared" si="0"/>
        <v>7850431</v>
      </c>
      <c r="N61" s="236"/>
      <c r="O61" s="236">
        <f t="shared" si="1"/>
        <v>0</v>
      </c>
      <c r="P61" s="236"/>
      <c r="Q61" s="236">
        <f t="shared" si="2"/>
        <v>7850431</v>
      </c>
      <c r="R61" s="236">
        <v>0</v>
      </c>
      <c r="S61" s="325">
        <v>0</v>
      </c>
      <c r="T61" s="236">
        <v>0</v>
      </c>
      <c r="U61" s="325"/>
      <c r="V61" s="325">
        <f t="shared" si="3"/>
        <v>0</v>
      </c>
      <c r="W61" s="325"/>
      <c r="X61" s="326"/>
      <c r="Y61" s="326"/>
      <c r="Z61" s="326"/>
      <c r="AA61" s="326"/>
      <c r="AB61" s="325">
        <f t="shared" si="4"/>
        <v>7850431</v>
      </c>
      <c r="AC61" s="327" t="str">
        <f t="shared" si="11"/>
        <v>49</v>
      </c>
      <c r="AD61" s="328"/>
      <c r="AE61" s="255" t="s">
        <v>280</v>
      </c>
      <c r="AF61" s="627" t="s">
        <v>332</v>
      </c>
      <c r="AG61" s="628"/>
      <c r="AH61" s="628"/>
      <c r="AL61" s="105"/>
    </row>
    <row r="62" spans="1:39" ht="33" customHeight="1">
      <c r="A62" s="88"/>
      <c r="B62" s="629" t="s">
        <v>11</v>
      </c>
      <c r="C62" s="630"/>
      <c r="D62" s="161"/>
      <c r="E62" s="161"/>
      <c r="F62" s="82"/>
      <c r="G62" s="82"/>
      <c r="H62" s="368">
        <f>SUM(H13:H61)</f>
        <v>212</v>
      </c>
      <c r="I62" s="80">
        <f>SUM(I13:I61)</f>
        <v>282965402</v>
      </c>
      <c r="J62" s="345"/>
      <c r="K62" s="153">
        <f>SUM(K22:K60)</f>
        <v>0.64</v>
      </c>
      <c r="L62" s="80">
        <f>SUM(L13:L61)</f>
        <v>4936794</v>
      </c>
      <c r="M62" s="80">
        <f>SUM(M13:M61)</f>
        <v>287902196</v>
      </c>
      <c r="N62" s="80"/>
      <c r="O62" s="80">
        <f t="shared" ref="O62:AA62" si="12">SUM(O13:O61)</f>
        <v>0</v>
      </c>
      <c r="P62" s="80">
        <f t="shared" si="12"/>
        <v>0</v>
      </c>
      <c r="Q62" s="80">
        <f>SUM(Q13:Q61)</f>
        <v>287902196</v>
      </c>
      <c r="R62" s="80">
        <f>SUM(R13:R61)-1</f>
        <v>21979062.720000003</v>
      </c>
      <c r="S62" s="80">
        <f t="shared" si="12"/>
        <v>4121074.2600000026</v>
      </c>
      <c r="T62" s="80">
        <f t="shared" si="12"/>
        <v>2747382.8400000003</v>
      </c>
      <c r="U62" s="153">
        <f t="shared" si="12"/>
        <v>0</v>
      </c>
      <c r="V62" s="80">
        <f>SUM(V13:V61)-1</f>
        <v>28847519.819999993</v>
      </c>
      <c r="W62" s="93">
        <f t="shared" si="12"/>
        <v>0</v>
      </c>
      <c r="X62" s="80">
        <f t="shared" si="12"/>
        <v>0</v>
      </c>
      <c r="Y62" s="93">
        <f t="shared" si="12"/>
        <v>0</v>
      </c>
      <c r="Z62" s="80">
        <f t="shared" si="12"/>
        <v>0</v>
      </c>
      <c r="AA62" s="355">
        <f t="shared" si="12"/>
        <v>852000</v>
      </c>
      <c r="AB62" s="80">
        <f>SUM(AB13:AB61)+1</f>
        <v>259906676.18000001</v>
      </c>
      <c r="AC62" s="90"/>
      <c r="AD62" s="91"/>
      <c r="AE62" s="92"/>
      <c r="AF62" s="71" t="s">
        <v>77</v>
      </c>
      <c r="AG62" s="60"/>
      <c r="AH62" s="60"/>
      <c r="AI62" s="42"/>
      <c r="AJ62" s="42"/>
      <c r="AK62" s="42"/>
      <c r="AL62" s="58"/>
      <c r="AM62" s="42"/>
    </row>
    <row r="63" spans="1:39" ht="44.25" hidden="1" customHeight="1">
      <c r="A63" s="6"/>
      <c r="B63" s="142"/>
      <c r="C63" s="64"/>
      <c r="D63" s="162"/>
      <c r="E63" s="162"/>
      <c r="F63" s="204"/>
      <c r="G63" s="47"/>
      <c r="H63" s="46"/>
      <c r="I63" s="52"/>
      <c r="J63" s="344"/>
      <c r="K63" s="46"/>
      <c r="L63" s="52"/>
      <c r="M63" s="52"/>
      <c r="N63" s="52"/>
      <c r="O63" s="52"/>
      <c r="P63" s="52"/>
      <c r="Q63" s="52"/>
      <c r="R63" s="345">
        <v>21574227</v>
      </c>
      <c r="S63" s="345">
        <v>4045167</v>
      </c>
      <c r="T63" s="345">
        <v>2696778</v>
      </c>
      <c r="U63" s="344"/>
      <c r="V63" s="345">
        <v>28316172</v>
      </c>
      <c r="W63" s="344"/>
      <c r="X63" s="344"/>
      <c r="Y63" s="344"/>
      <c r="Z63" s="344"/>
      <c r="AA63" s="344"/>
      <c r="AB63" s="345">
        <v>255377566</v>
      </c>
      <c r="AC63" s="54"/>
      <c r="AD63" s="68"/>
      <c r="AE63" s="68"/>
      <c r="AF63" s="65"/>
      <c r="AG63" s="65"/>
      <c r="AH63" s="65"/>
    </row>
    <row r="64" spans="1:39" ht="18.75" customHeight="1">
      <c r="A64" s="5"/>
      <c r="B64" s="631" t="s">
        <v>12</v>
      </c>
      <c r="C64" s="631"/>
      <c r="D64" s="17" t="s">
        <v>370</v>
      </c>
      <c r="E64" s="17"/>
      <c r="T64" s="18"/>
      <c r="U64" s="18"/>
      <c r="V64" s="18"/>
      <c r="W64" s="18"/>
      <c r="X64" s="18"/>
      <c r="Y64" s="18"/>
      <c r="Z64" s="18"/>
      <c r="AA64" s="352"/>
      <c r="AB64" s="18"/>
      <c r="AC64" s="17"/>
      <c r="AD64" s="67"/>
      <c r="AE64" s="67"/>
      <c r="AF64" s="69"/>
      <c r="AG64" s="60"/>
      <c r="AH64" s="60"/>
    </row>
    <row r="65" spans="1:40" ht="7.5" customHeight="1">
      <c r="A65" s="5"/>
      <c r="B65" s="631"/>
      <c r="C65" s="631"/>
      <c r="D65" s="163"/>
      <c r="E65" s="163"/>
      <c r="F65" s="206"/>
      <c r="G65" s="49"/>
      <c r="H65" s="49"/>
      <c r="I65" s="50"/>
      <c r="J65" s="346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356"/>
      <c r="AB65" s="50"/>
      <c r="AC65" s="597"/>
      <c r="AD65" s="597"/>
      <c r="AE65" s="50"/>
      <c r="AF65" s="632" t="e">
        <f>1000000-#REF!</f>
        <v>#REF!</v>
      </c>
      <c r="AG65" s="633"/>
      <c r="AH65" s="633"/>
    </row>
    <row r="66" spans="1:40" ht="21" customHeight="1">
      <c r="A66" s="5"/>
      <c r="B66" s="633"/>
      <c r="C66" s="633"/>
      <c r="D66" s="7"/>
      <c r="E66" s="7"/>
      <c r="F66" s="207"/>
      <c r="G66" s="5"/>
      <c r="H66" s="5"/>
      <c r="T66" s="634" t="s">
        <v>367</v>
      </c>
      <c r="U66" s="634"/>
      <c r="V66" s="634"/>
      <c r="W66" s="634"/>
      <c r="X66" s="634"/>
      <c r="Y66" s="634"/>
      <c r="Z66" s="634"/>
      <c r="AA66" s="634"/>
      <c r="AB66" s="634"/>
      <c r="AC66" s="634"/>
      <c r="AD66" s="634"/>
      <c r="AE66" s="635"/>
      <c r="AF66" s="633"/>
      <c r="AG66" s="633"/>
      <c r="AH66" s="633"/>
    </row>
    <row r="67" spans="1:40" ht="15.75" customHeight="1">
      <c r="A67" s="592" t="s">
        <v>13</v>
      </c>
      <c r="B67" s="592"/>
      <c r="C67" s="592"/>
      <c r="D67" s="592"/>
      <c r="E67" s="592"/>
      <c r="F67" s="592"/>
      <c r="G67" s="592"/>
      <c r="H67" s="592"/>
      <c r="I67" s="592" t="s">
        <v>183</v>
      </c>
      <c r="J67" s="592"/>
      <c r="K67" s="592"/>
      <c r="L67" s="592"/>
      <c r="M67" s="592"/>
      <c r="N67" s="592"/>
      <c r="O67" s="592"/>
      <c r="P67" s="592"/>
      <c r="Q67" s="592"/>
      <c r="R67" s="592"/>
      <c r="S67" s="592"/>
      <c r="T67" s="637" t="s">
        <v>14</v>
      </c>
      <c r="U67" s="637"/>
      <c r="V67" s="637"/>
      <c r="W67" s="637"/>
      <c r="X67" s="637"/>
      <c r="Y67" s="637"/>
      <c r="Z67" s="637"/>
      <c r="AA67" s="637"/>
      <c r="AB67" s="637"/>
      <c r="AC67" s="637"/>
      <c r="AD67" s="637"/>
      <c r="AE67" s="636"/>
      <c r="AF67" s="638"/>
      <c r="AG67" s="638"/>
      <c r="AH67" s="638"/>
    </row>
    <row r="68" spans="1:40" ht="15.75" customHeight="1">
      <c r="A68" s="5"/>
      <c r="B68" s="593"/>
      <c r="C68" s="593"/>
      <c r="D68" s="7"/>
      <c r="E68" s="7"/>
      <c r="F68" s="207"/>
      <c r="G68" s="5"/>
      <c r="H68" s="5"/>
      <c r="I68" s="4"/>
      <c r="J68" s="387"/>
      <c r="K68" s="4"/>
      <c r="L68" s="4"/>
      <c r="M68" s="4"/>
      <c r="N68" s="4"/>
      <c r="O68" s="4"/>
      <c r="P68" s="4"/>
      <c r="Q68" s="4"/>
      <c r="R68" s="70"/>
      <c r="S68" s="4"/>
      <c r="T68" s="4"/>
      <c r="U68" s="4"/>
      <c r="V68" s="4"/>
      <c r="W68" s="4"/>
      <c r="AC68" s="593"/>
      <c r="AD68" s="593"/>
      <c r="AE68" s="4"/>
      <c r="AF68" s="633"/>
      <c r="AG68" s="633"/>
      <c r="AH68" s="633"/>
    </row>
    <row r="69" spans="1:40" ht="15.75" customHeight="1">
      <c r="A69" s="5"/>
      <c r="B69" s="633"/>
      <c r="C69" s="633"/>
      <c r="D69" s="7"/>
      <c r="E69" s="7"/>
      <c r="F69" s="207"/>
      <c r="G69" s="5"/>
      <c r="H69" s="5"/>
      <c r="I69" s="4"/>
      <c r="J69" s="387"/>
      <c r="K69" s="4"/>
      <c r="L69" s="4"/>
      <c r="M69" s="4"/>
      <c r="N69" s="4"/>
      <c r="O69" s="4"/>
      <c r="P69" s="4"/>
      <c r="Q69" s="4"/>
      <c r="R69" s="4"/>
      <c r="T69" s="157"/>
      <c r="U69" s="157"/>
      <c r="V69" s="157"/>
      <c r="W69" s="157"/>
      <c r="X69" s="157"/>
      <c r="Y69" s="157"/>
      <c r="Z69" s="157"/>
      <c r="AA69" s="358"/>
      <c r="AB69" s="157"/>
      <c r="AC69" s="157"/>
      <c r="AD69" s="157"/>
      <c r="AE69" s="157"/>
      <c r="AF69" s="157"/>
      <c r="AG69" s="75"/>
      <c r="AH69" s="75"/>
      <c r="AI69" s="75"/>
      <c r="AJ69" s="75"/>
      <c r="AK69" s="75"/>
      <c r="AL69" s="75"/>
      <c r="AM69" s="75"/>
      <c r="AN69" s="75"/>
    </row>
    <row r="70" spans="1:40" ht="15.75" customHeight="1">
      <c r="A70" s="5"/>
      <c r="C70" s="5"/>
      <c r="D70" s="7"/>
      <c r="E70" s="7"/>
      <c r="F70" s="207"/>
      <c r="G70" s="5"/>
      <c r="H70" s="5"/>
      <c r="I70" s="4"/>
      <c r="J70" s="387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9.75" customHeight="1">
      <c r="A71" s="5"/>
      <c r="B71" s="633"/>
      <c r="C71" s="633"/>
      <c r="D71" s="7"/>
      <c r="E71" s="7"/>
      <c r="F71" s="207"/>
      <c r="G71" s="5"/>
      <c r="H71" s="5"/>
      <c r="I71" s="4"/>
      <c r="J71" s="387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593"/>
      <c r="AD71" s="593"/>
      <c r="AE71" s="4"/>
      <c r="AF71" s="632"/>
      <c r="AG71" s="633"/>
      <c r="AH71" s="633"/>
    </row>
    <row r="72" spans="1:40" ht="15.75" customHeight="1">
      <c r="A72" s="5"/>
      <c r="B72" s="633"/>
      <c r="C72" s="633"/>
      <c r="D72" s="7"/>
      <c r="E72" s="7"/>
      <c r="F72" s="207"/>
      <c r="G72" s="5"/>
      <c r="H72" s="5"/>
      <c r="I72" s="4"/>
      <c r="J72" s="387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593"/>
      <c r="AD72" s="593"/>
      <c r="AE72" s="4"/>
      <c r="AF72" s="632"/>
      <c r="AG72" s="633"/>
      <c r="AH72" s="633"/>
    </row>
    <row r="73" spans="1:40" ht="15.75" customHeight="1">
      <c r="A73" s="5"/>
      <c r="B73" s="633"/>
      <c r="C73" s="633"/>
      <c r="D73" s="7"/>
      <c r="E73" s="7"/>
      <c r="F73" s="207"/>
      <c r="G73" s="5"/>
      <c r="H73" s="5"/>
      <c r="I73" s="4"/>
      <c r="J73" s="387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593"/>
      <c r="AD73" s="593"/>
      <c r="AE73" s="4"/>
      <c r="AF73" s="632"/>
      <c r="AG73" s="633"/>
      <c r="AH73" s="633"/>
    </row>
    <row r="74" spans="1:40" ht="15.75" customHeight="1">
      <c r="A74" s="592" t="s">
        <v>227</v>
      </c>
      <c r="B74" s="592"/>
      <c r="C74" s="592"/>
      <c r="D74" s="592"/>
      <c r="E74" s="592"/>
      <c r="F74" s="592"/>
      <c r="G74" s="592"/>
      <c r="H74" s="592"/>
      <c r="I74" s="592" t="s">
        <v>123</v>
      </c>
      <c r="J74" s="592"/>
      <c r="K74" s="592"/>
      <c r="L74" s="592"/>
      <c r="M74" s="592"/>
      <c r="N74" s="592"/>
      <c r="O74" s="592"/>
      <c r="P74" s="592"/>
      <c r="Q74" s="592"/>
      <c r="R74" s="592"/>
      <c r="S74" s="592"/>
      <c r="T74" s="592" t="s">
        <v>120</v>
      </c>
      <c r="U74" s="592"/>
      <c r="V74" s="592"/>
      <c r="W74" s="592"/>
      <c r="X74" s="592"/>
      <c r="Y74" s="592"/>
      <c r="Z74" s="592"/>
      <c r="AA74" s="592"/>
      <c r="AB74" s="592"/>
      <c r="AC74" s="592"/>
      <c r="AD74" s="592"/>
      <c r="AE74" s="8"/>
      <c r="AF74" s="638"/>
      <c r="AG74" s="638"/>
      <c r="AH74" s="638"/>
    </row>
    <row r="75" spans="1:40">
      <c r="A75" s="61"/>
      <c r="B75" s="63"/>
      <c r="C75" s="62"/>
      <c r="D75" s="164"/>
      <c r="E75" s="164"/>
      <c r="F75" s="208"/>
      <c r="G75" s="63"/>
      <c r="H75" s="63"/>
      <c r="I75" s="63"/>
      <c r="J75" s="349"/>
      <c r="K75" s="51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359"/>
      <c r="AB75" s="63"/>
      <c r="AC75" s="639"/>
      <c r="AD75" s="639"/>
      <c r="AE75" s="51"/>
      <c r="AF75" s="632"/>
      <c r="AG75" s="633"/>
      <c r="AH75" s="633"/>
    </row>
    <row r="76" spans="1:40">
      <c r="B76" s="30"/>
      <c r="C76" s="19"/>
      <c r="G76" s="30"/>
      <c r="H76" s="30"/>
      <c r="AC76" s="594"/>
      <c r="AD76" s="594"/>
      <c r="AE76" s="45"/>
      <c r="AF76" s="633"/>
      <c r="AG76" s="633"/>
      <c r="AH76" s="633"/>
    </row>
    <row r="77" spans="1:40">
      <c r="A77" s="5"/>
      <c r="B77" s="633"/>
      <c r="C77" s="633"/>
      <c r="AC77" s="594"/>
      <c r="AD77" s="594"/>
      <c r="AE77" s="45"/>
      <c r="AF77" s="633"/>
      <c r="AG77" s="633"/>
      <c r="AH77" s="633"/>
    </row>
    <row r="78" spans="1:40">
      <c r="A78" s="5"/>
      <c r="B78" s="633"/>
      <c r="C78" s="633"/>
      <c r="AC78" s="594"/>
      <c r="AD78" s="594"/>
      <c r="AE78" s="45"/>
      <c r="AF78" s="633"/>
      <c r="AG78" s="633"/>
      <c r="AH78" s="633"/>
    </row>
    <row r="79" spans="1:40">
      <c r="A79" s="5"/>
      <c r="B79" s="633"/>
      <c r="C79" s="633"/>
      <c r="AC79" s="594"/>
      <c r="AD79" s="594"/>
      <c r="AE79" s="45"/>
      <c r="AF79" s="633"/>
      <c r="AG79" s="633"/>
      <c r="AH79" s="633"/>
    </row>
    <row r="80" spans="1:40">
      <c r="A80" s="5"/>
      <c r="B80" s="633"/>
      <c r="C80" s="633"/>
      <c r="AC80" s="594"/>
      <c r="AD80" s="594"/>
      <c r="AE80" s="45"/>
      <c r="AF80" s="633"/>
      <c r="AG80" s="633"/>
      <c r="AH80" s="633"/>
    </row>
    <row r="81" spans="1:34">
      <c r="A81" s="5"/>
      <c r="B81" s="633"/>
      <c r="C81" s="633"/>
      <c r="AC81" s="594"/>
      <c r="AD81" s="594"/>
      <c r="AE81" s="45"/>
      <c r="AF81" s="633"/>
      <c r="AG81" s="633"/>
      <c r="AH81" s="633"/>
    </row>
    <row r="82" spans="1:34">
      <c r="A82" s="5"/>
      <c r="B82" s="633"/>
      <c r="C82" s="633"/>
      <c r="AC82" s="594"/>
      <c r="AD82" s="594"/>
      <c r="AE82" s="45"/>
      <c r="AF82" s="633"/>
      <c r="AG82" s="633"/>
      <c r="AH82" s="633"/>
    </row>
    <row r="83" spans="1:34">
      <c r="A83" s="5"/>
      <c r="B83" s="633"/>
      <c r="C83" s="633"/>
      <c r="AC83" s="594"/>
      <c r="AD83" s="594"/>
      <c r="AE83" s="45"/>
      <c r="AF83" s="633"/>
      <c r="AG83" s="633"/>
      <c r="AH83" s="633"/>
    </row>
    <row r="84" spans="1:34">
      <c r="A84" s="5"/>
      <c r="B84" s="633"/>
      <c r="C84" s="633"/>
      <c r="AC84" s="594"/>
      <c r="AD84" s="594"/>
      <c r="AE84" s="45"/>
      <c r="AF84" s="633"/>
      <c r="AG84" s="633"/>
      <c r="AH84" s="633"/>
    </row>
    <row r="85" spans="1:34">
      <c r="A85" s="5"/>
      <c r="B85" s="633"/>
      <c r="C85" s="633"/>
      <c r="AC85" s="594"/>
      <c r="AD85" s="594"/>
      <c r="AE85" s="45"/>
      <c r="AF85" s="633"/>
      <c r="AG85" s="633"/>
      <c r="AH85" s="633"/>
    </row>
    <row r="86" spans="1:34">
      <c r="A86" s="5"/>
      <c r="B86" s="633"/>
      <c r="C86" s="633"/>
      <c r="AC86" s="594"/>
      <c r="AD86" s="594"/>
      <c r="AE86" s="45"/>
      <c r="AF86" s="633"/>
      <c r="AG86" s="633"/>
      <c r="AH86" s="633"/>
    </row>
    <row r="87" spans="1:34">
      <c r="A87" s="5"/>
      <c r="B87" s="633"/>
      <c r="C87" s="633"/>
      <c r="AC87" s="594"/>
      <c r="AD87" s="594"/>
      <c r="AE87" s="45"/>
      <c r="AF87" s="633"/>
      <c r="AG87" s="633"/>
      <c r="AH87" s="633"/>
    </row>
    <row r="88" spans="1:34">
      <c r="A88" s="5"/>
      <c r="B88" s="633"/>
      <c r="C88" s="633"/>
      <c r="AC88" s="594"/>
      <c r="AD88" s="594"/>
      <c r="AE88" s="45"/>
      <c r="AF88" s="633"/>
      <c r="AG88" s="633"/>
      <c r="AH88" s="633"/>
    </row>
    <row r="89" spans="1:34">
      <c r="A89" s="5"/>
      <c r="B89" s="633"/>
      <c r="C89" s="633"/>
      <c r="AC89" s="594"/>
      <c r="AD89" s="594"/>
      <c r="AE89" s="45"/>
      <c r="AF89" s="633"/>
      <c r="AG89" s="633"/>
      <c r="AH89" s="633"/>
    </row>
    <row r="90" spans="1:34">
      <c r="A90" s="5"/>
      <c r="B90" s="633"/>
      <c r="C90" s="633"/>
      <c r="AC90" s="594"/>
      <c r="AD90" s="594"/>
      <c r="AE90" s="45"/>
      <c r="AF90" s="633"/>
      <c r="AG90" s="633"/>
      <c r="AH90" s="633"/>
    </row>
    <row r="91" spans="1:34">
      <c r="A91" s="5"/>
      <c r="B91" s="633"/>
      <c r="C91" s="633"/>
      <c r="AC91" s="594"/>
      <c r="AD91" s="594"/>
      <c r="AE91" s="45"/>
      <c r="AF91" s="633"/>
      <c r="AG91" s="633"/>
      <c r="AH91" s="633"/>
    </row>
    <row r="92" spans="1:34">
      <c r="A92" s="5"/>
      <c r="B92" s="633"/>
      <c r="C92" s="633"/>
      <c r="AC92" s="594"/>
      <c r="AD92" s="594"/>
      <c r="AE92" s="45"/>
      <c r="AF92" s="633"/>
      <c r="AG92" s="633"/>
      <c r="AH92" s="633"/>
    </row>
    <row r="93" spans="1:34">
      <c r="A93" s="5"/>
      <c r="B93" s="633"/>
      <c r="C93" s="633"/>
      <c r="AC93" s="594"/>
      <c r="AD93" s="594"/>
      <c r="AE93" s="45"/>
      <c r="AF93" s="633"/>
      <c r="AG93" s="633"/>
      <c r="AH93" s="633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12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7.625" style="357" bestFit="1" customWidth="1"/>
    <col min="27" max="27" width="11.75" style="44" customWidth="1"/>
    <col min="28" max="28" width="2.5" style="44" customWidth="1"/>
    <col min="29" max="29" width="16.75" style="6" customWidth="1"/>
    <col min="30" max="30" width="20.25" style="6" customWidth="1"/>
    <col min="31" max="36" width="9" style="16"/>
    <col min="37" max="37" width="9" style="55"/>
    <col min="38" max="16384" width="9" style="16"/>
  </cols>
  <sheetData>
    <row r="1" spans="1:38" ht="16.5">
      <c r="A1" s="591" t="s">
        <v>79</v>
      </c>
      <c r="B1" s="591"/>
      <c r="C1" s="591"/>
      <c r="D1" s="591"/>
      <c r="E1" s="591"/>
      <c r="F1" s="591"/>
      <c r="G1" s="591"/>
      <c r="H1" s="591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17"/>
      <c r="AF1" s="17"/>
      <c r="AG1" s="17"/>
      <c r="AH1" s="17"/>
      <c r="AI1" s="15"/>
    </row>
    <row r="2" spans="1:38" ht="16.5">
      <c r="A2" s="592" t="s">
        <v>186</v>
      </c>
      <c r="B2" s="592"/>
      <c r="C2" s="592"/>
      <c r="D2" s="592"/>
      <c r="E2" s="592"/>
      <c r="F2" s="592"/>
      <c r="G2" s="592"/>
      <c r="H2" s="592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18"/>
      <c r="AF2" s="18"/>
      <c r="AG2" s="18"/>
      <c r="AH2" s="18"/>
      <c r="AI2" s="15"/>
    </row>
    <row r="3" spans="1:38" ht="3.75" customHeight="1">
      <c r="A3" s="4"/>
      <c r="B3" s="45"/>
      <c r="C3" s="593"/>
      <c r="D3" s="593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45"/>
      <c r="AE3" s="4"/>
      <c r="AF3" s="593"/>
      <c r="AG3" s="593"/>
      <c r="AH3" s="595"/>
      <c r="AI3" s="595"/>
    </row>
    <row r="4" spans="1:38" ht="22.5" customHeight="1">
      <c r="A4" s="596" t="s">
        <v>396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596"/>
      <c r="M4" s="596"/>
      <c r="N4" s="596"/>
      <c r="O4" s="596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72"/>
      <c r="AE4" s="17"/>
      <c r="AF4" s="17"/>
      <c r="AG4" s="17">
        <f>2.67*1150000*0.65</f>
        <v>1995825</v>
      </c>
      <c r="AH4" s="17"/>
      <c r="AI4" s="15"/>
    </row>
    <row r="5" spans="1:38" ht="22.5" customHeight="1">
      <c r="A5" s="596" t="s">
        <v>375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596"/>
      <c r="O5" s="596"/>
      <c r="P5" s="596"/>
      <c r="Q5" s="596"/>
      <c r="R5" s="596"/>
      <c r="S5" s="596"/>
      <c r="T5" s="596"/>
      <c r="U5" s="596"/>
      <c r="V5" s="596"/>
      <c r="W5" s="596"/>
      <c r="X5" s="596"/>
      <c r="Y5" s="596"/>
      <c r="Z5" s="596"/>
      <c r="AA5" s="596"/>
      <c r="AB5" s="596"/>
      <c r="AC5" s="596"/>
      <c r="AD5" s="72"/>
      <c r="AE5" s="17"/>
      <c r="AF5" s="17"/>
      <c r="AG5" s="17"/>
      <c r="AH5" s="17"/>
      <c r="AI5" s="15"/>
    </row>
    <row r="6" spans="1:38" ht="18" customHeight="1">
      <c r="A6" s="8"/>
      <c r="B6" s="50"/>
      <c r="C6" s="8" t="s">
        <v>87</v>
      </c>
      <c r="D6" s="597"/>
      <c r="E6" s="597"/>
      <c r="F6" s="597"/>
      <c r="G6" s="597"/>
      <c r="H6" s="597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17" t="s">
        <v>17</v>
      </c>
      <c r="AF6" s="17"/>
      <c r="AG6" s="17">
        <f>3*1150000</f>
        <v>3450000</v>
      </c>
      <c r="AH6" s="17">
        <f>2.67*1150000</f>
        <v>3070500</v>
      </c>
      <c r="AI6" s="17"/>
    </row>
    <row r="7" spans="1:38">
      <c r="A7" s="8"/>
      <c r="B7" s="146">
        <v>1490000</v>
      </c>
      <c r="C7" s="77">
        <v>1150000</v>
      </c>
      <c r="D7" s="597"/>
      <c r="E7" s="597"/>
      <c r="F7" s="597"/>
      <c r="G7" s="597"/>
      <c r="H7" s="59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17"/>
      <c r="AF7" s="17"/>
      <c r="AG7" s="17">
        <f>AG6*10.5%</f>
        <v>362250</v>
      </c>
      <c r="AH7" s="17">
        <f>AH6*10.5%</f>
        <v>322402.5</v>
      </c>
      <c r="AI7" s="17"/>
    </row>
    <row r="8" spans="1:38">
      <c r="A8" s="8"/>
      <c r="B8" s="50"/>
      <c r="C8" s="8"/>
      <c r="D8" s="598"/>
      <c r="E8" s="598"/>
      <c r="F8" s="598"/>
      <c r="G8" s="598"/>
      <c r="H8" s="59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17"/>
      <c r="AF8" s="17"/>
      <c r="AG8" s="16">
        <f>AG6-AG7</f>
        <v>3087750</v>
      </c>
      <c r="AH8" s="16">
        <f>AH6-AH7</f>
        <v>2748097.5</v>
      </c>
      <c r="AK8" s="56"/>
    </row>
    <row r="9" spans="1:38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17"/>
      <c r="AF9" s="17"/>
      <c r="AG9" s="16">
        <f>AG6*0.65</f>
        <v>2242500</v>
      </c>
      <c r="AH9" s="16">
        <f>AH6*0.65</f>
        <v>1995825</v>
      </c>
      <c r="AK9" s="56"/>
    </row>
    <row r="10" spans="1:38" s="43" customFormat="1" ht="27.75" customHeight="1">
      <c r="A10" s="599" t="s">
        <v>2</v>
      </c>
      <c r="B10" s="599" t="s">
        <v>3</v>
      </c>
      <c r="C10" s="599"/>
      <c r="D10" s="600" t="s">
        <v>51</v>
      </c>
      <c r="E10" s="601" t="s">
        <v>237</v>
      </c>
      <c r="F10" s="603" t="s">
        <v>15</v>
      </c>
      <c r="G10" s="605" t="s">
        <v>130</v>
      </c>
      <c r="H10" s="601" t="s">
        <v>272</v>
      </c>
      <c r="I10" s="607" t="s">
        <v>180</v>
      </c>
      <c r="J10" s="607" t="s">
        <v>268</v>
      </c>
      <c r="K10" s="607" t="s">
        <v>269</v>
      </c>
      <c r="L10" s="607" t="s">
        <v>170</v>
      </c>
      <c r="M10" s="609"/>
      <c r="N10" s="601" t="s">
        <v>148</v>
      </c>
      <c r="O10" s="601" t="s">
        <v>149</v>
      </c>
      <c r="P10" s="605" t="s">
        <v>150</v>
      </c>
      <c r="Q10" s="611" t="s">
        <v>67</v>
      </c>
      <c r="R10" s="612"/>
      <c r="S10" s="612"/>
      <c r="T10" s="612"/>
      <c r="U10" s="613"/>
      <c r="V10" s="614" t="s">
        <v>168</v>
      </c>
      <c r="W10" s="615"/>
      <c r="X10" s="614" t="s">
        <v>169</v>
      </c>
      <c r="Y10" s="615"/>
      <c r="Z10" s="616" t="s">
        <v>274</v>
      </c>
      <c r="AA10" s="605" t="s">
        <v>154</v>
      </c>
      <c r="AB10" s="618" t="s">
        <v>5</v>
      </c>
      <c r="AC10" s="619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22"/>
      <c r="AK10" s="87"/>
      <c r="AL10" s="79"/>
    </row>
    <row r="11" spans="1:38" s="43" customFormat="1" ht="41.25" customHeight="1">
      <c r="A11" s="599"/>
      <c r="B11" s="599"/>
      <c r="C11" s="599"/>
      <c r="D11" s="600"/>
      <c r="E11" s="602"/>
      <c r="F11" s="604"/>
      <c r="G11" s="606"/>
      <c r="H11" s="602"/>
      <c r="I11" s="608"/>
      <c r="J11" s="608"/>
      <c r="K11" s="608"/>
      <c r="L11" s="608"/>
      <c r="M11" s="610"/>
      <c r="N11" s="602"/>
      <c r="O11" s="602"/>
      <c r="P11" s="606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17"/>
      <c r="AA11" s="606"/>
      <c r="AB11" s="620"/>
      <c r="AC11" s="621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22"/>
      <c r="AK11" s="87"/>
      <c r="AL11" s="79"/>
    </row>
    <row r="12" spans="1:38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7" t="s">
        <v>362</v>
      </c>
      <c r="AA12" s="254" t="s">
        <v>363</v>
      </c>
      <c r="AB12" s="623" t="s">
        <v>172</v>
      </c>
      <c r="AC12" s="624"/>
      <c r="AD12" s="84"/>
      <c r="AE12" s="147"/>
      <c r="AF12" s="86"/>
      <c r="AG12" s="86"/>
      <c r="AH12" s="86"/>
      <c r="AI12" s="86"/>
      <c r="AJ12" s="141"/>
      <c r="AK12" s="87"/>
      <c r="AL12" s="79"/>
    </row>
    <row r="13" spans="1:38" s="417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9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237"/>
      <c r="K13" s="131"/>
      <c r="L13" s="131">
        <f t="shared" ref="L13:L68" si="0">ROUND(I13+K13,0)</f>
        <v>4873050</v>
      </c>
      <c r="M13" s="131"/>
      <c r="N13" s="131">
        <f t="shared" ref="N13:N68" si="1">L13/24*M13</f>
        <v>0</v>
      </c>
      <c r="O13" s="131"/>
      <c r="P13" s="131">
        <f t="shared" ref="P13:P68" si="2">L13-N13+O13</f>
        <v>4873050</v>
      </c>
      <c r="Q13" s="131">
        <f>L13*8%</f>
        <v>389844</v>
      </c>
      <c r="R13" s="132">
        <f>L13*1.5%</f>
        <v>73095.75</v>
      </c>
      <c r="S13" s="131">
        <f>L13*1%</f>
        <v>48730.5</v>
      </c>
      <c r="T13" s="132"/>
      <c r="U13" s="132">
        <f t="shared" ref="U13:U59" si="3">SUM(Q13:T13)</f>
        <v>511670.25</v>
      </c>
      <c r="V13" s="132"/>
      <c r="W13" s="132"/>
      <c r="X13" s="370"/>
      <c r="Y13" s="132"/>
      <c r="Z13" s="132"/>
      <c r="AA13" s="132">
        <f t="shared" ref="AA13:AA68" si="4">P13-U13+W13+Y13+Z13</f>
        <v>4361379.75</v>
      </c>
      <c r="AB13" s="133" t="str">
        <f t="shared" ref="AB13:AB33" si="5">A13</f>
        <v>01</v>
      </c>
      <c r="AC13" s="371"/>
      <c r="AD13" s="102" t="s">
        <v>233</v>
      </c>
      <c r="AE13" s="120"/>
      <c r="AF13" s="116"/>
      <c r="AK13" s="416"/>
    </row>
    <row r="14" spans="1:38" s="417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113"/>
      <c r="K14" s="98"/>
      <c r="L14" s="98">
        <f t="shared" si="0"/>
        <v>6530353</v>
      </c>
      <c r="M14" s="98"/>
      <c r="N14" s="98">
        <f t="shared" si="1"/>
        <v>0</v>
      </c>
      <c r="O14" s="98"/>
      <c r="P14" s="98">
        <f t="shared" si="2"/>
        <v>6530353</v>
      </c>
      <c r="Q14" s="98">
        <f>L14*8%</f>
        <v>522428.24</v>
      </c>
      <c r="R14" s="99">
        <f>L14*1.5%</f>
        <v>97955.294999999998</v>
      </c>
      <c r="S14" s="98">
        <f>L14*1%</f>
        <v>65303.53</v>
      </c>
      <c r="T14" s="99"/>
      <c r="U14" s="99">
        <f t="shared" si="3"/>
        <v>685687.06500000006</v>
      </c>
      <c r="V14" s="99"/>
      <c r="W14" s="99"/>
      <c r="X14" s="151"/>
      <c r="Y14" s="99"/>
      <c r="Z14" s="99"/>
      <c r="AA14" s="99">
        <f t="shared" si="4"/>
        <v>5844665.9349999996</v>
      </c>
      <c r="AB14" s="101" t="str">
        <f t="shared" si="5"/>
        <v>02</v>
      </c>
      <c r="AC14" s="102"/>
      <c r="AD14" s="416"/>
      <c r="AE14" s="416"/>
      <c r="AK14" s="416"/>
    </row>
    <row r="15" spans="1:38" s="417" customFormat="1" ht="42.75" customHeight="1">
      <c r="A15" s="202" t="s">
        <v>34</v>
      </c>
      <c r="B15" s="401" t="s">
        <v>245</v>
      </c>
      <c r="C15" s="402"/>
      <c r="D15" s="403" t="s">
        <v>246</v>
      </c>
      <c r="E15" s="404"/>
      <c r="F15" s="405"/>
      <c r="G15" s="406" t="s">
        <v>244</v>
      </c>
      <c r="H15" s="407">
        <v>3</v>
      </c>
      <c r="I15" s="408">
        <v>5579155</v>
      </c>
      <c r="J15" s="409"/>
      <c r="K15" s="408"/>
      <c r="L15" s="408">
        <f t="shared" si="0"/>
        <v>5579155</v>
      </c>
      <c r="M15" s="408"/>
      <c r="N15" s="408">
        <f t="shared" si="1"/>
        <v>0</v>
      </c>
      <c r="O15" s="408"/>
      <c r="P15" s="408">
        <f t="shared" si="2"/>
        <v>5579155</v>
      </c>
      <c r="Q15" s="408"/>
      <c r="R15" s="410"/>
      <c r="S15" s="408"/>
      <c r="T15" s="410"/>
      <c r="U15" s="410">
        <f t="shared" si="3"/>
        <v>0</v>
      </c>
      <c r="V15" s="410"/>
      <c r="W15" s="410"/>
      <c r="X15" s="410"/>
      <c r="Y15" s="410"/>
      <c r="Z15" s="410"/>
      <c r="AA15" s="410">
        <f t="shared" si="4"/>
        <v>5579155</v>
      </c>
      <c r="AB15" s="411" t="str">
        <f t="shared" si="5"/>
        <v>03</v>
      </c>
      <c r="AC15" s="412" t="s">
        <v>378</v>
      </c>
      <c r="AD15" s="372"/>
      <c r="AE15" s="232"/>
      <c r="AF15" s="232"/>
      <c r="AG15" s="110"/>
      <c r="AH15" s="110"/>
      <c r="AK15" s="111"/>
    </row>
    <row r="16" spans="1:38" s="417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113"/>
      <c r="K16" s="98"/>
      <c r="L16" s="98">
        <f t="shared" si="0"/>
        <v>6856871</v>
      </c>
      <c r="M16" s="98"/>
      <c r="N16" s="98">
        <f t="shared" si="1"/>
        <v>0</v>
      </c>
      <c r="O16" s="98"/>
      <c r="P16" s="98">
        <f t="shared" si="2"/>
        <v>6856871</v>
      </c>
      <c r="Q16" s="98">
        <f t="shared" ref="Q16:Q34" si="6">L16*8%</f>
        <v>548549.68000000005</v>
      </c>
      <c r="R16" s="99">
        <f t="shared" ref="R16:R59" si="7">L16*1.5%</f>
        <v>102853.065</v>
      </c>
      <c r="S16" s="98">
        <f t="shared" ref="S16:S59" si="8">L16*1%</f>
        <v>68568.710000000006</v>
      </c>
      <c r="T16" s="99"/>
      <c r="U16" s="99">
        <f t="shared" si="3"/>
        <v>719971.45500000007</v>
      </c>
      <c r="V16" s="99"/>
      <c r="W16" s="99"/>
      <c r="X16" s="151"/>
      <c r="Y16" s="99"/>
      <c r="Z16" s="99"/>
      <c r="AA16" s="99">
        <f t="shared" si="4"/>
        <v>6136899.5449999999</v>
      </c>
      <c r="AB16" s="101" t="str">
        <f t="shared" si="5"/>
        <v>04</v>
      </c>
      <c r="AC16" s="102"/>
      <c r="AD16" s="416"/>
      <c r="AE16" s="416"/>
      <c r="AK16" s="416"/>
    </row>
    <row r="17" spans="1:37" s="417" customFormat="1" ht="42.75" customHeight="1">
      <c r="A17" s="202" t="s">
        <v>36</v>
      </c>
      <c r="B17" s="94" t="s">
        <v>320</v>
      </c>
      <c r="C17" s="95"/>
      <c r="D17" s="112" t="s">
        <v>246</v>
      </c>
      <c r="E17" s="227" t="s">
        <v>337</v>
      </c>
      <c r="F17" s="336" t="s">
        <v>338</v>
      </c>
      <c r="G17" s="97" t="s">
        <v>244</v>
      </c>
      <c r="H17" s="233">
        <v>1</v>
      </c>
      <c r="I17" s="98">
        <v>5060458</v>
      </c>
      <c r="J17" s="113"/>
      <c r="K17" s="98"/>
      <c r="L17" s="98">
        <f t="shared" si="0"/>
        <v>5060458</v>
      </c>
      <c r="M17" s="98"/>
      <c r="N17" s="98">
        <f t="shared" si="1"/>
        <v>0</v>
      </c>
      <c r="O17" s="98"/>
      <c r="P17" s="98">
        <f t="shared" si="2"/>
        <v>5060458</v>
      </c>
      <c r="Q17" s="98">
        <f t="shared" si="6"/>
        <v>404836.64</v>
      </c>
      <c r="R17" s="99">
        <f t="shared" si="7"/>
        <v>75906.87</v>
      </c>
      <c r="S17" s="98">
        <f t="shared" si="8"/>
        <v>50604.58</v>
      </c>
      <c r="T17" s="99"/>
      <c r="U17" s="99">
        <f t="shared" si="3"/>
        <v>531348.09</v>
      </c>
      <c r="V17" s="99"/>
      <c r="W17" s="100"/>
      <c r="X17" s="100"/>
      <c r="Y17" s="100"/>
      <c r="Z17" s="100"/>
      <c r="AA17" s="99">
        <f t="shared" si="4"/>
        <v>4529109.91</v>
      </c>
      <c r="AB17" s="101" t="str">
        <f t="shared" si="5"/>
        <v>05</v>
      </c>
      <c r="AC17" s="255"/>
      <c r="AD17" s="255" t="s">
        <v>322</v>
      </c>
      <c r="AE17" s="117"/>
      <c r="AF17" s="144"/>
      <c r="AK17" s="416"/>
    </row>
    <row r="18" spans="1:37" s="417" customFormat="1" ht="31.5" customHeight="1">
      <c r="A18" s="202" t="s">
        <v>37</v>
      </c>
      <c r="B18" s="94" t="s">
        <v>345</v>
      </c>
      <c r="C18" s="95"/>
      <c r="D18" s="112" t="s">
        <v>55</v>
      </c>
      <c r="E18" s="228"/>
      <c r="F18" s="223"/>
      <c r="G18" s="97" t="s">
        <v>247</v>
      </c>
      <c r="H18" s="233">
        <v>12</v>
      </c>
      <c r="I18" s="98">
        <v>8088879</v>
      </c>
      <c r="J18" s="113"/>
      <c r="K18" s="98"/>
      <c r="L18" s="98">
        <f t="shared" si="0"/>
        <v>8088879</v>
      </c>
      <c r="M18" s="98"/>
      <c r="N18" s="98">
        <f t="shared" si="1"/>
        <v>0</v>
      </c>
      <c r="O18" s="98"/>
      <c r="P18" s="98">
        <f t="shared" si="2"/>
        <v>8088879</v>
      </c>
      <c r="Q18" s="98">
        <f t="shared" si="6"/>
        <v>647110.32000000007</v>
      </c>
      <c r="R18" s="99">
        <f t="shared" si="7"/>
        <v>121333.185</v>
      </c>
      <c r="S18" s="98">
        <f t="shared" si="8"/>
        <v>80888.790000000008</v>
      </c>
      <c r="T18" s="99"/>
      <c r="U18" s="99">
        <f t="shared" si="3"/>
        <v>849332.29500000016</v>
      </c>
      <c r="V18" s="99"/>
      <c r="W18" s="99"/>
      <c r="X18" s="151"/>
      <c r="Y18" s="99"/>
      <c r="Z18" s="99"/>
      <c r="AA18" s="99">
        <f t="shared" si="4"/>
        <v>7239546.7050000001</v>
      </c>
      <c r="AB18" s="101" t="str">
        <f t="shared" si="5"/>
        <v>06</v>
      </c>
      <c r="AC18" s="102"/>
      <c r="AD18" s="102"/>
      <c r="AE18" s="120"/>
      <c r="AF18" s="116"/>
      <c r="AK18" s="416"/>
    </row>
    <row r="19" spans="1:37" s="104" customFormat="1" ht="31.5" customHeight="1">
      <c r="A19" s="202" t="s">
        <v>38</v>
      </c>
      <c r="B19" s="94" t="s">
        <v>346</v>
      </c>
      <c r="C19" s="95"/>
      <c r="D19" s="112" t="s">
        <v>347</v>
      </c>
      <c r="E19" s="228"/>
      <c r="F19" s="209"/>
      <c r="G19" s="97" t="s">
        <v>244</v>
      </c>
      <c r="H19" s="233">
        <v>6</v>
      </c>
      <c r="I19" s="98">
        <v>6458569</v>
      </c>
      <c r="J19" s="113"/>
      <c r="K19" s="98"/>
      <c r="L19" s="98">
        <f t="shared" si="0"/>
        <v>6458569</v>
      </c>
      <c r="M19" s="98"/>
      <c r="N19" s="98">
        <f t="shared" si="1"/>
        <v>0</v>
      </c>
      <c r="O19" s="98"/>
      <c r="P19" s="98">
        <f t="shared" si="2"/>
        <v>6458569</v>
      </c>
      <c r="Q19" s="98">
        <f t="shared" si="6"/>
        <v>516685.52</v>
      </c>
      <c r="R19" s="99">
        <f t="shared" si="7"/>
        <v>96878.535000000003</v>
      </c>
      <c r="S19" s="98">
        <f t="shared" si="8"/>
        <v>64585.69</v>
      </c>
      <c r="T19" s="99"/>
      <c r="U19" s="99">
        <f t="shared" si="3"/>
        <v>678149.74500000011</v>
      </c>
      <c r="V19" s="99"/>
      <c r="W19" s="99"/>
      <c r="X19" s="151"/>
      <c r="Y19" s="99"/>
      <c r="Z19" s="99"/>
      <c r="AA19" s="99">
        <f t="shared" si="4"/>
        <v>5780419.2549999999</v>
      </c>
      <c r="AB19" s="101" t="str">
        <f t="shared" si="5"/>
        <v>07</v>
      </c>
      <c r="AC19" s="102"/>
      <c r="AD19" s="102"/>
      <c r="AE19" s="120"/>
      <c r="AF19" s="116"/>
      <c r="AG19" s="417"/>
      <c r="AK19" s="105"/>
    </row>
    <row r="20" spans="1:37" s="104" customFormat="1" ht="28.5" customHeight="1">
      <c r="A20" s="202" t="s">
        <v>39</v>
      </c>
      <c r="B20" s="94" t="s">
        <v>136</v>
      </c>
      <c r="C20" s="95" t="s">
        <v>110</v>
      </c>
      <c r="D20" s="112" t="s">
        <v>121</v>
      </c>
      <c r="E20" s="227" t="s">
        <v>238</v>
      </c>
      <c r="F20" s="209" t="s">
        <v>209</v>
      </c>
      <c r="G20" s="107" t="s">
        <v>244</v>
      </c>
      <c r="H20" s="233">
        <v>5</v>
      </c>
      <c r="I20" s="98">
        <v>6151018</v>
      </c>
      <c r="J20" s="113"/>
      <c r="K20" s="98"/>
      <c r="L20" s="98">
        <f t="shared" si="0"/>
        <v>6151018</v>
      </c>
      <c r="M20" s="98"/>
      <c r="N20" s="98">
        <f t="shared" si="1"/>
        <v>0</v>
      </c>
      <c r="O20" s="98"/>
      <c r="P20" s="98">
        <f t="shared" si="2"/>
        <v>6151018</v>
      </c>
      <c r="Q20" s="98">
        <f t="shared" si="6"/>
        <v>492081.44</v>
      </c>
      <c r="R20" s="99">
        <f t="shared" si="7"/>
        <v>92265.26999999999</v>
      </c>
      <c r="S20" s="98">
        <f t="shared" si="8"/>
        <v>61510.18</v>
      </c>
      <c r="T20" s="99"/>
      <c r="U20" s="99">
        <f t="shared" si="3"/>
        <v>645856.89</v>
      </c>
      <c r="V20" s="99"/>
      <c r="W20" s="99"/>
      <c r="X20" s="99"/>
      <c r="Y20" s="99"/>
      <c r="Z20" s="99"/>
      <c r="AA20" s="99">
        <f t="shared" si="4"/>
        <v>5505161.1100000003</v>
      </c>
      <c r="AB20" s="101" t="str">
        <f t="shared" si="5"/>
        <v>08</v>
      </c>
      <c r="AC20" s="102"/>
      <c r="AD20" s="102" t="s">
        <v>111</v>
      </c>
      <c r="AE20" s="102" t="s">
        <v>113</v>
      </c>
      <c r="AF20" s="110" t="e">
        <f>#REF!*2</f>
        <v>#REF!</v>
      </c>
      <c r="AG20" s="110"/>
      <c r="AH20" s="110"/>
      <c r="AK20" s="111"/>
    </row>
    <row r="21" spans="1:37" s="417" customFormat="1" ht="26.25" customHeight="1">
      <c r="A21" s="202" t="s">
        <v>40</v>
      </c>
      <c r="B21" s="143" t="s">
        <v>133</v>
      </c>
      <c r="C21" s="95" t="s">
        <v>6</v>
      </c>
      <c r="D21" s="112" t="s">
        <v>167</v>
      </c>
      <c r="E21" s="338" t="s">
        <v>236</v>
      </c>
      <c r="F21" s="223" t="s">
        <v>203</v>
      </c>
      <c r="G21" s="107" t="s">
        <v>247</v>
      </c>
      <c r="H21" s="96">
        <v>5</v>
      </c>
      <c r="I21" s="98">
        <v>5748615</v>
      </c>
      <c r="J21" s="113"/>
      <c r="K21" s="98"/>
      <c r="L21" s="98">
        <f t="shared" si="0"/>
        <v>5748615</v>
      </c>
      <c r="M21" s="98"/>
      <c r="N21" s="98">
        <f t="shared" si="1"/>
        <v>0</v>
      </c>
      <c r="O21" s="98"/>
      <c r="P21" s="98">
        <f t="shared" si="2"/>
        <v>5748615</v>
      </c>
      <c r="Q21" s="98">
        <f t="shared" si="6"/>
        <v>459889.2</v>
      </c>
      <c r="R21" s="99">
        <f t="shared" si="7"/>
        <v>86229.224999999991</v>
      </c>
      <c r="S21" s="98">
        <f t="shared" si="8"/>
        <v>57486.15</v>
      </c>
      <c r="T21" s="99"/>
      <c r="U21" s="99">
        <f t="shared" si="3"/>
        <v>603604.57500000007</v>
      </c>
      <c r="V21" s="99"/>
      <c r="W21" s="99"/>
      <c r="X21" s="99"/>
      <c r="Y21" s="99"/>
      <c r="Z21" s="99"/>
      <c r="AA21" s="99">
        <f t="shared" si="4"/>
        <v>5145010.4249999998</v>
      </c>
      <c r="AB21" s="101" t="str">
        <f t="shared" si="5"/>
        <v>09</v>
      </c>
      <c r="AC21" s="102" t="s">
        <v>360</v>
      </c>
      <c r="AD21" s="117">
        <f>3.33*1390000</f>
        <v>4628700</v>
      </c>
      <c r="AE21" s="625"/>
      <c r="AF21" s="626"/>
      <c r="AG21" s="626"/>
      <c r="AK21" s="119"/>
    </row>
    <row r="22" spans="1:37" s="417" customFormat="1" ht="23.25" customHeight="1">
      <c r="A22" s="202" t="s">
        <v>24</v>
      </c>
      <c r="B22" s="94" t="s">
        <v>140</v>
      </c>
      <c r="C22" s="95" t="s">
        <v>82</v>
      </c>
      <c r="D22" s="112" t="s">
        <v>69</v>
      </c>
      <c r="E22" s="228" t="str">
        <f>VLOOKUP(B22,[2]T3!$B$2:$D$328,3,FALSE)</f>
        <v>026050143</v>
      </c>
      <c r="F22" s="223" t="s">
        <v>218</v>
      </c>
      <c r="G22" s="107" t="s">
        <v>244</v>
      </c>
      <c r="H22" s="233">
        <v>6</v>
      </c>
      <c r="I22" s="98">
        <v>6458569</v>
      </c>
      <c r="J22" s="113"/>
      <c r="K22" s="98"/>
      <c r="L22" s="98">
        <f t="shared" si="0"/>
        <v>6458569</v>
      </c>
      <c r="M22" s="98"/>
      <c r="N22" s="98">
        <f t="shared" si="1"/>
        <v>0</v>
      </c>
      <c r="O22" s="98"/>
      <c r="P22" s="98">
        <f t="shared" si="2"/>
        <v>6458569</v>
      </c>
      <c r="Q22" s="98">
        <f t="shared" si="6"/>
        <v>516685.52</v>
      </c>
      <c r="R22" s="99">
        <f t="shared" si="7"/>
        <v>96878.535000000003</v>
      </c>
      <c r="S22" s="98">
        <f t="shared" si="8"/>
        <v>64585.69</v>
      </c>
      <c r="T22" s="99"/>
      <c r="U22" s="99">
        <f t="shared" si="3"/>
        <v>678149.74500000011</v>
      </c>
      <c r="V22" s="99"/>
      <c r="W22" s="99"/>
      <c r="X22" s="99"/>
      <c r="Y22" s="99"/>
      <c r="Z22" s="99"/>
      <c r="AA22" s="99">
        <f t="shared" si="4"/>
        <v>5780419.2549999999</v>
      </c>
      <c r="AB22" s="101" t="str">
        <f t="shared" si="5"/>
        <v>10</v>
      </c>
      <c r="AC22" s="102"/>
      <c r="AD22" s="134" t="s">
        <v>109</v>
      </c>
      <c r="AE22" s="117" t="e">
        <f>#REF!/24</f>
        <v>#REF!</v>
      </c>
      <c r="AK22" s="416"/>
    </row>
    <row r="23" spans="1:37" s="417" customFormat="1" ht="27" customHeight="1">
      <c r="A23" s="202" t="s">
        <v>25</v>
      </c>
      <c r="B23" s="143" t="s">
        <v>128</v>
      </c>
      <c r="C23" s="95" t="s">
        <v>125</v>
      </c>
      <c r="D23" s="112" t="s">
        <v>121</v>
      </c>
      <c r="E23" s="228" t="str">
        <f>VLOOKUP(B23,[2]T3!$B$2:$D$328,3,FALSE)</f>
        <v>025444854</v>
      </c>
      <c r="F23" s="223" t="s">
        <v>210</v>
      </c>
      <c r="G23" s="107" t="s">
        <v>247</v>
      </c>
      <c r="H23" s="233">
        <v>2</v>
      </c>
      <c r="I23" s="98">
        <v>4965870</v>
      </c>
      <c r="J23" s="113"/>
      <c r="K23" s="98"/>
      <c r="L23" s="98">
        <f t="shared" si="0"/>
        <v>4965870</v>
      </c>
      <c r="M23" s="98"/>
      <c r="N23" s="98">
        <f t="shared" si="1"/>
        <v>0</v>
      </c>
      <c r="O23" s="98"/>
      <c r="P23" s="98">
        <f t="shared" si="2"/>
        <v>4965870</v>
      </c>
      <c r="Q23" s="98">
        <f t="shared" si="6"/>
        <v>397269.60000000003</v>
      </c>
      <c r="R23" s="99">
        <f t="shared" si="7"/>
        <v>74488.05</v>
      </c>
      <c r="S23" s="98">
        <f t="shared" si="8"/>
        <v>49658.700000000004</v>
      </c>
      <c r="T23" s="99"/>
      <c r="U23" s="99">
        <f t="shared" si="3"/>
        <v>521416.35000000003</v>
      </c>
      <c r="V23" s="99"/>
      <c r="W23" s="99"/>
      <c r="X23" s="99"/>
      <c r="Y23" s="99"/>
      <c r="Z23" s="99"/>
      <c r="AA23" s="99">
        <f t="shared" si="4"/>
        <v>4444453.6500000004</v>
      </c>
      <c r="AB23" s="101" t="str">
        <f t="shared" si="5"/>
        <v>11</v>
      </c>
      <c r="AC23" s="102"/>
      <c r="AD23" s="102" t="s">
        <v>126</v>
      </c>
      <c r="AE23" s="144"/>
      <c r="AF23" s="110"/>
      <c r="AG23" s="110"/>
      <c r="AH23" s="110"/>
      <c r="AK23" s="111"/>
    </row>
    <row r="24" spans="1:37" s="417" customFormat="1" ht="30" customHeight="1">
      <c r="A24" s="202" t="s">
        <v>26</v>
      </c>
      <c r="B24" s="94" t="s">
        <v>258</v>
      </c>
      <c r="C24" s="95"/>
      <c r="D24" s="112" t="s">
        <v>259</v>
      </c>
      <c r="E24" s="228"/>
      <c r="F24" s="223" t="str">
        <f>VLOOKUP(B24,[1]LuongBC_T01!$B$277:$C$292,2,FALSE)</f>
        <v>0016100006675004</v>
      </c>
      <c r="G24" s="107" t="s">
        <v>247</v>
      </c>
      <c r="H24" s="96">
        <v>4</v>
      </c>
      <c r="I24" s="98">
        <v>5474872</v>
      </c>
      <c r="J24" s="113"/>
      <c r="K24" s="98"/>
      <c r="L24" s="98">
        <f t="shared" si="0"/>
        <v>5474872</v>
      </c>
      <c r="M24" s="98"/>
      <c r="N24" s="98">
        <f t="shared" si="1"/>
        <v>0</v>
      </c>
      <c r="O24" s="98"/>
      <c r="P24" s="98">
        <f t="shared" si="2"/>
        <v>5474872</v>
      </c>
      <c r="Q24" s="98">
        <f t="shared" si="6"/>
        <v>437989.76</v>
      </c>
      <c r="R24" s="99">
        <f t="shared" si="7"/>
        <v>82123.08</v>
      </c>
      <c r="S24" s="98">
        <f t="shared" si="8"/>
        <v>54748.72</v>
      </c>
      <c r="T24" s="99"/>
      <c r="U24" s="99">
        <f t="shared" si="3"/>
        <v>574861.56000000006</v>
      </c>
      <c r="V24" s="99"/>
      <c r="W24" s="100"/>
      <c r="X24" s="100"/>
      <c r="Y24" s="100"/>
      <c r="Z24" s="100"/>
      <c r="AA24" s="99">
        <f t="shared" si="4"/>
        <v>4900010.4399999995</v>
      </c>
      <c r="AB24" s="101" t="str">
        <f t="shared" si="5"/>
        <v>12</v>
      </c>
      <c r="AC24" s="102"/>
      <c r="AD24" s="102"/>
      <c r="AE24" s="109"/>
      <c r="AF24" s="110"/>
      <c r="AG24" s="110"/>
      <c r="AH24" s="110"/>
      <c r="AI24" s="110"/>
      <c r="AJ24" s="109"/>
      <c r="AK24" s="111"/>
    </row>
    <row r="25" spans="1:37" s="417" customFormat="1" ht="30.75" customHeight="1">
      <c r="A25" s="202" t="s">
        <v>31</v>
      </c>
      <c r="B25" s="94" t="s">
        <v>249</v>
      </c>
      <c r="C25" s="95"/>
      <c r="D25" s="112" t="s">
        <v>8</v>
      </c>
      <c r="E25" s="338"/>
      <c r="F25" s="223" t="str">
        <f>VLOOKUP(B25,[1]LuongBC_T01!$B$277:$C$292,2,FALSE)</f>
        <v>0016100006692006</v>
      </c>
      <c r="G25" s="107" t="s">
        <v>248</v>
      </c>
      <c r="H25" s="233">
        <v>11</v>
      </c>
      <c r="I25" s="98">
        <v>7559700</v>
      </c>
      <c r="J25" s="113"/>
      <c r="K25" s="98"/>
      <c r="L25" s="98">
        <f t="shared" si="0"/>
        <v>7559700</v>
      </c>
      <c r="M25" s="98"/>
      <c r="N25" s="98">
        <f t="shared" si="1"/>
        <v>0</v>
      </c>
      <c r="O25" s="98"/>
      <c r="P25" s="98">
        <f t="shared" si="2"/>
        <v>7559700</v>
      </c>
      <c r="Q25" s="98">
        <f t="shared" si="6"/>
        <v>604776</v>
      </c>
      <c r="R25" s="99">
        <f t="shared" si="7"/>
        <v>113395.5</v>
      </c>
      <c r="S25" s="98">
        <f t="shared" si="8"/>
        <v>75597</v>
      </c>
      <c r="T25" s="99"/>
      <c r="U25" s="99">
        <f t="shared" si="3"/>
        <v>793768.5</v>
      </c>
      <c r="V25" s="151"/>
      <c r="W25" s="99"/>
      <c r="X25" s="99"/>
      <c r="Y25" s="99"/>
      <c r="Z25" s="99"/>
      <c r="AA25" s="99">
        <f t="shared" si="4"/>
        <v>6765931.5</v>
      </c>
      <c r="AB25" s="101" t="str">
        <f t="shared" si="5"/>
        <v>13</v>
      </c>
      <c r="AC25" s="102"/>
      <c r="AD25" s="117"/>
      <c r="AE25" s="234"/>
      <c r="AF25" s="110"/>
      <c r="AG25" s="110"/>
      <c r="AI25" s="144"/>
      <c r="AK25" s="111"/>
    </row>
    <row r="26" spans="1:37" s="417" customFormat="1" ht="29.25" customHeight="1">
      <c r="A26" s="202" t="s">
        <v>27</v>
      </c>
      <c r="B26" s="94" t="s">
        <v>250</v>
      </c>
      <c r="C26" s="95"/>
      <c r="D26" s="112" t="s">
        <v>8</v>
      </c>
      <c r="E26" s="338"/>
      <c r="F26" s="223" t="str">
        <f>VLOOKUP(B26,[1]LuongBC_T01!$B$277:$C$292,2,FALSE)</f>
        <v>0016100006677007</v>
      </c>
      <c r="G26" s="107" t="s">
        <v>248</v>
      </c>
      <c r="H26" s="233">
        <v>10</v>
      </c>
      <c r="I26" s="98">
        <v>7199714</v>
      </c>
      <c r="J26" s="113"/>
      <c r="K26" s="98"/>
      <c r="L26" s="98">
        <f t="shared" si="0"/>
        <v>7199714</v>
      </c>
      <c r="M26" s="98"/>
      <c r="N26" s="98">
        <f t="shared" si="1"/>
        <v>0</v>
      </c>
      <c r="O26" s="98"/>
      <c r="P26" s="98">
        <f t="shared" si="2"/>
        <v>7199714</v>
      </c>
      <c r="Q26" s="98">
        <f t="shared" si="6"/>
        <v>575977.12</v>
      </c>
      <c r="R26" s="99">
        <f t="shared" si="7"/>
        <v>107995.70999999999</v>
      </c>
      <c r="S26" s="98">
        <f t="shared" si="8"/>
        <v>71997.14</v>
      </c>
      <c r="T26" s="99"/>
      <c r="U26" s="99">
        <f t="shared" si="3"/>
        <v>755969.97</v>
      </c>
      <c r="V26" s="151"/>
      <c r="W26" s="99"/>
      <c r="X26" s="99"/>
      <c r="Y26" s="99"/>
      <c r="Z26" s="99"/>
      <c r="AA26" s="99">
        <f t="shared" si="4"/>
        <v>6443744.0300000003</v>
      </c>
      <c r="AB26" s="101" t="str">
        <f t="shared" si="5"/>
        <v>14</v>
      </c>
      <c r="AC26" s="102"/>
      <c r="AD26" s="117"/>
      <c r="AE26" s="234"/>
      <c r="AF26" s="110"/>
      <c r="AG26" s="110"/>
      <c r="AI26" s="144"/>
      <c r="AK26" s="111"/>
    </row>
    <row r="27" spans="1:37" s="417" customFormat="1" ht="29.25" customHeight="1">
      <c r="A27" s="202" t="s">
        <v>28</v>
      </c>
      <c r="B27" s="94" t="s">
        <v>255</v>
      </c>
      <c r="C27" s="95"/>
      <c r="D27" s="112" t="s">
        <v>8</v>
      </c>
      <c r="E27" s="228"/>
      <c r="F27" s="223"/>
      <c r="G27" s="97" t="s">
        <v>248</v>
      </c>
      <c r="H27" s="233">
        <v>2</v>
      </c>
      <c r="I27" s="98">
        <v>4641000</v>
      </c>
      <c r="J27" s="113"/>
      <c r="K27" s="98"/>
      <c r="L27" s="98">
        <f t="shared" si="0"/>
        <v>4641000</v>
      </c>
      <c r="M27" s="98"/>
      <c r="N27" s="98">
        <f t="shared" si="1"/>
        <v>0</v>
      </c>
      <c r="O27" s="98"/>
      <c r="P27" s="98">
        <f t="shared" si="2"/>
        <v>4641000</v>
      </c>
      <c r="Q27" s="98">
        <f t="shared" si="6"/>
        <v>371280</v>
      </c>
      <c r="R27" s="99">
        <f t="shared" si="7"/>
        <v>69615</v>
      </c>
      <c r="S27" s="98">
        <f t="shared" si="8"/>
        <v>46410</v>
      </c>
      <c r="T27" s="99"/>
      <c r="U27" s="99">
        <f t="shared" si="3"/>
        <v>487305</v>
      </c>
      <c r="V27" s="99"/>
      <c r="W27" s="99"/>
      <c r="X27" s="151"/>
      <c r="Y27" s="99"/>
      <c r="Z27" s="99"/>
      <c r="AA27" s="99">
        <f t="shared" si="4"/>
        <v>4153695</v>
      </c>
      <c r="AB27" s="101" t="str">
        <f t="shared" si="5"/>
        <v>15</v>
      </c>
      <c r="AC27" s="102"/>
      <c r="AD27" s="102"/>
      <c r="AE27" s="120"/>
      <c r="AF27" s="116"/>
      <c r="AK27" s="416"/>
    </row>
    <row r="28" spans="1:37" s="104" customFormat="1" ht="28.5" customHeight="1">
      <c r="A28" s="202" t="s">
        <v>29</v>
      </c>
      <c r="B28" s="94" t="s">
        <v>141</v>
      </c>
      <c r="C28" s="95" t="s">
        <v>58</v>
      </c>
      <c r="D28" s="112" t="s">
        <v>276</v>
      </c>
      <c r="E28" s="228" t="str">
        <f>VLOOKUP(B28,[2]T3!$B$2:$D$328,3,FALSE)</f>
        <v>025177943</v>
      </c>
      <c r="F28" s="209" t="s">
        <v>216</v>
      </c>
      <c r="G28" s="107" t="s">
        <v>247</v>
      </c>
      <c r="H28" s="96">
        <v>4</v>
      </c>
      <c r="I28" s="98">
        <v>5474872</v>
      </c>
      <c r="J28" s="113"/>
      <c r="K28" s="98"/>
      <c r="L28" s="98">
        <f t="shared" si="0"/>
        <v>5474872</v>
      </c>
      <c r="M28" s="98"/>
      <c r="N28" s="98">
        <f t="shared" si="1"/>
        <v>0</v>
      </c>
      <c r="O28" s="98"/>
      <c r="P28" s="98">
        <f t="shared" si="2"/>
        <v>5474872</v>
      </c>
      <c r="Q28" s="98">
        <f t="shared" si="6"/>
        <v>437989.76</v>
      </c>
      <c r="R28" s="99">
        <f t="shared" si="7"/>
        <v>82123.08</v>
      </c>
      <c r="S28" s="98">
        <f t="shared" si="8"/>
        <v>54748.72</v>
      </c>
      <c r="T28" s="99"/>
      <c r="U28" s="99">
        <f t="shared" si="3"/>
        <v>574861.56000000006</v>
      </c>
      <c r="V28" s="99"/>
      <c r="W28" s="99"/>
      <c r="X28" s="99"/>
      <c r="Y28" s="99"/>
      <c r="Z28" s="99"/>
      <c r="AA28" s="99">
        <f t="shared" si="4"/>
        <v>4900010.4399999995</v>
      </c>
      <c r="AB28" s="101" t="str">
        <f t="shared" si="5"/>
        <v>16</v>
      </c>
      <c r="AC28" s="102"/>
      <c r="AD28" s="135">
        <f>2.67-2.41</f>
        <v>0.25999999999999979</v>
      </c>
      <c r="AE28" s="106" t="s">
        <v>59</v>
      </c>
      <c r="AF28" s="136"/>
      <c r="AG28" s="137"/>
      <c r="AK28" s="111"/>
    </row>
    <row r="29" spans="1:37" s="104" customFormat="1" ht="27.75" customHeight="1">
      <c r="A29" s="202" t="s">
        <v>30</v>
      </c>
      <c r="B29" s="94" t="s">
        <v>145</v>
      </c>
      <c r="C29" s="95" t="s">
        <v>23</v>
      </c>
      <c r="D29" s="112" t="s">
        <v>276</v>
      </c>
      <c r="E29" s="228" t="str">
        <f>VLOOKUP(B29,[2]T3!$B$2:$D$328,3,FALSE)</f>
        <v>025632449</v>
      </c>
      <c r="F29" s="209" t="s">
        <v>221</v>
      </c>
      <c r="G29" s="107" t="s">
        <v>247</v>
      </c>
      <c r="H29" s="233">
        <v>2</v>
      </c>
      <c r="I29" s="98">
        <v>4965870</v>
      </c>
      <c r="J29" s="113"/>
      <c r="K29" s="98"/>
      <c r="L29" s="98">
        <f t="shared" si="0"/>
        <v>4965870</v>
      </c>
      <c r="M29" s="98"/>
      <c r="N29" s="98">
        <f t="shared" si="1"/>
        <v>0</v>
      </c>
      <c r="O29" s="98"/>
      <c r="P29" s="98">
        <f t="shared" si="2"/>
        <v>4965870</v>
      </c>
      <c r="Q29" s="98">
        <f t="shared" si="6"/>
        <v>397269.60000000003</v>
      </c>
      <c r="R29" s="99">
        <f t="shared" si="7"/>
        <v>74488.05</v>
      </c>
      <c r="S29" s="98">
        <f t="shared" si="8"/>
        <v>49658.700000000004</v>
      </c>
      <c r="T29" s="99"/>
      <c r="U29" s="99">
        <f t="shared" si="3"/>
        <v>521416.35000000003</v>
      </c>
      <c r="V29" s="99"/>
      <c r="W29" s="99"/>
      <c r="X29" s="99"/>
      <c r="Y29" s="99"/>
      <c r="Z29" s="99"/>
      <c r="AA29" s="99">
        <f t="shared" si="4"/>
        <v>4444453.6500000004</v>
      </c>
      <c r="AB29" s="101" t="str">
        <f t="shared" si="5"/>
        <v>17</v>
      </c>
      <c r="AC29" s="102"/>
      <c r="AD29" s="120" t="s">
        <v>86</v>
      </c>
      <c r="AE29" s="109"/>
      <c r="AF29" s="120" t="s">
        <v>112</v>
      </c>
      <c r="AG29" s="110"/>
      <c r="AH29" s="110"/>
      <c r="AK29" s="111"/>
    </row>
    <row r="30" spans="1:37" s="104" customFormat="1" ht="25.5" customHeight="1">
      <c r="A30" s="202" t="s">
        <v>89</v>
      </c>
      <c r="B30" s="401" t="s">
        <v>278</v>
      </c>
      <c r="C30" s="413"/>
      <c r="D30" s="403" t="s">
        <v>279</v>
      </c>
      <c r="E30" s="404"/>
      <c r="F30" s="405"/>
      <c r="G30" s="406" t="s">
        <v>248</v>
      </c>
      <c r="H30" s="407">
        <v>1</v>
      </c>
      <c r="I30" s="408">
        <v>4641000</v>
      </c>
      <c r="J30" s="409"/>
      <c r="K30" s="408"/>
      <c r="L30" s="408">
        <f t="shared" si="0"/>
        <v>4641000</v>
      </c>
      <c r="M30" s="408"/>
      <c r="N30" s="408">
        <f t="shared" si="1"/>
        <v>0</v>
      </c>
      <c r="O30" s="408"/>
      <c r="P30" s="408">
        <f t="shared" si="2"/>
        <v>4641000</v>
      </c>
      <c r="Q30" s="408">
        <f t="shared" si="6"/>
        <v>371280</v>
      </c>
      <c r="R30" s="410">
        <f t="shared" si="7"/>
        <v>69615</v>
      </c>
      <c r="S30" s="408">
        <f t="shared" si="8"/>
        <v>46410</v>
      </c>
      <c r="T30" s="410"/>
      <c r="U30" s="410">
        <f t="shared" si="3"/>
        <v>487305</v>
      </c>
      <c r="V30" s="410"/>
      <c r="W30" s="414"/>
      <c r="X30" s="414"/>
      <c r="Y30" s="414"/>
      <c r="Z30" s="414"/>
      <c r="AA30" s="410">
        <f t="shared" si="4"/>
        <v>4153695</v>
      </c>
      <c r="AB30" s="411" t="str">
        <f t="shared" si="5"/>
        <v>18</v>
      </c>
      <c r="AC30" s="415" t="s">
        <v>379</v>
      </c>
      <c r="AD30" s="255" t="s">
        <v>280</v>
      </c>
      <c r="AE30" s="117"/>
      <c r="AF30" s="144"/>
      <c r="AG30" s="417"/>
      <c r="AK30" s="105"/>
    </row>
    <row r="31" spans="1:37" s="104" customFormat="1" ht="38.25" customHeight="1">
      <c r="A31" s="202" t="s">
        <v>90</v>
      </c>
      <c r="B31" s="94" t="s">
        <v>305</v>
      </c>
      <c r="C31" s="95"/>
      <c r="D31" s="112" t="s">
        <v>306</v>
      </c>
      <c r="E31" s="228"/>
      <c r="F31" s="223"/>
      <c r="G31" s="97" t="s">
        <v>248</v>
      </c>
      <c r="H31" s="233">
        <v>1</v>
      </c>
      <c r="I31" s="98">
        <v>4420000</v>
      </c>
      <c r="J31" s="113"/>
      <c r="K31" s="98"/>
      <c r="L31" s="98">
        <f t="shared" si="0"/>
        <v>4420000</v>
      </c>
      <c r="M31" s="98"/>
      <c r="N31" s="98">
        <f t="shared" si="1"/>
        <v>0</v>
      </c>
      <c r="O31" s="98"/>
      <c r="P31" s="98">
        <f t="shared" si="2"/>
        <v>4420000</v>
      </c>
      <c r="Q31" s="98">
        <f t="shared" si="6"/>
        <v>353600</v>
      </c>
      <c r="R31" s="99">
        <f t="shared" si="7"/>
        <v>66300</v>
      </c>
      <c r="S31" s="98">
        <f t="shared" si="8"/>
        <v>44200</v>
      </c>
      <c r="T31" s="99"/>
      <c r="U31" s="99">
        <f t="shared" si="3"/>
        <v>464100</v>
      </c>
      <c r="V31" s="99"/>
      <c r="W31" s="100"/>
      <c r="X31" s="100"/>
      <c r="Y31" s="100"/>
      <c r="Z31" s="100"/>
      <c r="AA31" s="99">
        <f t="shared" si="4"/>
        <v>3955900</v>
      </c>
      <c r="AB31" s="101" t="str">
        <f t="shared" si="5"/>
        <v>19</v>
      </c>
      <c r="AC31" s="255"/>
      <c r="AD31" s="255" t="s">
        <v>316</v>
      </c>
      <c r="AE31" s="117"/>
      <c r="AF31" s="144"/>
      <c r="AG31" s="417"/>
      <c r="AK31" s="105"/>
    </row>
    <row r="32" spans="1:37" s="104" customFormat="1" ht="31.5" customHeight="1">
      <c r="A32" s="202" t="s">
        <v>91</v>
      </c>
      <c r="B32" s="94" t="s">
        <v>352</v>
      </c>
      <c r="C32" s="95"/>
      <c r="D32" s="112" t="s">
        <v>241</v>
      </c>
      <c r="E32" s="228"/>
      <c r="F32" s="209"/>
      <c r="G32" s="97" t="s">
        <v>248</v>
      </c>
      <c r="H32" s="233">
        <v>12</v>
      </c>
      <c r="I32" s="98">
        <v>7559700</v>
      </c>
      <c r="J32" s="339">
        <v>0.55000000000000004</v>
      </c>
      <c r="K32" s="113">
        <f>I32*J32</f>
        <v>4157835.0000000005</v>
      </c>
      <c r="L32" s="98">
        <f t="shared" si="0"/>
        <v>11717535</v>
      </c>
      <c r="M32" s="98"/>
      <c r="N32" s="98">
        <f t="shared" si="1"/>
        <v>0</v>
      </c>
      <c r="O32" s="98"/>
      <c r="P32" s="98">
        <f t="shared" si="2"/>
        <v>11717535</v>
      </c>
      <c r="Q32" s="98">
        <f t="shared" si="6"/>
        <v>937402.8</v>
      </c>
      <c r="R32" s="99">
        <f t="shared" si="7"/>
        <v>175763.02499999999</v>
      </c>
      <c r="S32" s="98">
        <f t="shared" si="8"/>
        <v>117175.35</v>
      </c>
      <c r="T32" s="99"/>
      <c r="U32" s="99">
        <f t="shared" si="3"/>
        <v>1230341.175</v>
      </c>
      <c r="V32" s="99"/>
      <c r="W32" s="99"/>
      <c r="X32" s="151"/>
      <c r="Y32" s="99"/>
      <c r="Z32" s="99"/>
      <c r="AA32" s="99">
        <f t="shared" si="4"/>
        <v>10487193.824999999</v>
      </c>
      <c r="AB32" s="101" t="str">
        <f t="shared" si="5"/>
        <v>20</v>
      </c>
      <c r="AC32" s="102"/>
      <c r="AD32" s="102"/>
      <c r="AE32" s="120"/>
      <c r="AF32" s="116"/>
      <c r="AG32" s="417"/>
      <c r="AK32" s="105"/>
    </row>
    <row r="33" spans="1:37" s="104" customFormat="1" ht="39.75" customHeight="1">
      <c r="A33" s="202" t="s">
        <v>92</v>
      </c>
      <c r="B33" s="94" t="s">
        <v>307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113"/>
      <c r="K33" s="98"/>
      <c r="L33" s="98">
        <f t="shared" si="0"/>
        <v>4420000</v>
      </c>
      <c r="M33" s="98"/>
      <c r="N33" s="98">
        <f t="shared" si="1"/>
        <v>0</v>
      </c>
      <c r="O33" s="98"/>
      <c r="P33" s="98">
        <f t="shared" si="2"/>
        <v>4420000</v>
      </c>
      <c r="Q33" s="98">
        <f t="shared" si="6"/>
        <v>353600</v>
      </c>
      <c r="R33" s="99">
        <f t="shared" si="7"/>
        <v>66300</v>
      </c>
      <c r="S33" s="98">
        <f t="shared" si="8"/>
        <v>44200</v>
      </c>
      <c r="T33" s="99"/>
      <c r="U33" s="99">
        <f t="shared" si="3"/>
        <v>464100</v>
      </c>
      <c r="V33" s="99"/>
      <c r="W33" s="100"/>
      <c r="X33" s="100"/>
      <c r="Y33" s="100"/>
      <c r="Z33" s="100"/>
      <c r="AA33" s="99">
        <f t="shared" si="4"/>
        <v>3955900</v>
      </c>
      <c r="AB33" s="101" t="str">
        <f t="shared" si="5"/>
        <v>21</v>
      </c>
      <c r="AC33" s="255"/>
      <c r="AD33" s="255" t="s">
        <v>317</v>
      </c>
      <c r="AE33" s="117"/>
      <c r="AF33" s="144"/>
      <c r="AG33" s="417"/>
      <c r="AK33" s="105"/>
    </row>
    <row r="34" spans="1:37" s="104" customFormat="1" ht="39.75" customHeight="1">
      <c r="A34" s="202" t="s">
        <v>93</v>
      </c>
      <c r="B34" s="388" t="s">
        <v>372</v>
      </c>
      <c r="C34" s="389"/>
      <c r="D34" s="390" t="s">
        <v>373</v>
      </c>
      <c r="E34" s="391"/>
      <c r="F34" s="392"/>
      <c r="G34" s="393" t="s">
        <v>248</v>
      </c>
      <c r="H34" s="394">
        <v>1</v>
      </c>
      <c r="I34" s="395">
        <v>4420000</v>
      </c>
      <c r="J34" s="396"/>
      <c r="K34" s="395"/>
      <c r="L34" s="395">
        <f t="shared" si="0"/>
        <v>4420000</v>
      </c>
      <c r="M34" s="395"/>
      <c r="N34" s="395">
        <f t="shared" si="1"/>
        <v>0</v>
      </c>
      <c r="O34" s="395"/>
      <c r="P34" s="395">
        <f t="shared" si="2"/>
        <v>4420000</v>
      </c>
      <c r="Q34" s="395">
        <f t="shared" si="6"/>
        <v>353600</v>
      </c>
      <c r="R34" s="397">
        <f t="shared" si="7"/>
        <v>66300</v>
      </c>
      <c r="S34" s="395">
        <f t="shared" si="8"/>
        <v>44200</v>
      </c>
      <c r="T34" s="397"/>
      <c r="U34" s="397">
        <f t="shared" si="3"/>
        <v>464100</v>
      </c>
      <c r="V34" s="397"/>
      <c r="W34" s="398"/>
      <c r="X34" s="398"/>
      <c r="Y34" s="398"/>
      <c r="Z34" s="398"/>
      <c r="AA34" s="397">
        <f t="shared" si="4"/>
        <v>3955900</v>
      </c>
      <c r="AB34" s="399" t="str">
        <f>A34</f>
        <v>22</v>
      </c>
      <c r="AC34" s="400" t="s">
        <v>376</v>
      </c>
      <c r="AD34" s="255"/>
      <c r="AE34" s="117"/>
      <c r="AF34" s="144"/>
      <c r="AG34" s="417"/>
      <c r="AK34" s="105"/>
    </row>
    <row r="35" spans="1:37" s="417" customFormat="1" ht="30" customHeight="1">
      <c r="A35" s="202" t="s">
        <v>94</v>
      </c>
      <c r="B35" s="94" t="s">
        <v>256</v>
      </c>
      <c r="C35" s="95"/>
      <c r="D35" s="112" t="s">
        <v>257</v>
      </c>
      <c r="E35" s="228"/>
      <c r="F35" s="223"/>
      <c r="G35" s="107" t="s">
        <v>247</v>
      </c>
      <c r="H35" s="96">
        <v>7</v>
      </c>
      <c r="I35" s="98">
        <v>6337848</v>
      </c>
      <c r="J35" s="113"/>
      <c r="K35" s="98"/>
      <c r="L35" s="98">
        <f t="shared" si="0"/>
        <v>6337848</v>
      </c>
      <c r="M35" s="98"/>
      <c r="N35" s="98">
        <f t="shared" si="1"/>
        <v>0</v>
      </c>
      <c r="O35" s="98"/>
      <c r="P35" s="98">
        <f t="shared" si="2"/>
        <v>6337848</v>
      </c>
      <c r="Q35" s="98">
        <f>L35*8%+1</f>
        <v>507028.84</v>
      </c>
      <c r="R35" s="99">
        <f t="shared" si="7"/>
        <v>95067.72</v>
      </c>
      <c r="S35" s="98">
        <f t="shared" si="8"/>
        <v>63378.48</v>
      </c>
      <c r="T35" s="99"/>
      <c r="U35" s="99">
        <f t="shared" si="3"/>
        <v>665475.04</v>
      </c>
      <c r="V35" s="99"/>
      <c r="W35" s="100"/>
      <c r="X35" s="100"/>
      <c r="Y35" s="100"/>
      <c r="Z35" s="100">
        <v>852000</v>
      </c>
      <c r="AA35" s="99">
        <f t="shared" si="4"/>
        <v>6524372.96</v>
      </c>
      <c r="AB35" s="101" t="str">
        <f>A35</f>
        <v>23</v>
      </c>
      <c r="AC35" s="102"/>
      <c r="AD35" s="102"/>
      <c r="AE35" s="109"/>
      <c r="AF35" s="110"/>
      <c r="AG35" s="110"/>
      <c r="AH35" s="110"/>
      <c r="AI35" s="110"/>
      <c r="AJ35" s="109"/>
      <c r="AK35" s="111"/>
    </row>
    <row r="36" spans="1:37" s="417" customFormat="1" ht="24.75" customHeight="1">
      <c r="A36" s="202" t="s">
        <v>95</v>
      </c>
      <c r="B36" s="94" t="s">
        <v>134</v>
      </c>
      <c r="C36" s="95" t="s">
        <v>65</v>
      </c>
      <c r="D36" s="112" t="s">
        <v>73</v>
      </c>
      <c r="E36" s="228" t="str">
        <f>VLOOKUP(B36,[2]T3!$B$2:$D$328,3,FALSE)</f>
        <v>230718298</v>
      </c>
      <c r="F36" s="209" t="s">
        <v>207</v>
      </c>
      <c r="G36" s="107" t="s">
        <v>244</v>
      </c>
      <c r="H36" s="233">
        <v>5</v>
      </c>
      <c r="I36" s="98">
        <v>6151018</v>
      </c>
      <c r="J36" s="113"/>
      <c r="K36" s="98"/>
      <c r="L36" s="98">
        <f t="shared" si="0"/>
        <v>6151018</v>
      </c>
      <c r="M36" s="98">
        <v>0</v>
      </c>
      <c r="N36" s="98">
        <f t="shared" si="1"/>
        <v>0</v>
      </c>
      <c r="O36" s="98"/>
      <c r="P36" s="98">
        <f t="shared" si="2"/>
        <v>6151018</v>
      </c>
      <c r="Q36" s="98">
        <f t="shared" ref="Q36:Q59" si="9">L36*8%</f>
        <v>492081.44</v>
      </c>
      <c r="R36" s="99">
        <f t="shared" si="7"/>
        <v>92265.26999999999</v>
      </c>
      <c r="S36" s="98">
        <f t="shared" si="8"/>
        <v>61510.18</v>
      </c>
      <c r="T36" s="99"/>
      <c r="U36" s="99">
        <f t="shared" si="3"/>
        <v>645856.89</v>
      </c>
      <c r="V36" s="99"/>
      <c r="W36" s="100"/>
      <c r="X36" s="100"/>
      <c r="Y36" s="100"/>
      <c r="Z36" s="100"/>
      <c r="AA36" s="99">
        <f t="shared" si="4"/>
        <v>5505161.1100000003</v>
      </c>
      <c r="AB36" s="101" t="str">
        <f t="shared" ref="AB36:AB59" si="10">A36</f>
        <v>24</v>
      </c>
      <c r="AC36" s="102"/>
      <c r="AD36" s="102" t="s">
        <v>106</v>
      </c>
      <c r="AE36" s="108"/>
      <c r="AG36" s="417" t="e">
        <f>#REF!-#REF!</f>
        <v>#REF!</v>
      </c>
      <c r="AH36" s="116"/>
      <c r="AK36" s="416"/>
    </row>
    <row r="37" spans="1:37" s="104" customFormat="1" ht="24.75" customHeight="1">
      <c r="A37" s="202" t="s">
        <v>96</v>
      </c>
      <c r="B37" s="94" t="s">
        <v>292</v>
      </c>
      <c r="C37" s="95"/>
      <c r="D37" s="112" t="s">
        <v>293</v>
      </c>
      <c r="E37" s="228"/>
      <c r="F37" s="223"/>
      <c r="G37" s="97" t="s">
        <v>244</v>
      </c>
      <c r="H37" s="233">
        <v>1</v>
      </c>
      <c r="I37" s="98">
        <v>5060458</v>
      </c>
      <c r="J37" s="113"/>
      <c r="K37" s="98"/>
      <c r="L37" s="98">
        <f t="shared" si="0"/>
        <v>5060458</v>
      </c>
      <c r="M37" s="98"/>
      <c r="N37" s="98">
        <f t="shared" si="1"/>
        <v>0</v>
      </c>
      <c r="O37" s="98"/>
      <c r="P37" s="98">
        <f t="shared" si="2"/>
        <v>5060458</v>
      </c>
      <c r="Q37" s="98">
        <f t="shared" si="9"/>
        <v>404836.64</v>
      </c>
      <c r="R37" s="99">
        <f t="shared" si="7"/>
        <v>75906.87</v>
      </c>
      <c r="S37" s="98">
        <f t="shared" si="8"/>
        <v>50604.58</v>
      </c>
      <c r="T37" s="99"/>
      <c r="U37" s="99">
        <f t="shared" si="3"/>
        <v>531348.09</v>
      </c>
      <c r="V37" s="99"/>
      <c r="W37" s="100"/>
      <c r="X37" s="100"/>
      <c r="Y37" s="100"/>
      <c r="Z37" s="100"/>
      <c r="AA37" s="99">
        <f t="shared" si="4"/>
        <v>4529109.91</v>
      </c>
      <c r="AB37" s="101" t="str">
        <f t="shared" si="10"/>
        <v>25</v>
      </c>
      <c r="AC37" s="255"/>
      <c r="AD37" s="255" t="s">
        <v>302</v>
      </c>
      <c r="AE37" s="117"/>
      <c r="AF37" s="144"/>
      <c r="AG37" s="417"/>
      <c r="AK37" s="105"/>
    </row>
    <row r="38" spans="1:37" s="104" customFormat="1" ht="33" customHeight="1">
      <c r="A38" s="202" t="s">
        <v>97</v>
      </c>
      <c r="B38" s="94" t="s">
        <v>329</v>
      </c>
      <c r="C38" s="95"/>
      <c r="D38" s="112" t="s">
        <v>328</v>
      </c>
      <c r="E38" s="228"/>
      <c r="F38" s="336" t="s">
        <v>339</v>
      </c>
      <c r="G38" s="97" t="s">
        <v>244</v>
      </c>
      <c r="H38" s="233">
        <v>1</v>
      </c>
      <c r="I38" s="98">
        <v>5060458</v>
      </c>
      <c r="J38" s="113"/>
      <c r="K38" s="98"/>
      <c r="L38" s="98">
        <f t="shared" si="0"/>
        <v>5060458</v>
      </c>
      <c r="M38" s="98"/>
      <c r="N38" s="98">
        <f t="shared" si="1"/>
        <v>0</v>
      </c>
      <c r="O38" s="98"/>
      <c r="P38" s="98">
        <f t="shared" si="2"/>
        <v>5060458</v>
      </c>
      <c r="Q38" s="98">
        <f t="shared" si="9"/>
        <v>404836.64</v>
      </c>
      <c r="R38" s="99">
        <f t="shared" si="7"/>
        <v>75906.87</v>
      </c>
      <c r="S38" s="98">
        <f t="shared" si="8"/>
        <v>50604.58</v>
      </c>
      <c r="T38" s="99"/>
      <c r="U38" s="99">
        <f t="shared" si="3"/>
        <v>531348.09</v>
      </c>
      <c r="V38" s="99"/>
      <c r="W38" s="100"/>
      <c r="X38" s="100"/>
      <c r="Y38" s="100"/>
      <c r="Z38" s="100"/>
      <c r="AA38" s="99">
        <f t="shared" si="4"/>
        <v>4529109.91</v>
      </c>
      <c r="AB38" s="101" t="str">
        <f t="shared" si="10"/>
        <v>26</v>
      </c>
      <c r="AC38" s="255"/>
      <c r="AD38" s="335" t="s">
        <v>330</v>
      </c>
      <c r="AE38" s="117"/>
      <c r="AF38" s="144"/>
      <c r="AG38" s="417"/>
      <c r="AK38" s="105"/>
    </row>
    <row r="39" spans="1:37" s="104" customFormat="1" ht="36.75" customHeight="1">
      <c r="A39" s="202" t="s">
        <v>98</v>
      </c>
      <c r="B39" s="94" t="s">
        <v>139</v>
      </c>
      <c r="C39" s="95" t="s">
        <v>66</v>
      </c>
      <c r="D39" s="112" t="s">
        <v>173</v>
      </c>
      <c r="E39" s="227" t="s">
        <v>239</v>
      </c>
      <c r="F39" s="209" t="s">
        <v>215</v>
      </c>
      <c r="G39" s="107" t="s">
        <v>244</v>
      </c>
      <c r="H39" s="235">
        <v>7</v>
      </c>
      <c r="I39" s="98">
        <v>6781498</v>
      </c>
      <c r="J39" s="113"/>
      <c r="K39" s="98"/>
      <c r="L39" s="98">
        <f t="shared" si="0"/>
        <v>6781498</v>
      </c>
      <c r="M39" s="98"/>
      <c r="N39" s="98">
        <f t="shared" si="1"/>
        <v>0</v>
      </c>
      <c r="O39" s="98"/>
      <c r="P39" s="98">
        <f t="shared" si="2"/>
        <v>6781498</v>
      </c>
      <c r="Q39" s="98">
        <f t="shared" si="9"/>
        <v>542519.84</v>
      </c>
      <c r="R39" s="99">
        <f t="shared" si="7"/>
        <v>101722.47</v>
      </c>
      <c r="S39" s="98">
        <f t="shared" si="8"/>
        <v>67814.98</v>
      </c>
      <c r="T39" s="99"/>
      <c r="U39" s="99">
        <f t="shared" si="3"/>
        <v>712057.28999999992</v>
      </c>
      <c r="V39" s="99"/>
      <c r="W39" s="99"/>
      <c r="X39" s="99"/>
      <c r="Y39" s="99"/>
      <c r="Z39" s="99"/>
      <c r="AA39" s="99">
        <f t="shared" si="4"/>
        <v>6069440.71</v>
      </c>
      <c r="AB39" s="101" t="str">
        <f t="shared" si="10"/>
        <v>27</v>
      </c>
      <c r="AC39" s="102"/>
      <c r="AD39" s="103" t="s">
        <v>72</v>
      </c>
      <c r="AE39" s="152"/>
      <c r="AF39" s="104" t="e">
        <f>AF50*15</f>
        <v>#REF!</v>
      </c>
      <c r="AG39" s="417"/>
      <c r="AK39" s="105"/>
    </row>
    <row r="40" spans="1:37" s="104" customFormat="1" ht="42.75" customHeight="1">
      <c r="A40" s="202" t="s">
        <v>99</v>
      </c>
      <c r="B40" s="94" t="s">
        <v>285</v>
      </c>
      <c r="C40" s="95"/>
      <c r="D40" s="112" t="s">
        <v>289</v>
      </c>
      <c r="E40" s="228"/>
      <c r="F40" s="223" t="s">
        <v>326</v>
      </c>
      <c r="G40" s="97" t="s">
        <v>244</v>
      </c>
      <c r="H40" s="233">
        <v>1</v>
      </c>
      <c r="I40" s="98">
        <v>5060458</v>
      </c>
      <c r="J40" s="113"/>
      <c r="K40" s="98"/>
      <c r="L40" s="98">
        <f t="shared" si="0"/>
        <v>5060458</v>
      </c>
      <c r="M40" s="98"/>
      <c r="N40" s="98">
        <f t="shared" si="1"/>
        <v>0</v>
      </c>
      <c r="O40" s="98"/>
      <c r="P40" s="98">
        <f t="shared" si="2"/>
        <v>5060458</v>
      </c>
      <c r="Q40" s="98">
        <f t="shared" si="9"/>
        <v>404836.64</v>
      </c>
      <c r="R40" s="99">
        <f t="shared" si="7"/>
        <v>75906.87</v>
      </c>
      <c r="S40" s="98">
        <f t="shared" si="8"/>
        <v>50604.58</v>
      </c>
      <c r="T40" s="99"/>
      <c r="U40" s="99">
        <f t="shared" si="3"/>
        <v>531348.09</v>
      </c>
      <c r="V40" s="99"/>
      <c r="W40" s="100"/>
      <c r="X40" s="100"/>
      <c r="Y40" s="100"/>
      <c r="Z40" s="100"/>
      <c r="AA40" s="99">
        <f t="shared" si="4"/>
        <v>4529109.91</v>
      </c>
      <c r="AB40" s="101" t="str">
        <f t="shared" si="10"/>
        <v>28</v>
      </c>
      <c r="AC40" s="255"/>
      <c r="AD40" s="255" t="s">
        <v>286</v>
      </c>
      <c r="AE40" s="117"/>
      <c r="AF40" s="144"/>
      <c r="AG40" s="417"/>
      <c r="AK40" s="105"/>
    </row>
    <row r="41" spans="1:37" s="417" customFormat="1" ht="33" customHeight="1">
      <c r="A41" s="202" t="s">
        <v>100</v>
      </c>
      <c r="B41" s="143" t="s">
        <v>131</v>
      </c>
      <c r="C41" s="95" t="s">
        <v>7</v>
      </c>
      <c r="D41" s="112" t="s">
        <v>241</v>
      </c>
      <c r="E41" s="226" t="s">
        <v>235</v>
      </c>
      <c r="F41" s="223" t="s">
        <v>204</v>
      </c>
      <c r="G41" s="107" t="s">
        <v>247</v>
      </c>
      <c r="H41" s="233">
        <v>4</v>
      </c>
      <c r="I41" s="98">
        <v>5474872</v>
      </c>
      <c r="J41" s="113"/>
      <c r="K41" s="98"/>
      <c r="L41" s="98">
        <f t="shared" si="0"/>
        <v>5474872</v>
      </c>
      <c r="M41" s="98"/>
      <c r="N41" s="98">
        <f t="shared" si="1"/>
        <v>0</v>
      </c>
      <c r="O41" s="98"/>
      <c r="P41" s="98">
        <f t="shared" si="2"/>
        <v>5474872</v>
      </c>
      <c r="Q41" s="98">
        <f t="shared" si="9"/>
        <v>437989.76</v>
      </c>
      <c r="R41" s="99">
        <f t="shared" si="7"/>
        <v>82123.08</v>
      </c>
      <c r="S41" s="98">
        <f t="shared" si="8"/>
        <v>54748.72</v>
      </c>
      <c r="T41" s="99"/>
      <c r="U41" s="99">
        <f t="shared" si="3"/>
        <v>574861.56000000006</v>
      </c>
      <c r="V41" s="151"/>
      <c r="W41" s="99"/>
      <c r="X41" s="151"/>
      <c r="Y41" s="99"/>
      <c r="Z41" s="99"/>
      <c r="AA41" s="99">
        <f t="shared" si="4"/>
        <v>4900010.4399999995</v>
      </c>
      <c r="AB41" s="101" t="str">
        <f t="shared" si="10"/>
        <v>29</v>
      </c>
      <c r="AC41" s="102" t="s">
        <v>361</v>
      </c>
      <c r="AD41" s="117">
        <f>AD21*10.5%</f>
        <v>486013.5</v>
      </c>
      <c r="AE41" s="625"/>
      <c r="AF41" s="626"/>
      <c r="AG41" s="626"/>
      <c r="AH41" s="626"/>
      <c r="AK41" s="119"/>
    </row>
    <row r="42" spans="1:37" s="104" customFormat="1" ht="37.5" customHeight="1">
      <c r="A42" s="202" t="s">
        <v>101</v>
      </c>
      <c r="B42" s="94" t="s">
        <v>146</v>
      </c>
      <c r="C42" s="95" t="s">
        <v>118</v>
      </c>
      <c r="D42" s="112" t="s">
        <v>289</v>
      </c>
      <c r="E42" s="226" t="s">
        <v>234</v>
      </c>
      <c r="F42" s="209" t="s">
        <v>211</v>
      </c>
      <c r="G42" s="107" t="s">
        <v>244</v>
      </c>
      <c r="H42" s="233">
        <v>1</v>
      </c>
      <c r="I42" s="98">
        <v>5060458</v>
      </c>
      <c r="J42" s="113"/>
      <c r="K42" s="98"/>
      <c r="L42" s="98">
        <f t="shared" si="0"/>
        <v>5060458</v>
      </c>
      <c r="M42" s="98"/>
      <c r="N42" s="98">
        <f t="shared" si="1"/>
        <v>0</v>
      </c>
      <c r="O42" s="98"/>
      <c r="P42" s="98">
        <f t="shared" si="2"/>
        <v>5060458</v>
      </c>
      <c r="Q42" s="98">
        <f t="shared" si="9"/>
        <v>404836.64</v>
      </c>
      <c r="R42" s="99">
        <f t="shared" si="7"/>
        <v>75906.87</v>
      </c>
      <c r="S42" s="98">
        <f t="shared" si="8"/>
        <v>50604.58</v>
      </c>
      <c r="T42" s="99"/>
      <c r="U42" s="99">
        <f t="shared" si="3"/>
        <v>531348.09</v>
      </c>
      <c r="V42" s="99"/>
      <c r="W42" s="99"/>
      <c r="X42" s="99"/>
      <c r="Y42" s="99"/>
      <c r="Z42" s="99"/>
      <c r="AA42" s="99">
        <f t="shared" si="4"/>
        <v>4529109.91</v>
      </c>
      <c r="AB42" s="101" t="str">
        <f t="shared" si="10"/>
        <v>30</v>
      </c>
      <c r="AC42" s="118"/>
      <c r="AD42" s="139" t="s">
        <v>119</v>
      </c>
      <c r="AE42" s="155"/>
      <c r="AF42" s="128"/>
      <c r="AG42" s="110"/>
      <c r="AH42" s="110"/>
      <c r="AK42" s="111"/>
    </row>
    <row r="43" spans="1:37" s="104" customFormat="1" ht="42.75" customHeight="1">
      <c r="A43" s="202" t="s">
        <v>102</v>
      </c>
      <c r="B43" s="94" t="s">
        <v>313</v>
      </c>
      <c r="C43" s="95"/>
      <c r="D43" s="112" t="s">
        <v>289</v>
      </c>
      <c r="E43" s="228"/>
      <c r="F43" s="223"/>
      <c r="G43" s="97" t="s">
        <v>244</v>
      </c>
      <c r="H43" s="233">
        <v>1</v>
      </c>
      <c r="I43" s="98">
        <v>5060458</v>
      </c>
      <c r="J43" s="113"/>
      <c r="K43" s="98"/>
      <c r="L43" s="98">
        <f t="shared" si="0"/>
        <v>5060458</v>
      </c>
      <c r="M43" s="98"/>
      <c r="N43" s="98">
        <f t="shared" si="1"/>
        <v>0</v>
      </c>
      <c r="O43" s="98"/>
      <c r="P43" s="98">
        <f t="shared" si="2"/>
        <v>5060458</v>
      </c>
      <c r="Q43" s="98">
        <f t="shared" si="9"/>
        <v>404836.64</v>
      </c>
      <c r="R43" s="99">
        <f t="shared" si="7"/>
        <v>75906.87</v>
      </c>
      <c r="S43" s="98">
        <f t="shared" si="8"/>
        <v>50604.58</v>
      </c>
      <c r="T43" s="99"/>
      <c r="U43" s="99">
        <f t="shared" si="3"/>
        <v>531348.09</v>
      </c>
      <c r="V43" s="99"/>
      <c r="W43" s="100"/>
      <c r="X43" s="100"/>
      <c r="Y43" s="100"/>
      <c r="Z43" s="100"/>
      <c r="AA43" s="99">
        <f t="shared" si="4"/>
        <v>4529109.91</v>
      </c>
      <c r="AB43" s="101" t="str">
        <f t="shared" si="10"/>
        <v>31</v>
      </c>
      <c r="AC43" s="255"/>
      <c r="AD43" s="255" t="s">
        <v>314</v>
      </c>
      <c r="AE43" s="117"/>
      <c r="AF43" s="144"/>
      <c r="AG43" s="417"/>
      <c r="AK43" s="105"/>
    </row>
    <row r="44" spans="1:37" s="417" customFormat="1" ht="39" customHeight="1">
      <c r="A44" s="202" t="s">
        <v>103</v>
      </c>
      <c r="B44" s="94" t="s">
        <v>348</v>
      </c>
      <c r="C44" s="95"/>
      <c r="D44" s="112" t="s">
        <v>349</v>
      </c>
      <c r="E44" s="228"/>
      <c r="F44" s="223"/>
      <c r="G44" s="97" t="s">
        <v>247</v>
      </c>
      <c r="H44" s="233">
        <v>4</v>
      </c>
      <c r="I44" s="98">
        <v>5474872</v>
      </c>
      <c r="J44" s="113"/>
      <c r="K44" s="98"/>
      <c r="L44" s="98">
        <f t="shared" si="0"/>
        <v>5474872</v>
      </c>
      <c r="M44" s="98"/>
      <c r="N44" s="98">
        <f t="shared" si="1"/>
        <v>0</v>
      </c>
      <c r="O44" s="98"/>
      <c r="P44" s="98">
        <f t="shared" si="2"/>
        <v>5474872</v>
      </c>
      <c r="Q44" s="98">
        <f t="shared" si="9"/>
        <v>437989.76</v>
      </c>
      <c r="R44" s="99">
        <f t="shared" si="7"/>
        <v>82123.08</v>
      </c>
      <c r="S44" s="98">
        <f t="shared" si="8"/>
        <v>54748.72</v>
      </c>
      <c r="T44" s="99"/>
      <c r="U44" s="99">
        <f t="shared" si="3"/>
        <v>574861.56000000006</v>
      </c>
      <c r="V44" s="99"/>
      <c r="W44" s="99"/>
      <c r="X44" s="151"/>
      <c r="Y44" s="99"/>
      <c r="Z44" s="99"/>
      <c r="AA44" s="99">
        <f t="shared" si="4"/>
        <v>4900010.4399999995</v>
      </c>
      <c r="AB44" s="101" t="str">
        <f t="shared" si="10"/>
        <v>32</v>
      </c>
      <c r="AC44" s="102"/>
      <c r="AD44" s="102"/>
      <c r="AE44" s="120"/>
      <c r="AF44" s="116"/>
      <c r="AK44" s="416"/>
    </row>
    <row r="45" spans="1:37" s="417" customFormat="1" ht="41.25" customHeight="1">
      <c r="A45" s="202" t="s">
        <v>104</v>
      </c>
      <c r="B45" s="94" t="s">
        <v>135</v>
      </c>
      <c r="C45" s="95" t="s">
        <v>56</v>
      </c>
      <c r="D45" s="112" t="s">
        <v>349</v>
      </c>
      <c r="E45" s="228" t="str">
        <f>VLOOKUP(B45,[2]T3!$B$2:$D$328,3,FALSE)</f>
        <v>025804258</v>
      </c>
      <c r="F45" s="223" t="s">
        <v>208</v>
      </c>
      <c r="G45" s="107" t="s">
        <v>247</v>
      </c>
      <c r="H45" s="96">
        <v>5</v>
      </c>
      <c r="I45" s="98">
        <v>5748615</v>
      </c>
      <c r="J45" s="113"/>
      <c r="K45" s="98"/>
      <c r="L45" s="98">
        <f>ROUND(I45+K45,0)</f>
        <v>5748615</v>
      </c>
      <c r="M45" s="98"/>
      <c r="N45" s="98">
        <f>L45/24*M45</f>
        <v>0</v>
      </c>
      <c r="O45" s="98"/>
      <c r="P45" s="98">
        <f>L45-N45+O45</f>
        <v>5748615</v>
      </c>
      <c r="Q45" s="98">
        <f>L45*8%</f>
        <v>459889.2</v>
      </c>
      <c r="R45" s="99">
        <f>L45*1.5%</f>
        <v>86229.224999999991</v>
      </c>
      <c r="S45" s="98">
        <f>L45*1%</f>
        <v>57486.15</v>
      </c>
      <c r="T45" s="99"/>
      <c r="U45" s="99">
        <f>SUM(Q45:T45)</f>
        <v>603604.57500000007</v>
      </c>
      <c r="V45" s="99"/>
      <c r="W45" s="100"/>
      <c r="X45" s="100"/>
      <c r="Y45" s="100"/>
      <c r="Z45" s="100"/>
      <c r="AA45" s="99">
        <f>P45-U45+W45+Y45+Z45</f>
        <v>5145010.4249999998</v>
      </c>
      <c r="AB45" s="101" t="str">
        <f>A45</f>
        <v>33</v>
      </c>
      <c r="AC45" s="102"/>
      <c r="AD45" s="102" t="s">
        <v>107</v>
      </c>
      <c r="AE45" s="109">
        <v>1786995</v>
      </c>
      <c r="AF45" s="110">
        <f>AE45/26</f>
        <v>68730.576923076922</v>
      </c>
      <c r="AG45" s="110"/>
      <c r="AH45" s="110" t="e">
        <f>#REF!+48000</f>
        <v>#REF!</v>
      </c>
      <c r="AI45" s="110"/>
      <c r="AJ45" s="109"/>
      <c r="AK45" s="111"/>
    </row>
    <row r="46" spans="1:37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113"/>
      <c r="K46" s="98"/>
      <c r="L46" s="98">
        <f t="shared" si="0"/>
        <v>5060458</v>
      </c>
      <c r="M46" s="98"/>
      <c r="N46" s="98">
        <f t="shared" si="1"/>
        <v>0</v>
      </c>
      <c r="O46" s="98"/>
      <c r="P46" s="98">
        <f t="shared" si="2"/>
        <v>5060458</v>
      </c>
      <c r="Q46" s="98">
        <f t="shared" si="9"/>
        <v>404836.64</v>
      </c>
      <c r="R46" s="99">
        <f t="shared" si="7"/>
        <v>75906.87</v>
      </c>
      <c r="S46" s="98">
        <f t="shared" si="8"/>
        <v>50604.58</v>
      </c>
      <c r="T46" s="99"/>
      <c r="U46" s="99">
        <f t="shared" si="3"/>
        <v>531348.09</v>
      </c>
      <c r="V46" s="99"/>
      <c r="W46" s="334"/>
      <c r="X46" s="334"/>
      <c r="Y46" s="334"/>
      <c r="Z46" s="334"/>
      <c r="AA46" s="99">
        <f t="shared" si="4"/>
        <v>4529109.91</v>
      </c>
      <c r="AB46" s="101" t="str">
        <f t="shared" si="10"/>
        <v>34</v>
      </c>
      <c r="AC46" s="102"/>
      <c r="AD46" s="145" t="s">
        <v>127</v>
      </c>
      <c r="AE46" s="417"/>
      <c r="AF46" s="417"/>
      <c r="AJ46" s="105"/>
    </row>
    <row r="47" spans="1:37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113"/>
      <c r="K47" s="98"/>
      <c r="L47" s="98">
        <f t="shared" si="0"/>
        <v>5579155</v>
      </c>
      <c r="M47" s="98"/>
      <c r="N47" s="98">
        <f t="shared" si="1"/>
        <v>0</v>
      </c>
      <c r="O47" s="98"/>
      <c r="P47" s="98">
        <f t="shared" si="2"/>
        <v>5579155</v>
      </c>
      <c r="Q47" s="98">
        <f t="shared" si="9"/>
        <v>446332.4</v>
      </c>
      <c r="R47" s="99">
        <f t="shared" si="7"/>
        <v>83687.324999999997</v>
      </c>
      <c r="S47" s="98">
        <f t="shared" si="8"/>
        <v>55791.55</v>
      </c>
      <c r="T47" s="99"/>
      <c r="U47" s="99">
        <f t="shared" si="3"/>
        <v>585811.27500000002</v>
      </c>
      <c r="V47" s="99"/>
      <c r="W47" s="99"/>
      <c r="X47" s="99"/>
      <c r="Y47" s="99"/>
      <c r="Z47" s="99"/>
      <c r="AA47" s="99">
        <f t="shared" si="4"/>
        <v>4993343.7249999996</v>
      </c>
      <c r="AB47" s="101" t="str">
        <f t="shared" si="10"/>
        <v>35</v>
      </c>
      <c r="AC47" s="102"/>
      <c r="AD47" s="127" t="s">
        <v>116</v>
      </c>
      <c r="AE47" s="109" t="e">
        <f>AE22*4</f>
        <v>#REF!</v>
      </c>
      <c r="AF47" s="120"/>
      <c r="AG47" s="110"/>
      <c r="AH47" s="110"/>
      <c r="AK47" s="111"/>
    </row>
    <row r="48" spans="1:37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113"/>
      <c r="K48" s="98"/>
      <c r="L48" s="98">
        <f t="shared" si="0"/>
        <v>6151018</v>
      </c>
      <c r="M48" s="98"/>
      <c r="N48" s="98">
        <f t="shared" si="1"/>
        <v>0</v>
      </c>
      <c r="O48" s="98"/>
      <c r="P48" s="98">
        <f t="shared" si="2"/>
        <v>6151018</v>
      </c>
      <c r="Q48" s="98">
        <f t="shared" si="9"/>
        <v>492081.44</v>
      </c>
      <c r="R48" s="99">
        <f t="shared" si="7"/>
        <v>92265.26999999999</v>
      </c>
      <c r="S48" s="98">
        <f t="shared" si="8"/>
        <v>61510.18</v>
      </c>
      <c r="T48" s="99"/>
      <c r="U48" s="99">
        <f t="shared" si="3"/>
        <v>645856.89</v>
      </c>
      <c r="V48" s="99"/>
      <c r="W48" s="99"/>
      <c r="X48" s="99"/>
      <c r="Y48" s="99"/>
      <c r="Z48" s="99"/>
      <c r="AA48" s="99">
        <f t="shared" si="4"/>
        <v>5505161.1100000003</v>
      </c>
      <c r="AB48" s="101" t="str">
        <f t="shared" si="10"/>
        <v>36</v>
      </c>
      <c r="AC48" s="118"/>
      <c r="AD48" s="155"/>
      <c r="AE48" s="155"/>
      <c r="AF48" s="128"/>
      <c r="AG48" s="110"/>
      <c r="AH48" s="110"/>
      <c r="AK48" s="111"/>
    </row>
    <row r="49" spans="1:37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113"/>
      <c r="K49" s="98"/>
      <c r="L49" s="98">
        <f t="shared" si="0"/>
        <v>6458569</v>
      </c>
      <c r="M49" s="98"/>
      <c r="N49" s="98">
        <f t="shared" si="1"/>
        <v>0</v>
      </c>
      <c r="O49" s="98"/>
      <c r="P49" s="98">
        <f t="shared" si="2"/>
        <v>6458569</v>
      </c>
      <c r="Q49" s="98">
        <f t="shared" si="9"/>
        <v>516685.52</v>
      </c>
      <c r="R49" s="99">
        <f t="shared" si="7"/>
        <v>96878.535000000003</v>
      </c>
      <c r="S49" s="98">
        <f t="shared" si="8"/>
        <v>64585.69</v>
      </c>
      <c r="T49" s="99"/>
      <c r="U49" s="99">
        <f t="shared" si="3"/>
        <v>678149.74500000011</v>
      </c>
      <c r="V49" s="99"/>
      <c r="W49" s="100"/>
      <c r="X49" s="100"/>
      <c r="Y49" s="100"/>
      <c r="Z49" s="100"/>
      <c r="AA49" s="99">
        <f t="shared" si="4"/>
        <v>5780419.2549999999</v>
      </c>
      <c r="AB49" s="101" t="str">
        <f t="shared" si="10"/>
        <v>37</v>
      </c>
      <c r="AC49" s="255"/>
      <c r="AD49" s="103"/>
      <c r="AE49" s="103" t="s">
        <v>64</v>
      </c>
      <c r="AF49" s="102"/>
      <c r="AG49" s="417"/>
      <c r="AK49" s="105"/>
    </row>
    <row r="50" spans="1:37" s="104" customFormat="1" ht="36.75" customHeight="1">
      <c r="A50" s="202" t="s">
        <v>263</v>
      </c>
      <c r="B50" s="143" t="s">
        <v>138</v>
      </c>
      <c r="C50" s="95" t="s">
        <v>83</v>
      </c>
      <c r="D50" s="112" t="s">
        <v>189</v>
      </c>
      <c r="E50" s="228" t="str">
        <f>VLOOKUP(B50,[2]T3!$B$2:$D$328,3,FALSE)</f>
        <v>095189000070</v>
      </c>
      <c r="F50" s="209" t="s">
        <v>214</v>
      </c>
      <c r="G50" s="97" t="s">
        <v>244</v>
      </c>
      <c r="H50" s="235">
        <v>5</v>
      </c>
      <c r="I50" s="98">
        <v>6151018</v>
      </c>
      <c r="J50" s="113"/>
      <c r="K50" s="98"/>
      <c r="L50" s="98">
        <f t="shared" si="0"/>
        <v>6151018</v>
      </c>
      <c r="M50" s="98"/>
      <c r="N50" s="98">
        <f t="shared" si="1"/>
        <v>0</v>
      </c>
      <c r="O50" s="98"/>
      <c r="P50" s="98">
        <f t="shared" si="2"/>
        <v>6151018</v>
      </c>
      <c r="Q50" s="98">
        <f t="shared" si="9"/>
        <v>492081.44</v>
      </c>
      <c r="R50" s="99">
        <f t="shared" si="7"/>
        <v>92265.26999999999</v>
      </c>
      <c r="S50" s="98">
        <f t="shared" si="8"/>
        <v>61510.18</v>
      </c>
      <c r="T50" s="99"/>
      <c r="U50" s="99">
        <f t="shared" si="3"/>
        <v>645856.89</v>
      </c>
      <c r="V50" s="99"/>
      <c r="W50" s="99"/>
      <c r="X50" s="99"/>
      <c r="Y50" s="99"/>
      <c r="Z50" s="99"/>
      <c r="AA50" s="99">
        <f t="shared" si="4"/>
        <v>5505161.1100000003</v>
      </c>
      <c r="AB50" s="101" t="str">
        <f t="shared" si="10"/>
        <v>38</v>
      </c>
      <c r="AC50" s="134"/>
      <c r="AD50" s="102" t="s">
        <v>84</v>
      </c>
      <c r="AE50" s="102" t="s">
        <v>113</v>
      </c>
      <c r="AF50" s="104" t="e">
        <f>#REF!/24</f>
        <v>#REF!</v>
      </c>
      <c r="AG50" s="417"/>
      <c r="AK50" s="105"/>
    </row>
    <row r="51" spans="1:37" s="104" customFormat="1" ht="27" customHeight="1">
      <c r="A51" s="202" t="s">
        <v>264</v>
      </c>
      <c r="B51" s="94" t="s">
        <v>137</v>
      </c>
      <c r="C51" s="331" t="s">
        <v>7</v>
      </c>
      <c r="D51" s="112" t="s">
        <v>190</v>
      </c>
      <c r="E51" s="228" t="str">
        <f>VLOOKUP(B51,[2]T3!$B$2:$D$328,3,FALSE)</f>
        <v>023680986</v>
      </c>
      <c r="F51" s="209" t="s">
        <v>213</v>
      </c>
      <c r="G51" s="97" t="s">
        <v>244</v>
      </c>
      <c r="H51" s="233">
        <v>5</v>
      </c>
      <c r="I51" s="98">
        <v>6151018</v>
      </c>
      <c r="J51" s="113"/>
      <c r="K51" s="98"/>
      <c r="L51" s="98">
        <f t="shared" si="0"/>
        <v>6151018</v>
      </c>
      <c r="M51" s="98"/>
      <c r="N51" s="98">
        <f t="shared" si="1"/>
        <v>0</v>
      </c>
      <c r="O51" s="98"/>
      <c r="P51" s="98">
        <f t="shared" si="2"/>
        <v>6151018</v>
      </c>
      <c r="Q51" s="98">
        <f t="shared" si="9"/>
        <v>492081.44</v>
      </c>
      <c r="R51" s="99">
        <f t="shared" si="7"/>
        <v>92265.26999999999</v>
      </c>
      <c r="S51" s="98">
        <f t="shared" si="8"/>
        <v>61510.18</v>
      </c>
      <c r="T51" s="99"/>
      <c r="U51" s="99">
        <f t="shared" si="3"/>
        <v>645856.89</v>
      </c>
      <c r="V51" s="99"/>
      <c r="W51" s="332"/>
      <c r="X51" s="332"/>
      <c r="Y51" s="332"/>
      <c r="Z51" s="332"/>
      <c r="AA51" s="99">
        <f t="shared" si="4"/>
        <v>5505161.1100000003</v>
      </c>
      <c r="AB51" s="101" t="str">
        <f t="shared" si="10"/>
        <v>39</v>
      </c>
      <c r="AC51" s="118"/>
      <c r="AD51" s="114" t="s">
        <v>108</v>
      </c>
      <c r="AE51" s="115"/>
      <c r="AF51" s="115" t="e">
        <f>#REF!*2</f>
        <v>#REF!</v>
      </c>
      <c r="AG51" s="115"/>
      <c r="AH51" s="115"/>
      <c r="AK51" s="105"/>
    </row>
    <row r="52" spans="1:37" s="104" customFormat="1" ht="33" customHeight="1">
      <c r="A52" s="202" t="s">
        <v>265</v>
      </c>
      <c r="B52" s="94" t="s">
        <v>303</v>
      </c>
      <c r="C52" s="95"/>
      <c r="D52" s="112" t="s">
        <v>190</v>
      </c>
      <c r="E52" s="228"/>
      <c r="F52" s="223" t="s">
        <v>327</v>
      </c>
      <c r="G52" s="97" t="s">
        <v>244</v>
      </c>
      <c r="H52" s="233">
        <v>1</v>
      </c>
      <c r="I52" s="98">
        <v>5060458</v>
      </c>
      <c r="J52" s="113"/>
      <c r="K52" s="98"/>
      <c r="L52" s="98">
        <f>ROUND(I52+K52,0)</f>
        <v>5060458</v>
      </c>
      <c r="M52" s="98"/>
      <c r="N52" s="98">
        <f>L52/24*M52</f>
        <v>0</v>
      </c>
      <c r="O52" s="98"/>
      <c r="P52" s="98">
        <f>L52-N52+O52</f>
        <v>5060458</v>
      </c>
      <c r="Q52" s="98">
        <f>L52*8%</f>
        <v>404836.64</v>
      </c>
      <c r="R52" s="99">
        <f>L52*1.5%</f>
        <v>75906.87</v>
      </c>
      <c r="S52" s="98">
        <f>L52*1%</f>
        <v>50604.58</v>
      </c>
      <c r="T52" s="99"/>
      <c r="U52" s="99">
        <f>SUM(Q52:T52)</f>
        <v>531348.09</v>
      </c>
      <c r="V52" s="99"/>
      <c r="W52" s="100"/>
      <c r="X52" s="100"/>
      <c r="Y52" s="100"/>
      <c r="Z52" s="100"/>
      <c r="AA52" s="99">
        <f>P52-U52+W52+Y52+Z52</f>
        <v>4529109.91</v>
      </c>
      <c r="AB52" s="101" t="str">
        <f>A52</f>
        <v>40</v>
      </c>
      <c r="AC52" s="255"/>
      <c r="AD52" s="255" t="s">
        <v>304</v>
      </c>
      <c r="AE52" s="117"/>
      <c r="AF52" s="144"/>
      <c r="AG52" s="417"/>
      <c r="AK52" s="105"/>
    </row>
    <row r="53" spans="1:37" s="104" customFormat="1" ht="35.25" customHeight="1">
      <c r="A53" s="202" t="s">
        <v>266</v>
      </c>
      <c r="B53" s="94" t="s">
        <v>182</v>
      </c>
      <c r="C53" s="95"/>
      <c r="D53" s="112" t="s">
        <v>366</v>
      </c>
      <c r="E53" s="228" t="str">
        <f>VLOOKUP(B53,[2]T3!$B$2:$D$328,3,FALSE)</f>
        <v>025273555</v>
      </c>
      <c r="F53" s="223" t="s">
        <v>224</v>
      </c>
      <c r="G53" s="97" t="s">
        <v>248</v>
      </c>
      <c r="H53" s="233">
        <v>3</v>
      </c>
      <c r="I53" s="98">
        <v>4873050</v>
      </c>
      <c r="J53" s="113"/>
      <c r="K53" s="98"/>
      <c r="L53" s="98">
        <f t="shared" si="0"/>
        <v>4873050</v>
      </c>
      <c r="M53" s="98"/>
      <c r="N53" s="98">
        <f t="shared" si="1"/>
        <v>0</v>
      </c>
      <c r="O53" s="98"/>
      <c r="P53" s="98">
        <f t="shared" si="2"/>
        <v>4873050</v>
      </c>
      <c r="Q53" s="98">
        <f t="shared" si="9"/>
        <v>389844</v>
      </c>
      <c r="R53" s="99">
        <f t="shared" si="7"/>
        <v>73095.75</v>
      </c>
      <c r="S53" s="98">
        <f t="shared" si="8"/>
        <v>48730.5</v>
      </c>
      <c r="T53" s="99"/>
      <c r="U53" s="99">
        <f t="shared" si="3"/>
        <v>511670.25</v>
      </c>
      <c r="V53" s="99"/>
      <c r="W53" s="100"/>
      <c r="X53" s="100"/>
      <c r="Y53" s="100"/>
      <c r="Z53" s="100"/>
      <c r="AA53" s="99">
        <f t="shared" si="4"/>
        <v>4361379.75</v>
      </c>
      <c r="AB53" s="101" t="str">
        <f t="shared" si="10"/>
        <v>41</v>
      </c>
      <c r="AC53" s="255"/>
      <c r="AD53" s="145" t="s">
        <v>184</v>
      </c>
      <c r="AE53" s="117"/>
      <c r="AF53" s="144"/>
      <c r="AG53" s="417"/>
      <c r="AK53" s="105"/>
    </row>
    <row r="54" spans="1:37" s="104" customFormat="1" ht="33.75" customHeight="1">
      <c r="A54" s="202" t="s">
        <v>267</v>
      </c>
      <c r="B54" s="94" t="s">
        <v>174</v>
      </c>
      <c r="C54" s="95"/>
      <c r="D54" s="112" t="s">
        <v>366</v>
      </c>
      <c r="E54" s="228" t="str">
        <f>VLOOKUP(B54,[2]T3!$B$2:$D$328,3,FALSE)</f>
        <v>025947357</v>
      </c>
      <c r="F54" s="209" t="s">
        <v>212</v>
      </c>
      <c r="G54" s="97" t="s">
        <v>244</v>
      </c>
      <c r="H54" s="233">
        <v>3</v>
      </c>
      <c r="I54" s="98">
        <v>5579155</v>
      </c>
      <c r="J54" s="113"/>
      <c r="K54" s="98"/>
      <c r="L54" s="98">
        <f t="shared" si="0"/>
        <v>5579155</v>
      </c>
      <c r="M54" s="98"/>
      <c r="N54" s="98">
        <f t="shared" si="1"/>
        <v>0</v>
      </c>
      <c r="O54" s="98"/>
      <c r="P54" s="98">
        <f t="shared" si="2"/>
        <v>5579155</v>
      </c>
      <c r="Q54" s="98">
        <f t="shared" si="9"/>
        <v>446332.4</v>
      </c>
      <c r="R54" s="99">
        <f t="shared" si="7"/>
        <v>83687.324999999997</v>
      </c>
      <c r="S54" s="98">
        <f t="shared" si="8"/>
        <v>55791.55</v>
      </c>
      <c r="T54" s="99"/>
      <c r="U54" s="99">
        <f t="shared" si="3"/>
        <v>585811.27500000002</v>
      </c>
      <c r="V54" s="99"/>
      <c r="W54" s="99"/>
      <c r="X54" s="99"/>
      <c r="Y54" s="99"/>
      <c r="Z54" s="99"/>
      <c r="AA54" s="99">
        <f t="shared" si="4"/>
        <v>4993343.7249999996</v>
      </c>
      <c r="AB54" s="101" t="str">
        <f t="shared" si="10"/>
        <v>42</v>
      </c>
      <c r="AC54" s="118"/>
      <c r="AD54" s="139" t="s">
        <v>175</v>
      </c>
      <c r="AE54" s="155"/>
      <c r="AF54" s="128"/>
      <c r="AG54" s="110"/>
      <c r="AH54" s="110"/>
      <c r="AK54" s="111"/>
    </row>
    <row r="55" spans="1:37" s="417" customFormat="1" ht="24" customHeight="1">
      <c r="A55" s="202" t="s">
        <v>281</v>
      </c>
      <c r="B55" s="94" t="s">
        <v>144</v>
      </c>
      <c r="C55" s="95" t="s">
        <v>9</v>
      </c>
      <c r="D55" s="112" t="s">
        <v>10</v>
      </c>
      <c r="E55" s="228" t="str">
        <f>VLOOKUP(B55,[2]T3!$B$2:$D$328,3,FALSE)</f>
        <v>273417648</v>
      </c>
      <c r="F55" s="223" t="s">
        <v>220</v>
      </c>
      <c r="G55" s="107" t="s">
        <v>244</v>
      </c>
      <c r="H55" s="96">
        <v>3</v>
      </c>
      <c r="I55" s="98">
        <v>5579155</v>
      </c>
      <c r="J55" s="113"/>
      <c r="K55" s="98"/>
      <c r="L55" s="98">
        <f t="shared" si="0"/>
        <v>5579155</v>
      </c>
      <c r="M55" s="98"/>
      <c r="N55" s="98">
        <f t="shared" si="1"/>
        <v>0</v>
      </c>
      <c r="O55" s="98"/>
      <c r="P55" s="98">
        <f t="shared" si="2"/>
        <v>5579155</v>
      </c>
      <c r="Q55" s="98">
        <f t="shared" si="9"/>
        <v>446332.4</v>
      </c>
      <c r="R55" s="99">
        <f t="shared" si="7"/>
        <v>83687.324999999997</v>
      </c>
      <c r="S55" s="98">
        <f t="shared" si="8"/>
        <v>55791.55</v>
      </c>
      <c r="T55" s="99"/>
      <c r="U55" s="99">
        <f t="shared" si="3"/>
        <v>585811.27500000002</v>
      </c>
      <c r="V55" s="99"/>
      <c r="W55" s="99"/>
      <c r="X55" s="99"/>
      <c r="Y55" s="99"/>
      <c r="Z55" s="99"/>
      <c r="AA55" s="99">
        <f t="shared" si="4"/>
        <v>4993343.7249999996</v>
      </c>
      <c r="AB55" s="101" t="str">
        <f t="shared" si="10"/>
        <v>43</v>
      </c>
      <c r="AC55" s="102"/>
      <c r="AD55" s="117" t="s">
        <v>117</v>
      </c>
      <c r="AE55" s="109"/>
      <c r="AF55" s="120"/>
      <c r="AG55" s="110" t="e">
        <f>AG57*12</f>
        <v>#REF!</v>
      </c>
      <c r="AH55" s="110"/>
      <c r="AK55" s="111"/>
    </row>
    <row r="56" spans="1:37" s="104" customFormat="1" ht="31.5" customHeight="1">
      <c r="A56" s="202" t="s">
        <v>287</v>
      </c>
      <c r="B56" s="94" t="s">
        <v>311</v>
      </c>
      <c r="C56" s="95"/>
      <c r="D56" s="112" t="s">
        <v>312</v>
      </c>
      <c r="E56" s="228"/>
      <c r="F56" s="223"/>
      <c r="G56" s="97" t="s">
        <v>247</v>
      </c>
      <c r="H56" s="233">
        <v>1</v>
      </c>
      <c r="I56" s="98">
        <v>4729400</v>
      </c>
      <c r="J56" s="113"/>
      <c r="K56" s="98"/>
      <c r="L56" s="98">
        <f t="shared" si="0"/>
        <v>4729400</v>
      </c>
      <c r="M56" s="98"/>
      <c r="N56" s="98">
        <f t="shared" si="1"/>
        <v>0</v>
      </c>
      <c r="O56" s="98"/>
      <c r="P56" s="98">
        <f t="shared" si="2"/>
        <v>4729400</v>
      </c>
      <c r="Q56" s="98">
        <f t="shared" si="9"/>
        <v>378352</v>
      </c>
      <c r="R56" s="99">
        <f t="shared" si="7"/>
        <v>70941</v>
      </c>
      <c r="S56" s="98">
        <f t="shared" si="8"/>
        <v>47294</v>
      </c>
      <c r="T56" s="99"/>
      <c r="U56" s="99">
        <f t="shared" si="3"/>
        <v>496587</v>
      </c>
      <c r="V56" s="99"/>
      <c r="W56" s="100"/>
      <c r="X56" s="100"/>
      <c r="Y56" s="100"/>
      <c r="Z56" s="100"/>
      <c r="AA56" s="99">
        <f t="shared" si="4"/>
        <v>4232813</v>
      </c>
      <c r="AB56" s="101" t="str">
        <f t="shared" si="10"/>
        <v>44</v>
      </c>
      <c r="AC56" s="255"/>
      <c r="AD56" s="255" t="s">
        <v>310</v>
      </c>
      <c r="AE56" s="117"/>
      <c r="AF56" s="144"/>
      <c r="AG56" s="417"/>
      <c r="AK56" s="105"/>
    </row>
    <row r="57" spans="1:37" s="104" customFormat="1" ht="30" customHeight="1">
      <c r="A57" s="202" t="s">
        <v>290</v>
      </c>
      <c r="B57" s="94" t="s">
        <v>143</v>
      </c>
      <c r="C57" s="95" t="s">
        <v>115</v>
      </c>
      <c r="D57" s="112" t="s">
        <v>10</v>
      </c>
      <c r="E57" s="228" t="str">
        <f>VLOOKUP(B57,[2]T3!$B$2:$D$328,3,FALSE)</f>
        <v>250835904</v>
      </c>
      <c r="F57" s="223" t="s">
        <v>219</v>
      </c>
      <c r="G57" s="107" t="s">
        <v>244</v>
      </c>
      <c r="H57" s="96">
        <v>3</v>
      </c>
      <c r="I57" s="98">
        <v>5579155</v>
      </c>
      <c r="J57" s="113"/>
      <c r="K57" s="98"/>
      <c r="L57" s="98">
        <f t="shared" si="0"/>
        <v>5579155</v>
      </c>
      <c r="M57" s="98"/>
      <c r="N57" s="98">
        <f t="shared" si="1"/>
        <v>0</v>
      </c>
      <c r="O57" s="98"/>
      <c r="P57" s="98">
        <f t="shared" si="2"/>
        <v>5579155</v>
      </c>
      <c r="Q57" s="98">
        <f t="shared" si="9"/>
        <v>446332.4</v>
      </c>
      <c r="R57" s="99">
        <f t="shared" si="7"/>
        <v>83687.324999999997</v>
      </c>
      <c r="S57" s="98">
        <f t="shared" si="8"/>
        <v>55791.55</v>
      </c>
      <c r="T57" s="99"/>
      <c r="U57" s="99">
        <f t="shared" si="3"/>
        <v>585811.27500000002</v>
      </c>
      <c r="V57" s="99"/>
      <c r="W57" s="99"/>
      <c r="X57" s="99"/>
      <c r="Y57" s="99"/>
      <c r="Z57" s="99"/>
      <c r="AA57" s="99">
        <f t="shared" si="4"/>
        <v>4993343.7249999996</v>
      </c>
      <c r="AB57" s="101" t="str">
        <f t="shared" si="10"/>
        <v>45</v>
      </c>
      <c r="AC57" s="102"/>
      <c r="AD57" s="127" t="s">
        <v>116</v>
      </c>
      <c r="AE57" s="109"/>
      <c r="AF57" s="120"/>
      <c r="AG57" s="110" t="e">
        <f>#REF!/26</f>
        <v>#REF!</v>
      </c>
      <c r="AH57" s="110"/>
      <c r="AK57" s="111"/>
    </row>
    <row r="58" spans="1:37" s="104" customFormat="1" ht="30" customHeight="1">
      <c r="A58" s="202" t="s">
        <v>294</v>
      </c>
      <c r="B58" s="94" t="s">
        <v>166</v>
      </c>
      <c r="C58" s="159"/>
      <c r="D58" s="112" t="s">
        <v>271</v>
      </c>
      <c r="E58" s="226"/>
      <c r="F58" s="209"/>
      <c r="G58" s="107" t="s">
        <v>244</v>
      </c>
      <c r="H58" s="233">
        <v>12</v>
      </c>
      <c r="I58" s="98">
        <v>8655100</v>
      </c>
      <c r="J58" s="339">
        <v>0.09</v>
      </c>
      <c r="K58" s="113">
        <f>I58*J58</f>
        <v>778959</v>
      </c>
      <c r="L58" s="98">
        <f t="shared" si="0"/>
        <v>9434059</v>
      </c>
      <c r="M58" s="98"/>
      <c r="N58" s="98">
        <f t="shared" si="1"/>
        <v>0</v>
      </c>
      <c r="O58" s="98"/>
      <c r="P58" s="98">
        <f t="shared" si="2"/>
        <v>9434059</v>
      </c>
      <c r="Q58" s="98">
        <f t="shared" si="9"/>
        <v>754724.72</v>
      </c>
      <c r="R58" s="99">
        <f t="shared" si="7"/>
        <v>141510.88500000001</v>
      </c>
      <c r="S58" s="98">
        <f t="shared" si="8"/>
        <v>94340.59</v>
      </c>
      <c r="T58" s="99"/>
      <c r="U58" s="99">
        <f t="shared" si="3"/>
        <v>990576.19499999995</v>
      </c>
      <c r="V58" s="99"/>
      <c r="W58" s="99"/>
      <c r="X58" s="99"/>
      <c r="Y58" s="99"/>
      <c r="Z58" s="99"/>
      <c r="AA58" s="99">
        <f t="shared" si="4"/>
        <v>8443482.8049999997</v>
      </c>
      <c r="AB58" s="101" t="str">
        <f t="shared" si="10"/>
        <v>46</v>
      </c>
      <c r="AC58" s="102"/>
      <c r="AD58" s="117"/>
      <c r="AE58" s="416"/>
      <c r="AF58" s="417"/>
      <c r="AG58" s="417"/>
      <c r="AK58" s="105"/>
    </row>
    <row r="59" spans="1:37" s="417" customFormat="1" ht="39" customHeight="1">
      <c r="A59" s="202" t="s">
        <v>295</v>
      </c>
      <c r="B59" s="94" t="s">
        <v>350</v>
      </c>
      <c r="C59" s="95"/>
      <c r="D59" s="112" t="s">
        <v>351</v>
      </c>
      <c r="E59" s="228"/>
      <c r="F59" s="209"/>
      <c r="G59" s="97" t="s">
        <v>247</v>
      </c>
      <c r="H59" s="233">
        <v>4</v>
      </c>
      <c r="I59" s="98">
        <v>5474872</v>
      </c>
      <c r="J59" s="113"/>
      <c r="K59" s="98"/>
      <c r="L59" s="98">
        <f t="shared" si="0"/>
        <v>5474872</v>
      </c>
      <c r="M59" s="98"/>
      <c r="N59" s="98">
        <f t="shared" si="1"/>
        <v>0</v>
      </c>
      <c r="O59" s="98"/>
      <c r="P59" s="98">
        <f t="shared" si="2"/>
        <v>5474872</v>
      </c>
      <c r="Q59" s="98">
        <f t="shared" si="9"/>
        <v>437989.76</v>
      </c>
      <c r="R59" s="99">
        <f t="shared" si="7"/>
        <v>82123.08</v>
      </c>
      <c r="S59" s="98">
        <f t="shared" si="8"/>
        <v>54748.72</v>
      </c>
      <c r="T59" s="99"/>
      <c r="U59" s="99">
        <f t="shared" si="3"/>
        <v>574861.56000000006</v>
      </c>
      <c r="V59" s="99"/>
      <c r="W59" s="99"/>
      <c r="X59" s="151"/>
      <c r="Y59" s="99"/>
      <c r="Z59" s="99"/>
      <c r="AA59" s="99">
        <f t="shared" si="4"/>
        <v>4900010.4399999995</v>
      </c>
      <c r="AB59" s="101" t="str">
        <f t="shared" si="10"/>
        <v>47</v>
      </c>
      <c r="AC59" s="102"/>
      <c r="AD59" s="102"/>
      <c r="AE59" s="120"/>
      <c r="AF59" s="116"/>
      <c r="AK59" s="416"/>
    </row>
    <row r="60" spans="1:37" s="417" customFormat="1" ht="29.25" customHeight="1">
      <c r="A60" s="202" t="s">
        <v>315</v>
      </c>
      <c r="B60" s="94" t="s">
        <v>308</v>
      </c>
      <c r="C60" s="95"/>
      <c r="D60" s="112" t="s">
        <v>380</v>
      </c>
      <c r="E60" s="228"/>
      <c r="F60" s="223"/>
      <c r="G60" s="97" t="s">
        <v>244</v>
      </c>
      <c r="H60" s="233">
        <v>1</v>
      </c>
      <c r="I60" s="98">
        <v>5060458</v>
      </c>
      <c r="J60" s="113"/>
      <c r="K60" s="98"/>
      <c r="L60" s="98">
        <f>ROUND(I60+K60,0)</f>
        <v>5060458</v>
      </c>
      <c r="M60" s="98"/>
      <c r="N60" s="98">
        <f>L60/24*M60</f>
        <v>0</v>
      </c>
      <c r="O60" s="98"/>
      <c r="P60" s="98">
        <f>L60-N60+O60</f>
        <v>5060458</v>
      </c>
      <c r="Q60" s="98">
        <f>L60*8%</f>
        <v>404836.64</v>
      </c>
      <c r="R60" s="99">
        <f>L60*1.5%</f>
        <v>75906.87</v>
      </c>
      <c r="S60" s="98">
        <f>L60*1%</f>
        <v>50604.58</v>
      </c>
      <c r="T60" s="99"/>
      <c r="U60" s="99">
        <f>SUM(Q60:T60)</f>
        <v>531348.09</v>
      </c>
      <c r="V60" s="99"/>
      <c r="W60" s="100"/>
      <c r="X60" s="100"/>
      <c r="Y60" s="100"/>
      <c r="Z60" s="100"/>
      <c r="AA60" s="99">
        <f>P60-U60+W60+Y60+Z60</f>
        <v>4529109.91</v>
      </c>
      <c r="AB60" s="101" t="str">
        <f>A60</f>
        <v>48</v>
      </c>
      <c r="AC60" s="255"/>
      <c r="AD60" s="255" t="s">
        <v>310</v>
      </c>
      <c r="AE60" s="117"/>
      <c r="AF60" s="144"/>
      <c r="AK60" s="416"/>
    </row>
    <row r="61" spans="1:37" s="419" customFormat="1" ht="29.25" customHeight="1">
      <c r="A61" s="202" t="s">
        <v>365</v>
      </c>
      <c r="B61" s="420" t="s">
        <v>381</v>
      </c>
      <c r="C61" s="421"/>
      <c r="D61" s="112" t="s">
        <v>380</v>
      </c>
      <c r="E61" s="266"/>
      <c r="F61" s="422"/>
      <c r="G61" s="97" t="s">
        <v>244</v>
      </c>
      <c r="H61" s="233">
        <v>1</v>
      </c>
      <c r="I61" s="98">
        <v>5060458</v>
      </c>
      <c r="J61" s="423"/>
      <c r="K61" s="267"/>
      <c r="L61" s="98">
        <f t="shared" ref="L61:L67" si="11">ROUND(I61+K61,0)</f>
        <v>5060458</v>
      </c>
      <c r="M61" s="267"/>
      <c r="N61" s="98">
        <f t="shared" ref="N61:N67" si="12">L61/24*M61</f>
        <v>0</v>
      </c>
      <c r="O61" s="267"/>
      <c r="P61" s="98">
        <f t="shared" ref="P61:P67" si="13">L61-N61+O61</f>
        <v>5060458</v>
      </c>
      <c r="Q61" s="98">
        <f t="shared" ref="Q61:Q67" si="14">L61*8%</f>
        <v>404836.64</v>
      </c>
      <c r="R61" s="99">
        <f t="shared" ref="R61:R67" si="15">L61*1.5%</f>
        <v>75906.87</v>
      </c>
      <c r="S61" s="98">
        <f t="shared" ref="S61:S67" si="16">L61*1%</f>
        <v>50604.58</v>
      </c>
      <c r="T61" s="424"/>
      <c r="U61" s="99">
        <f t="shared" ref="U61:U67" si="17">SUM(Q61:T61)</f>
        <v>531348.09</v>
      </c>
      <c r="V61" s="424"/>
      <c r="W61" s="424"/>
      <c r="X61" s="425"/>
      <c r="Y61" s="424"/>
      <c r="Z61" s="424"/>
      <c r="AA61" s="99">
        <f t="shared" ref="AA61:AA67" si="18">P61-U61+W61+Y61+Z61</f>
        <v>4529109.91</v>
      </c>
      <c r="AB61" s="101" t="str">
        <f t="shared" ref="AB61:AB68" si="19">A61</f>
        <v>49</v>
      </c>
      <c r="AC61" s="120"/>
      <c r="AD61" s="102"/>
      <c r="AE61" s="144"/>
      <c r="AF61" s="116"/>
      <c r="AK61" s="418"/>
    </row>
    <row r="62" spans="1:37" s="419" customFormat="1" ht="29.25" customHeight="1">
      <c r="A62" s="202" t="s">
        <v>388</v>
      </c>
      <c r="B62" s="420" t="s">
        <v>382</v>
      </c>
      <c r="C62" s="421"/>
      <c r="D62" s="112" t="s">
        <v>380</v>
      </c>
      <c r="E62" s="266"/>
      <c r="F62" s="422"/>
      <c r="G62" s="97" t="s">
        <v>244</v>
      </c>
      <c r="H62" s="233">
        <v>1</v>
      </c>
      <c r="I62" s="98">
        <v>5060458</v>
      </c>
      <c r="J62" s="423"/>
      <c r="K62" s="267"/>
      <c r="L62" s="98">
        <f t="shared" si="11"/>
        <v>5060458</v>
      </c>
      <c r="M62" s="267"/>
      <c r="N62" s="98">
        <f t="shared" si="12"/>
        <v>0</v>
      </c>
      <c r="O62" s="267"/>
      <c r="P62" s="98">
        <f t="shared" si="13"/>
        <v>5060458</v>
      </c>
      <c r="Q62" s="98">
        <f t="shared" si="14"/>
        <v>404836.64</v>
      </c>
      <c r="R62" s="99">
        <f t="shared" si="15"/>
        <v>75906.87</v>
      </c>
      <c r="S62" s="98">
        <f t="shared" si="16"/>
        <v>50604.58</v>
      </c>
      <c r="T62" s="424"/>
      <c r="U62" s="99">
        <f t="shared" si="17"/>
        <v>531348.09</v>
      </c>
      <c r="V62" s="424"/>
      <c r="W62" s="424"/>
      <c r="X62" s="425"/>
      <c r="Y62" s="424"/>
      <c r="Z62" s="424"/>
      <c r="AA62" s="99">
        <f t="shared" si="18"/>
        <v>4529109.91</v>
      </c>
      <c r="AB62" s="101" t="str">
        <f t="shared" si="19"/>
        <v>50</v>
      </c>
      <c r="AC62" s="120"/>
      <c r="AD62" s="102"/>
      <c r="AE62" s="144"/>
      <c r="AF62" s="116"/>
      <c r="AK62" s="418"/>
    </row>
    <row r="63" spans="1:37" s="419" customFormat="1" ht="29.25" customHeight="1">
      <c r="A63" s="202" t="s">
        <v>389</v>
      </c>
      <c r="B63" s="420" t="s">
        <v>383</v>
      </c>
      <c r="C63" s="421"/>
      <c r="D63" s="112" t="s">
        <v>380</v>
      </c>
      <c r="E63" s="266"/>
      <c r="F63" s="422"/>
      <c r="G63" s="97" t="s">
        <v>244</v>
      </c>
      <c r="H63" s="233">
        <v>1</v>
      </c>
      <c r="I63" s="98">
        <v>5060458</v>
      </c>
      <c r="J63" s="423"/>
      <c r="K63" s="267"/>
      <c r="L63" s="98">
        <f t="shared" si="11"/>
        <v>5060458</v>
      </c>
      <c r="M63" s="267"/>
      <c r="N63" s="98">
        <f t="shared" si="12"/>
        <v>0</v>
      </c>
      <c r="O63" s="267"/>
      <c r="P63" s="98">
        <f t="shared" si="13"/>
        <v>5060458</v>
      </c>
      <c r="Q63" s="98">
        <f t="shared" si="14"/>
        <v>404836.64</v>
      </c>
      <c r="R63" s="99">
        <f t="shared" si="15"/>
        <v>75906.87</v>
      </c>
      <c r="S63" s="98">
        <f t="shared" si="16"/>
        <v>50604.58</v>
      </c>
      <c r="T63" s="424"/>
      <c r="U63" s="99">
        <f t="shared" si="17"/>
        <v>531348.09</v>
      </c>
      <c r="V63" s="424"/>
      <c r="W63" s="424"/>
      <c r="X63" s="425"/>
      <c r="Y63" s="424"/>
      <c r="Z63" s="424"/>
      <c r="AA63" s="99">
        <f t="shared" si="18"/>
        <v>4529109.91</v>
      </c>
      <c r="AB63" s="101" t="str">
        <f t="shared" si="19"/>
        <v>51</v>
      </c>
      <c r="AC63" s="120"/>
      <c r="AD63" s="102"/>
      <c r="AE63" s="144"/>
      <c r="AF63" s="116"/>
      <c r="AK63" s="418"/>
    </row>
    <row r="64" spans="1:37" s="419" customFormat="1" ht="29.25" customHeight="1">
      <c r="A64" s="202" t="s">
        <v>390</v>
      </c>
      <c r="B64" s="420" t="s">
        <v>384</v>
      </c>
      <c r="C64" s="421"/>
      <c r="D64" s="112" t="s">
        <v>380</v>
      </c>
      <c r="E64" s="266"/>
      <c r="F64" s="422"/>
      <c r="G64" s="97" t="s">
        <v>244</v>
      </c>
      <c r="H64" s="233">
        <v>1</v>
      </c>
      <c r="I64" s="98">
        <v>5060458</v>
      </c>
      <c r="J64" s="423"/>
      <c r="K64" s="267"/>
      <c r="L64" s="98">
        <f t="shared" si="11"/>
        <v>5060458</v>
      </c>
      <c r="M64" s="267"/>
      <c r="N64" s="98">
        <f t="shared" si="12"/>
        <v>0</v>
      </c>
      <c r="O64" s="267"/>
      <c r="P64" s="98">
        <f t="shared" si="13"/>
        <v>5060458</v>
      </c>
      <c r="Q64" s="98">
        <f t="shared" si="14"/>
        <v>404836.64</v>
      </c>
      <c r="R64" s="99">
        <f t="shared" si="15"/>
        <v>75906.87</v>
      </c>
      <c r="S64" s="98">
        <f t="shared" si="16"/>
        <v>50604.58</v>
      </c>
      <c r="T64" s="424"/>
      <c r="U64" s="99">
        <f t="shared" si="17"/>
        <v>531348.09</v>
      </c>
      <c r="V64" s="424"/>
      <c r="W64" s="424"/>
      <c r="X64" s="425"/>
      <c r="Y64" s="424"/>
      <c r="Z64" s="424"/>
      <c r="AA64" s="99">
        <f t="shared" si="18"/>
        <v>4529109.91</v>
      </c>
      <c r="AB64" s="101" t="str">
        <f t="shared" si="19"/>
        <v>52</v>
      </c>
      <c r="AC64" s="120"/>
      <c r="AD64" s="102"/>
      <c r="AE64" s="144"/>
      <c r="AF64" s="116"/>
      <c r="AK64" s="418"/>
    </row>
    <row r="65" spans="1:39" s="419" customFormat="1" ht="29.25" customHeight="1">
      <c r="A65" s="202" t="s">
        <v>391</v>
      </c>
      <c r="B65" s="420" t="s">
        <v>385</v>
      </c>
      <c r="C65" s="421"/>
      <c r="D65" s="112" t="s">
        <v>380</v>
      </c>
      <c r="E65" s="266"/>
      <c r="F65" s="422"/>
      <c r="G65" s="97" t="s">
        <v>244</v>
      </c>
      <c r="H65" s="233">
        <v>1</v>
      </c>
      <c r="I65" s="98">
        <v>5060458</v>
      </c>
      <c r="J65" s="423"/>
      <c r="K65" s="267"/>
      <c r="L65" s="98">
        <f t="shared" si="11"/>
        <v>5060458</v>
      </c>
      <c r="M65" s="267"/>
      <c r="N65" s="98">
        <f t="shared" si="12"/>
        <v>0</v>
      </c>
      <c r="O65" s="267"/>
      <c r="P65" s="98">
        <f t="shared" si="13"/>
        <v>5060458</v>
      </c>
      <c r="Q65" s="98">
        <f t="shared" si="14"/>
        <v>404836.64</v>
      </c>
      <c r="R65" s="99">
        <f t="shared" si="15"/>
        <v>75906.87</v>
      </c>
      <c r="S65" s="98">
        <f t="shared" si="16"/>
        <v>50604.58</v>
      </c>
      <c r="T65" s="424"/>
      <c r="U65" s="99">
        <f t="shared" si="17"/>
        <v>531348.09</v>
      </c>
      <c r="V65" s="424"/>
      <c r="W65" s="424"/>
      <c r="X65" s="425"/>
      <c r="Y65" s="424"/>
      <c r="Z65" s="424"/>
      <c r="AA65" s="99">
        <f t="shared" si="18"/>
        <v>4529109.91</v>
      </c>
      <c r="AB65" s="101" t="str">
        <f t="shared" si="19"/>
        <v>53</v>
      </c>
      <c r="AC65" s="120"/>
      <c r="AD65" s="102"/>
      <c r="AE65" s="144"/>
      <c r="AF65" s="116"/>
      <c r="AK65" s="418"/>
    </row>
    <row r="66" spans="1:39" s="419" customFormat="1" ht="29.25" customHeight="1">
      <c r="A66" s="202" t="s">
        <v>392</v>
      </c>
      <c r="B66" s="420" t="s">
        <v>386</v>
      </c>
      <c r="C66" s="421"/>
      <c r="D66" s="112" t="s">
        <v>380</v>
      </c>
      <c r="E66" s="266"/>
      <c r="F66" s="422"/>
      <c r="G66" s="97" t="s">
        <v>244</v>
      </c>
      <c r="H66" s="233">
        <v>1</v>
      </c>
      <c r="I66" s="98">
        <v>5060458</v>
      </c>
      <c r="J66" s="423"/>
      <c r="K66" s="267"/>
      <c r="L66" s="98">
        <f t="shared" si="11"/>
        <v>5060458</v>
      </c>
      <c r="M66" s="267"/>
      <c r="N66" s="98">
        <f t="shared" si="12"/>
        <v>0</v>
      </c>
      <c r="O66" s="267"/>
      <c r="P66" s="98">
        <f t="shared" si="13"/>
        <v>5060458</v>
      </c>
      <c r="Q66" s="98">
        <f t="shared" si="14"/>
        <v>404836.64</v>
      </c>
      <c r="R66" s="99">
        <f t="shared" si="15"/>
        <v>75906.87</v>
      </c>
      <c r="S66" s="98">
        <f t="shared" si="16"/>
        <v>50604.58</v>
      </c>
      <c r="T66" s="424"/>
      <c r="U66" s="99">
        <f t="shared" si="17"/>
        <v>531348.09</v>
      </c>
      <c r="V66" s="424"/>
      <c r="W66" s="424"/>
      <c r="X66" s="425"/>
      <c r="Y66" s="424"/>
      <c r="Z66" s="424"/>
      <c r="AA66" s="99">
        <f t="shared" si="18"/>
        <v>4529109.91</v>
      </c>
      <c r="AB66" s="101" t="str">
        <f t="shared" si="19"/>
        <v>54</v>
      </c>
      <c r="AC66" s="120"/>
      <c r="AD66" s="102"/>
      <c r="AE66" s="144"/>
      <c r="AF66" s="116"/>
      <c r="AK66" s="418"/>
    </row>
    <row r="67" spans="1:39" s="419" customFormat="1" ht="29.25" customHeight="1">
      <c r="A67" s="202" t="s">
        <v>393</v>
      </c>
      <c r="B67" s="420" t="s">
        <v>387</v>
      </c>
      <c r="C67" s="421"/>
      <c r="D67" s="112" t="s">
        <v>380</v>
      </c>
      <c r="E67" s="266"/>
      <c r="F67" s="422"/>
      <c r="G67" s="97" t="s">
        <v>244</v>
      </c>
      <c r="H67" s="233">
        <v>1</v>
      </c>
      <c r="I67" s="98">
        <v>5060458</v>
      </c>
      <c r="J67" s="423"/>
      <c r="K67" s="267"/>
      <c r="L67" s="98">
        <f t="shared" si="11"/>
        <v>5060458</v>
      </c>
      <c r="M67" s="267"/>
      <c r="N67" s="98">
        <f t="shared" si="12"/>
        <v>0</v>
      </c>
      <c r="O67" s="267"/>
      <c r="P67" s="98">
        <f t="shared" si="13"/>
        <v>5060458</v>
      </c>
      <c r="Q67" s="98">
        <f t="shared" si="14"/>
        <v>404836.64</v>
      </c>
      <c r="R67" s="99">
        <f t="shared" si="15"/>
        <v>75906.87</v>
      </c>
      <c r="S67" s="98">
        <f t="shared" si="16"/>
        <v>50604.58</v>
      </c>
      <c r="T67" s="424"/>
      <c r="U67" s="99">
        <f t="shared" si="17"/>
        <v>531348.09</v>
      </c>
      <c r="V67" s="424"/>
      <c r="W67" s="424"/>
      <c r="X67" s="425"/>
      <c r="Y67" s="424"/>
      <c r="Z67" s="424"/>
      <c r="AA67" s="99">
        <f t="shared" si="18"/>
        <v>4529109.91</v>
      </c>
      <c r="AB67" s="101" t="str">
        <f t="shared" si="19"/>
        <v>55</v>
      </c>
      <c r="AC67" s="120"/>
      <c r="AD67" s="102"/>
      <c r="AE67" s="144"/>
      <c r="AF67" s="116"/>
      <c r="AK67" s="418"/>
    </row>
    <row r="68" spans="1:39" s="104" customFormat="1" ht="28.5" customHeight="1">
      <c r="A68" s="202" t="s">
        <v>394</v>
      </c>
      <c r="B68" s="318" t="s">
        <v>282</v>
      </c>
      <c r="C68" s="319"/>
      <c r="D68" s="320" t="s">
        <v>283</v>
      </c>
      <c r="E68" s="230"/>
      <c r="F68" s="321"/>
      <c r="G68" s="322" t="s">
        <v>244</v>
      </c>
      <c r="H68" s="323">
        <v>10</v>
      </c>
      <c r="I68" s="236">
        <v>7850431</v>
      </c>
      <c r="J68" s="324"/>
      <c r="K68" s="236"/>
      <c r="L68" s="236">
        <f t="shared" si="0"/>
        <v>7850431</v>
      </c>
      <c r="M68" s="236"/>
      <c r="N68" s="236">
        <f t="shared" si="1"/>
        <v>0</v>
      </c>
      <c r="O68" s="236"/>
      <c r="P68" s="236">
        <f t="shared" si="2"/>
        <v>7850431</v>
      </c>
      <c r="Q68" s="98">
        <v>0</v>
      </c>
      <c r="R68" s="99">
        <v>0</v>
      </c>
      <c r="S68" s="98">
        <v>0</v>
      </c>
      <c r="T68" s="325"/>
      <c r="U68" s="99">
        <f>SUM(Q68:T68)</f>
        <v>0</v>
      </c>
      <c r="V68" s="325"/>
      <c r="W68" s="326"/>
      <c r="X68" s="326"/>
      <c r="Y68" s="326"/>
      <c r="Z68" s="326"/>
      <c r="AA68" s="325">
        <f t="shared" si="4"/>
        <v>7850431</v>
      </c>
      <c r="AB68" s="101" t="str">
        <f t="shared" si="19"/>
        <v>56</v>
      </c>
      <c r="AC68" s="328"/>
      <c r="AD68" s="255" t="s">
        <v>280</v>
      </c>
      <c r="AE68" s="627" t="s">
        <v>332</v>
      </c>
      <c r="AF68" s="628"/>
      <c r="AG68" s="628"/>
      <c r="AK68" s="105"/>
    </row>
    <row r="69" spans="1:39" ht="33" customHeight="1">
      <c r="A69" s="88"/>
      <c r="B69" s="629" t="s">
        <v>11</v>
      </c>
      <c r="C69" s="630"/>
      <c r="D69" s="161"/>
      <c r="E69" s="161"/>
      <c r="F69" s="82"/>
      <c r="G69" s="82"/>
      <c r="H69" s="368">
        <f>SUM(H13:H68)</f>
        <v>220</v>
      </c>
      <c r="I69" s="80">
        <f>SUM(I13:I68)</f>
        <v>318234824</v>
      </c>
      <c r="J69" s="153">
        <f>SUM(J21:J59)</f>
        <v>0.64</v>
      </c>
      <c r="K69" s="80">
        <f>SUM(K13:K68)</f>
        <v>4936794</v>
      </c>
      <c r="L69" s="80">
        <f>SUM(L13:L68)</f>
        <v>323171618</v>
      </c>
      <c r="M69" s="80"/>
      <c r="N69" s="80">
        <f t="shared" ref="N69:Z69" si="20">SUM(N13:N68)</f>
        <v>0</v>
      </c>
      <c r="O69" s="80">
        <f t="shared" si="20"/>
        <v>0</v>
      </c>
      <c r="P69" s="80">
        <f>SUM(P13:P68)</f>
        <v>323171618</v>
      </c>
      <c r="Q69" s="80">
        <f>SUM(Q13:Q68)</f>
        <v>24779363.560000006</v>
      </c>
      <c r="R69" s="80">
        <f t="shared" si="20"/>
        <v>4646130.4800000032</v>
      </c>
      <c r="S69" s="80">
        <f t="shared" si="20"/>
        <v>3097420.3200000008</v>
      </c>
      <c r="T69" s="153">
        <f t="shared" si="20"/>
        <v>0</v>
      </c>
      <c r="U69" s="80">
        <f>SUM(U13:U68)</f>
        <v>32522914.359999992</v>
      </c>
      <c r="V69" s="93">
        <f t="shared" si="20"/>
        <v>0</v>
      </c>
      <c r="W69" s="80">
        <f t="shared" si="20"/>
        <v>0</v>
      </c>
      <c r="X69" s="93">
        <f t="shared" si="20"/>
        <v>0</v>
      </c>
      <c r="Y69" s="80">
        <f t="shared" si="20"/>
        <v>0</v>
      </c>
      <c r="Z69" s="355">
        <f t="shared" si="20"/>
        <v>852000</v>
      </c>
      <c r="AA69" s="80">
        <f>SUM(AA13:AA68)</f>
        <v>291500703.6400001</v>
      </c>
      <c r="AB69" s="90"/>
      <c r="AC69" s="91"/>
      <c r="AD69" s="92"/>
      <c r="AE69" s="71" t="s">
        <v>77</v>
      </c>
      <c r="AF69" s="60"/>
      <c r="AG69" s="60"/>
      <c r="AH69" s="42"/>
      <c r="AI69" s="42"/>
      <c r="AJ69" s="42"/>
      <c r="AK69" s="58"/>
      <c r="AL69" s="42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5">
        <v>21574227</v>
      </c>
      <c r="R70" s="345">
        <v>4045167</v>
      </c>
      <c r="S70" s="345">
        <v>2696778</v>
      </c>
      <c r="T70" s="344"/>
      <c r="U70" s="345">
        <v>28316172</v>
      </c>
      <c r="V70" s="344"/>
      <c r="W70" s="344"/>
      <c r="X70" s="344"/>
      <c r="Y70" s="344"/>
      <c r="Z70" s="344"/>
      <c r="AA70" s="345">
        <v>255377566</v>
      </c>
      <c r="AB70" s="54"/>
      <c r="AC70" s="68"/>
      <c r="AD70" s="68"/>
      <c r="AE70" s="65"/>
      <c r="AF70" s="65"/>
      <c r="AG70" s="65"/>
    </row>
    <row r="71" spans="1:39" ht="18.75" customHeight="1">
      <c r="A71" s="5"/>
      <c r="B71" s="631" t="s">
        <v>12</v>
      </c>
      <c r="C71" s="631"/>
      <c r="D71" s="17" t="s">
        <v>395</v>
      </c>
      <c r="E71" s="17"/>
      <c r="S71" s="18"/>
      <c r="T71" s="18"/>
      <c r="U71" s="18"/>
      <c r="V71" s="18"/>
      <c r="W71" s="18"/>
      <c r="X71" s="18"/>
      <c r="Y71" s="18"/>
      <c r="Z71" s="352"/>
      <c r="AA71" s="18"/>
      <c r="AB71" s="17"/>
      <c r="AC71" s="67"/>
      <c r="AD71" s="67"/>
      <c r="AE71" s="69"/>
      <c r="AF71" s="60"/>
      <c r="AG71" s="60"/>
    </row>
    <row r="72" spans="1:39" ht="7.5" customHeight="1">
      <c r="A72" s="5"/>
      <c r="B72" s="631"/>
      <c r="C72" s="631"/>
      <c r="D72" s="163"/>
      <c r="E72" s="163"/>
      <c r="F72" s="206"/>
      <c r="G72" s="49"/>
      <c r="H72" s="49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356"/>
      <c r="AA72" s="50"/>
      <c r="AB72" s="597"/>
      <c r="AC72" s="597"/>
      <c r="AD72" s="50"/>
      <c r="AE72" s="632" t="e">
        <f>1000000-#REF!</f>
        <v>#REF!</v>
      </c>
      <c r="AF72" s="633"/>
      <c r="AG72" s="633"/>
    </row>
    <row r="73" spans="1:39" ht="21" customHeight="1">
      <c r="A73" s="5"/>
      <c r="B73" s="633"/>
      <c r="C73" s="633"/>
      <c r="D73" s="7"/>
      <c r="E73" s="7"/>
      <c r="F73" s="207"/>
      <c r="G73" s="5"/>
      <c r="H73" s="5"/>
      <c r="S73" s="634" t="s">
        <v>374</v>
      </c>
      <c r="T73" s="634"/>
      <c r="U73" s="634"/>
      <c r="V73" s="634"/>
      <c r="W73" s="634"/>
      <c r="X73" s="634"/>
      <c r="Y73" s="634"/>
      <c r="Z73" s="634"/>
      <c r="AA73" s="634"/>
      <c r="AB73" s="634"/>
      <c r="AC73" s="634"/>
      <c r="AD73" s="635"/>
      <c r="AE73" s="633"/>
      <c r="AF73" s="633"/>
      <c r="AG73" s="633"/>
    </row>
    <row r="74" spans="1:39" ht="15.75" customHeight="1">
      <c r="A74" s="592" t="s">
        <v>13</v>
      </c>
      <c r="B74" s="592"/>
      <c r="C74" s="592"/>
      <c r="D74" s="592"/>
      <c r="E74" s="592"/>
      <c r="F74" s="592"/>
      <c r="G74" s="592"/>
      <c r="H74" s="592"/>
      <c r="I74" s="592" t="s">
        <v>183</v>
      </c>
      <c r="J74" s="592"/>
      <c r="K74" s="592"/>
      <c r="L74" s="592"/>
      <c r="M74" s="592"/>
      <c r="N74" s="592"/>
      <c r="O74" s="592"/>
      <c r="P74" s="592"/>
      <c r="Q74" s="592"/>
      <c r="R74" s="592"/>
      <c r="S74" s="637" t="s">
        <v>14</v>
      </c>
      <c r="T74" s="637"/>
      <c r="U74" s="637"/>
      <c r="V74" s="637"/>
      <c r="W74" s="637"/>
      <c r="X74" s="637"/>
      <c r="Y74" s="637"/>
      <c r="Z74" s="637"/>
      <c r="AA74" s="637"/>
      <c r="AB74" s="637"/>
      <c r="AC74" s="637"/>
      <c r="AD74" s="636"/>
      <c r="AE74" s="638"/>
      <c r="AF74" s="638"/>
      <c r="AG74" s="638"/>
    </row>
    <row r="75" spans="1:39" ht="15.75" customHeight="1">
      <c r="A75" s="5"/>
      <c r="B75" s="593"/>
      <c r="C75" s="593"/>
      <c r="D75" s="7"/>
      <c r="E75" s="7"/>
      <c r="F75" s="207"/>
      <c r="G75" s="5"/>
      <c r="H75" s="5"/>
      <c r="I75" s="4"/>
      <c r="J75" s="4"/>
      <c r="K75" s="4"/>
      <c r="L75" s="4"/>
      <c r="M75" s="4"/>
      <c r="N75" s="4"/>
      <c r="O75" s="4"/>
      <c r="P75" s="4"/>
      <c r="Q75" s="70"/>
      <c r="R75" s="4"/>
      <c r="S75" s="4"/>
      <c r="T75" s="4"/>
      <c r="U75" s="4"/>
      <c r="V75" s="4"/>
      <c r="AB75" s="593"/>
      <c r="AC75" s="593"/>
      <c r="AD75" s="4"/>
      <c r="AE75" s="633"/>
      <c r="AF75" s="633"/>
      <c r="AG75" s="633"/>
    </row>
    <row r="76" spans="1:39" ht="15.75" customHeight="1">
      <c r="A76" s="5"/>
      <c r="B76" s="633"/>
      <c r="C76" s="633"/>
      <c r="D76" s="7"/>
      <c r="E76" s="7"/>
      <c r="F76" s="207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57"/>
      <c r="T76" s="157"/>
      <c r="U76" s="157"/>
      <c r="V76" s="157"/>
      <c r="W76" s="157"/>
      <c r="X76" s="157"/>
      <c r="Y76" s="157"/>
      <c r="Z76" s="358"/>
      <c r="AA76" s="157"/>
      <c r="AB76" s="157"/>
      <c r="AC76" s="157"/>
      <c r="AD76" s="157"/>
      <c r="AE76" s="157"/>
      <c r="AF76" s="75"/>
      <c r="AG76" s="75"/>
      <c r="AH76" s="75"/>
      <c r="AI76" s="75"/>
      <c r="AJ76" s="75"/>
      <c r="AK76" s="75"/>
      <c r="AL76" s="75"/>
      <c r="AM76" s="75"/>
    </row>
    <row r="77" spans="1:39" ht="15.75" customHeight="1">
      <c r="A77" s="5"/>
      <c r="C77" s="5"/>
      <c r="D77" s="7"/>
      <c r="E77" s="7"/>
      <c r="F77" s="207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</row>
    <row r="78" spans="1:39" ht="9.75" customHeight="1">
      <c r="A78" s="5"/>
      <c r="B78" s="633"/>
      <c r="C78" s="633"/>
      <c r="D78" s="7"/>
      <c r="E78" s="7"/>
      <c r="F78" s="207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593"/>
      <c r="AC78" s="593"/>
      <c r="AD78" s="4"/>
      <c r="AE78" s="632"/>
      <c r="AF78" s="633"/>
      <c r="AG78" s="633"/>
    </row>
    <row r="79" spans="1:39" ht="15.75" customHeight="1">
      <c r="A79" s="5"/>
      <c r="B79" s="633"/>
      <c r="C79" s="633"/>
      <c r="D79" s="7"/>
      <c r="E79" s="7"/>
      <c r="F79" s="207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593"/>
      <c r="AC79" s="593"/>
      <c r="AD79" s="4"/>
      <c r="AE79" s="632"/>
      <c r="AF79" s="633"/>
      <c r="AG79" s="633"/>
    </row>
    <row r="80" spans="1:39" ht="15.75" customHeight="1">
      <c r="A80" s="5"/>
      <c r="B80" s="633"/>
      <c r="C80" s="633"/>
      <c r="D80" s="7"/>
      <c r="E80" s="7"/>
      <c r="F80" s="207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593"/>
      <c r="AC80" s="593"/>
      <c r="AD80" s="4"/>
      <c r="AE80" s="632"/>
      <c r="AF80" s="633"/>
      <c r="AG80" s="633"/>
    </row>
    <row r="81" spans="1:33" ht="15.75" customHeight="1">
      <c r="A81" s="592" t="s">
        <v>227</v>
      </c>
      <c r="B81" s="592"/>
      <c r="C81" s="592"/>
      <c r="D81" s="592"/>
      <c r="E81" s="592"/>
      <c r="F81" s="592"/>
      <c r="G81" s="592"/>
      <c r="H81" s="592"/>
      <c r="I81" s="592" t="s">
        <v>123</v>
      </c>
      <c r="J81" s="592"/>
      <c r="K81" s="592"/>
      <c r="L81" s="592"/>
      <c r="M81" s="592"/>
      <c r="N81" s="592"/>
      <c r="O81" s="592"/>
      <c r="P81" s="592"/>
      <c r="Q81" s="592"/>
      <c r="R81" s="592"/>
      <c r="S81" s="592" t="s">
        <v>120</v>
      </c>
      <c r="T81" s="592"/>
      <c r="U81" s="592"/>
      <c r="V81" s="592"/>
      <c r="W81" s="592"/>
      <c r="X81" s="592"/>
      <c r="Y81" s="592"/>
      <c r="Z81" s="592"/>
      <c r="AA81" s="592"/>
      <c r="AB81" s="592"/>
      <c r="AC81" s="592"/>
      <c r="AD81" s="8"/>
      <c r="AE81" s="638"/>
      <c r="AF81" s="638"/>
      <c r="AG81" s="638"/>
    </row>
    <row r="82" spans="1:33">
      <c r="A82" s="61"/>
      <c r="B82" s="63"/>
      <c r="C82" s="62"/>
      <c r="D82" s="164"/>
      <c r="E82" s="164"/>
      <c r="F82" s="208"/>
      <c r="G82" s="63"/>
      <c r="H82" s="63"/>
      <c r="I82" s="63"/>
      <c r="J82" s="51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59"/>
      <c r="AA82" s="63"/>
      <c r="AB82" s="639"/>
      <c r="AC82" s="639"/>
      <c r="AD82" s="51"/>
      <c r="AE82" s="632"/>
      <c r="AF82" s="633"/>
      <c r="AG82" s="633"/>
    </row>
    <row r="83" spans="1:33">
      <c r="B83" s="30"/>
      <c r="C83" s="19"/>
      <c r="G83" s="30"/>
      <c r="H83" s="30"/>
      <c r="AB83" s="594"/>
      <c r="AC83" s="594"/>
      <c r="AD83" s="45"/>
      <c r="AE83" s="633"/>
      <c r="AF83" s="633"/>
      <c r="AG83" s="633"/>
    </row>
    <row r="84" spans="1:33">
      <c r="A84" s="5"/>
      <c r="B84" s="633"/>
      <c r="C84" s="633"/>
      <c r="AB84" s="594"/>
      <c r="AC84" s="594"/>
      <c r="AD84" s="45"/>
      <c r="AE84" s="633"/>
      <c r="AF84" s="633"/>
      <c r="AG84" s="633"/>
    </row>
    <row r="85" spans="1:33">
      <c r="A85" s="5"/>
      <c r="B85" s="633"/>
      <c r="C85" s="633"/>
      <c r="AB85" s="594"/>
      <c r="AC85" s="594"/>
      <c r="AD85" s="45"/>
      <c r="AE85" s="633"/>
      <c r="AF85" s="633"/>
      <c r="AG85" s="633"/>
    </row>
    <row r="86" spans="1:33">
      <c r="A86" s="5"/>
      <c r="B86" s="633"/>
      <c r="C86" s="633"/>
      <c r="AB86" s="594"/>
      <c r="AC86" s="594"/>
      <c r="AD86" s="45"/>
      <c r="AE86" s="633"/>
      <c r="AF86" s="633"/>
      <c r="AG86" s="633"/>
    </row>
    <row r="87" spans="1:33">
      <c r="A87" s="5"/>
      <c r="B87" s="633"/>
      <c r="C87" s="633"/>
      <c r="AB87" s="594"/>
      <c r="AC87" s="594"/>
      <c r="AD87" s="45"/>
      <c r="AE87" s="633"/>
      <c r="AF87" s="633"/>
      <c r="AG87" s="633"/>
    </row>
    <row r="88" spans="1:33">
      <c r="A88" s="5"/>
      <c r="B88" s="633"/>
      <c r="C88" s="633"/>
      <c r="AB88" s="594"/>
      <c r="AC88" s="594"/>
      <c r="AD88" s="45"/>
      <c r="AE88" s="633"/>
      <c r="AF88" s="633"/>
      <c r="AG88" s="633"/>
    </row>
    <row r="89" spans="1:33">
      <c r="A89" s="5"/>
      <c r="B89" s="633"/>
      <c r="C89" s="633"/>
      <c r="AB89" s="594"/>
      <c r="AC89" s="594"/>
      <c r="AD89" s="45"/>
      <c r="AE89" s="633"/>
      <c r="AF89" s="633"/>
      <c r="AG89" s="633"/>
    </row>
    <row r="90" spans="1:33">
      <c r="A90" s="5"/>
      <c r="B90" s="633"/>
      <c r="C90" s="633"/>
      <c r="AB90" s="594"/>
      <c r="AC90" s="594"/>
      <c r="AD90" s="45"/>
      <c r="AE90" s="633"/>
      <c r="AF90" s="633"/>
      <c r="AG90" s="633"/>
    </row>
    <row r="91" spans="1:33">
      <c r="A91" s="5"/>
      <c r="B91" s="633"/>
      <c r="C91" s="633"/>
      <c r="AB91" s="594"/>
      <c r="AC91" s="594"/>
      <c r="AD91" s="45"/>
      <c r="AE91" s="633"/>
      <c r="AF91" s="633"/>
      <c r="AG91" s="633"/>
    </row>
    <row r="92" spans="1:33">
      <c r="A92" s="5"/>
      <c r="B92" s="633"/>
      <c r="C92" s="633"/>
      <c r="AB92" s="594"/>
      <c r="AC92" s="594"/>
      <c r="AD92" s="45"/>
      <c r="AE92" s="633"/>
      <c r="AF92" s="633"/>
      <c r="AG92" s="633"/>
    </row>
    <row r="93" spans="1:33">
      <c r="A93" s="5"/>
      <c r="B93" s="633"/>
      <c r="C93" s="633"/>
      <c r="AB93" s="594"/>
      <c r="AC93" s="594"/>
      <c r="AD93" s="45"/>
      <c r="AE93" s="633"/>
      <c r="AF93" s="633"/>
      <c r="AG93" s="633"/>
    </row>
    <row r="94" spans="1:33">
      <c r="A94" s="5"/>
      <c r="B94" s="633"/>
      <c r="C94" s="633"/>
      <c r="AB94" s="594"/>
      <c r="AC94" s="594"/>
      <c r="AD94" s="45"/>
      <c r="AE94" s="633"/>
      <c r="AF94" s="633"/>
      <c r="AG94" s="633"/>
    </row>
    <row r="95" spans="1:33">
      <c r="A95" s="5"/>
      <c r="B95" s="633"/>
      <c r="C95" s="633"/>
      <c r="AB95" s="594"/>
      <c r="AC95" s="594"/>
      <c r="AD95" s="45"/>
      <c r="AE95" s="633"/>
      <c r="AF95" s="633"/>
      <c r="AG95" s="633"/>
    </row>
    <row r="96" spans="1:33">
      <c r="A96" s="5"/>
      <c r="B96" s="633"/>
      <c r="C96" s="633"/>
      <c r="AB96" s="594"/>
      <c r="AC96" s="594"/>
      <c r="AD96" s="45"/>
      <c r="AE96" s="633"/>
      <c r="AF96" s="633"/>
      <c r="AG96" s="633"/>
    </row>
    <row r="97" spans="1:33">
      <c r="A97" s="5"/>
      <c r="B97" s="633"/>
      <c r="C97" s="633"/>
      <c r="AB97" s="594"/>
      <c r="AC97" s="594"/>
      <c r="AD97" s="45"/>
      <c r="AE97" s="633"/>
      <c r="AF97" s="633"/>
      <c r="AG97" s="633"/>
    </row>
    <row r="98" spans="1:33">
      <c r="A98" s="5"/>
      <c r="B98" s="633"/>
      <c r="C98" s="633"/>
      <c r="AB98" s="594"/>
      <c r="AC98" s="594"/>
      <c r="AD98" s="45"/>
      <c r="AE98" s="633"/>
      <c r="AF98" s="633"/>
      <c r="AG98" s="633"/>
    </row>
    <row r="99" spans="1:33">
      <c r="A99" s="5"/>
      <c r="B99" s="633"/>
      <c r="C99" s="633"/>
      <c r="AB99" s="594"/>
      <c r="AC99" s="594"/>
      <c r="AD99" s="45"/>
      <c r="AE99" s="633"/>
      <c r="AF99" s="633"/>
      <c r="AG99" s="633"/>
    </row>
    <row r="100" spans="1:33">
      <c r="A100" s="5"/>
      <c r="B100" s="633"/>
      <c r="C100" s="633"/>
      <c r="AB100" s="594"/>
      <c r="AC100" s="594"/>
      <c r="AD100" s="45"/>
      <c r="AE100" s="633"/>
      <c r="AF100" s="633"/>
      <c r="AG100" s="633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2"/>
  <sheetViews>
    <sheetView workbookViewId="0">
      <selection activeCell="O19" sqref="O19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2" width="8.375" style="44" customWidth="1"/>
    <col min="13" max="13" width="6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9" style="347" hidden="1" customWidth="1"/>
    <col min="27" max="27" width="9.75" style="44" customWidth="1"/>
    <col min="28" max="28" width="2.5" style="44" customWidth="1"/>
    <col min="29" max="29" width="13.25" style="6" customWidth="1"/>
    <col min="30" max="30" width="20.25" style="6" customWidth="1"/>
    <col min="31" max="41" width="9" style="42"/>
    <col min="42" max="16384" width="9" style="16"/>
  </cols>
  <sheetData>
    <row r="1" spans="1:41">
      <c r="A1" s="591" t="s">
        <v>79</v>
      </c>
      <c r="B1" s="591"/>
      <c r="C1" s="591"/>
      <c r="D1" s="591"/>
      <c r="E1" s="591"/>
      <c r="F1" s="591"/>
      <c r="G1" s="591"/>
      <c r="H1" s="591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1"/>
      <c r="AA1" s="17"/>
      <c r="AB1" s="17"/>
      <c r="AC1" s="17"/>
      <c r="AD1" s="8"/>
    </row>
    <row r="2" spans="1:41">
      <c r="A2" s="592" t="s">
        <v>186</v>
      </c>
      <c r="B2" s="592"/>
      <c r="C2" s="592"/>
      <c r="D2" s="592"/>
      <c r="E2" s="592"/>
      <c r="F2" s="592"/>
      <c r="G2" s="592"/>
      <c r="H2" s="592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42"/>
      <c r="AA2" s="18"/>
      <c r="AB2" s="18"/>
      <c r="AC2" s="18"/>
      <c r="AD2" s="24"/>
    </row>
    <row r="3" spans="1:41" ht="3.75" customHeight="1">
      <c r="A3" s="4"/>
      <c r="B3" s="45"/>
      <c r="C3" s="593"/>
      <c r="D3" s="593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45"/>
    </row>
    <row r="4" spans="1:41" ht="22.5" customHeight="1">
      <c r="A4" s="596" t="s">
        <v>410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596"/>
      <c r="M4" s="596"/>
      <c r="N4" s="596"/>
      <c r="O4" s="596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72"/>
    </row>
    <row r="5" spans="1:41" ht="22.5" customHeight="1">
      <c r="A5" s="596" t="s">
        <v>430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596"/>
      <c r="O5" s="596"/>
      <c r="P5" s="596"/>
      <c r="Q5" s="596"/>
      <c r="R5" s="596"/>
      <c r="S5" s="596"/>
      <c r="T5" s="596"/>
      <c r="U5" s="596"/>
      <c r="V5" s="596"/>
      <c r="W5" s="596"/>
      <c r="X5" s="596"/>
      <c r="Y5" s="596"/>
      <c r="Z5" s="596"/>
      <c r="AA5" s="596"/>
      <c r="AB5" s="596"/>
      <c r="AC5" s="596"/>
      <c r="AD5" s="72"/>
    </row>
    <row r="6" spans="1:41" ht="18" customHeight="1">
      <c r="A6" s="8"/>
      <c r="B6" s="50"/>
      <c r="C6" s="8" t="s">
        <v>87</v>
      </c>
      <c r="D6" s="597"/>
      <c r="E6" s="597"/>
      <c r="F6" s="597"/>
      <c r="G6" s="597"/>
      <c r="H6" s="597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43"/>
      <c r="AA6" s="48"/>
      <c r="AB6" s="48"/>
      <c r="AC6" s="67"/>
      <c r="AD6" s="67"/>
    </row>
    <row r="7" spans="1:41">
      <c r="A7" s="8"/>
      <c r="B7" s="146">
        <v>1490000</v>
      </c>
      <c r="C7" s="77">
        <v>1150000</v>
      </c>
      <c r="D7" s="597"/>
      <c r="E7" s="597"/>
      <c r="F7" s="597"/>
      <c r="G7" s="597"/>
      <c r="H7" s="59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43"/>
      <c r="AA7" s="48"/>
      <c r="AB7" s="48"/>
    </row>
    <row r="8" spans="1:41">
      <c r="A8" s="8"/>
      <c r="B8" s="50"/>
      <c r="C8" s="8"/>
      <c r="D8" s="598"/>
      <c r="E8" s="598"/>
      <c r="F8" s="598"/>
      <c r="G8" s="598"/>
      <c r="H8" s="59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44"/>
      <c r="AA8" s="52"/>
      <c r="AB8" s="52"/>
      <c r="AC8" s="66"/>
      <c r="AD8" s="66"/>
    </row>
    <row r="9" spans="1:41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43"/>
      <c r="AA9" s="48"/>
      <c r="AB9" s="53"/>
    </row>
    <row r="10" spans="1:41" s="43" customFormat="1" ht="27.75" customHeight="1">
      <c r="A10" s="599" t="s">
        <v>2</v>
      </c>
      <c r="B10" s="599" t="s">
        <v>3</v>
      </c>
      <c r="C10" s="599"/>
      <c r="D10" s="600" t="s">
        <v>51</v>
      </c>
      <c r="E10" s="601" t="s">
        <v>237</v>
      </c>
      <c r="F10" s="603" t="s">
        <v>15</v>
      </c>
      <c r="G10" s="605" t="s">
        <v>130</v>
      </c>
      <c r="H10" s="601" t="s">
        <v>272</v>
      </c>
      <c r="I10" s="607" t="s">
        <v>180</v>
      </c>
      <c r="J10" s="607" t="s">
        <v>268</v>
      </c>
      <c r="K10" s="607" t="s">
        <v>269</v>
      </c>
      <c r="L10" s="607" t="s">
        <v>170</v>
      </c>
      <c r="M10" s="609"/>
      <c r="N10" s="601" t="s">
        <v>148</v>
      </c>
      <c r="O10" s="601" t="s">
        <v>149</v>
      </c>
      <c r="P10" s="605" t="s">
        <v>150</v>
      </c>
      <c r="Q10" s="611" t="s">
        <v>67</v>
      </c>
      <c r="R10" s="612"/>
      <c r="S10" s="612"/>
      <c r="T10" s="612"/>
      <c r="U10" s="613"/>
      <c r="V10" s="614" t="s">
        <v>168</v>
      </c>
      <c r="W10" s="615"/>
      <c r="X10" s="614" t="s">
        <v>169</v>
      </c>
      <c r="Y10" s="615"/>
      <c r="Z10" s="618" t="s">
        <v>274</v>
      </c>
      <c r="AA10" s="605" t="s">
        <v>154</v>
      </c>
      <c r="AB10" s="618" t="s">
        <v>5</v>
      </c>
      <c r="AC10" s="619"/>
      <c r="AD10" s="84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</row>
    <row r="11" spans="1:41" s="43" customFormat="1" ht="41.25" customHeight="1">
      <c r="A11" s="599"/>
      <c r="B11" s="599"/>
      <c r="C11" s="599"/>
      <c r="D11" s="600"/>
      <c r="E11" s="602"/>
      <c r="F11" s="604"/>
      <c r="G11" s="606"/>
      <c r="H11" s="602"/>
      <c r="I11" s="608"/>
      <c r="J11" s="608"/>
      <c r="K11" s="608"/>
      <c r="L11" s="608"/>
      <c r="M11" s="610"/>
      <c r="N11" s="602"/>
      <c r="O11" s="602"/>
      <c r="P11" s="606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20"/>
      <c r="AA11" s="606"/>
      <c r="AB11" s="620"/>
      <c r="AC11" s="621"/>
      <c r="AD11" s="84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</row>
    <row r="12" spans="1:41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50"/>
      <c r="AA12" s="254" t="s">
        <v>178</v>
      </c>
      <c r="AB12" s="623" t="s">
        <v>172</v>
      </c>
      <c r="AC12" s="624"/>
      <c r="AD12" s="84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</row>
    <row r="13" spans="1:41" s="104" customFormat="1" ht="30.75" customHeight="1">
      <c r="A13" s="238" t="s">
        <v>32</v>
      </c>
      <c r="B13" s="239" t="s">
        <v>132</v>
      </c>
      <c r="C13" s="240" t="s">
        <v>78</v>
      </c>
      <c r="D13" s="241" t="s">
        <v>359</v>
      </c>
      <c r="E13" s="242" t="str">
        <f>VLOOKUP(B13,[2]T3!$B$2:$D$328,3,FALSE)</f>
        <v>079083003027</v>
      </c>
      <c r="F13" s="361" t="s">
        <v>205</v>
      </c>
      <c r="G13" s="362" t="s">
        <v>248</v>
      </c>
      <c r="H13" s="363">
        <v>8</v>
      </c>
      <c r="I13" s="246">
        <v>6585230</v>
      </c>
      <c r="J13" s="247"/>
      <c r="K13" s="246"/>
      <c r="L13" s="246">
        <f t="shared" ref="L13:L20" si="0">ROUND(I13+K13,0)</f>
        <v>6585230</v>
      </c>
      <c r="M13" s="246"/>
      <c r="N13" s="246">
        <f t="shared" ref="N13:N20" si="1">L13/24*M13</f>
        <v>0</v>
      </c>
      <c r="O13" s="246"/>
      <c r="P13" s="246">
        <f t="shared" ref="P13:P20" si="2">L13-N13+O13</f>
        <v>6585230</v>
      </c>
      <c r="Q13" s="246">
        <f t="shared" ref="Q13:Q20" si="3">L13*8%</f>
        <v>526818.4</v>
      </c>
      <c r="R13" s="248">
        <f t="shared" ref="R13:R20" si="4">L13*1.5%</f>
        <v>98778.45</v>
      </c>
      <c r="S13" s="246">
        <f t="shared" ref="S13:S20" si="5">L13*1%</f>
        <v>65852.3</v>
      </c>
      <c r="T13" s="248"/>
      <c r="U13" s="248">
        <f t="shared" ref="U13:U20" si="6">SUM(Q13:T13)</f>
        <v>691449.15</v>
      </c>
      <c r="V13" s="248"/>
      <c r="W13" s="248"/>
      <c r="X13" s="364"/>
      <c r="Y13" s="248"/>
      <c r="Z13" s="248"/>
      <c r="AA13" s="248">
        <f t="shared" ref="AA13:AA20" si="7">P13-U13+W13+Y13+Z13</f>
        <v>5893780.8499999996</v>
      </c>
      <c r="AB13" s="250" t="str">
        <f t="shared" ref="AB13:AB20" si="8">A13</f>
        <v>01</v>
      </c>
      <c r="AC13" s="251"/>
      <c r="AD13" s="120" t="s">
        <v>86</v>
      </c>
    </row>
    <row r="14" spans="1:41" s="104" customFormat="1" ht="30" customHeight="1">
      <c r="A14" s="202" t="s">
        <v>33</v>
      </c>
      <c r="B14" s="94" t="s">
        <v>253</v>
      </c>
      <c r="C14" s="95"/>
      <c r="D14" s="112" t="s">
        <v>359</v>
      </c>
      <c r="E14" s="228"/>
      <c r="F14" s="209" t="str">
        <f>VLOOKUP(B14,[1]LuongBC_T01!$B$277:$C$292,2,FALSE)</f>
        <v>0016100006651008</v>
      </c>
      <c r="G14" s="97" t="s">
        <v>248</v>
      </c>
      <c r="H14" s="233">
        <v>5</v>
      </c>
      <c r="I14" s="98">
        <v>5688569</v>
      </c>
      <c r="J14" s="113"/>
      <c r="K14" s="98"/>
      <c r="L14" s="98">
        <f t="shared" si="0"/>
        <v>5688569</v>
      </c>
      <c r="M14" s="98"/>
      <c r="N14" s="98">
        <f t="shared" si="1"/>
        <v>0</v>
      </c>
      <c r="O14" s="98"/>
      <c r="P14" s="98">
        <f t="shared" si="2"/>
        <v>5688569</v>
      </c>
      <c r="Q14" s="98">
        <f t="shared" si="3"/>
        <v>455085.52</v>
      </c>
      <c r="R14" s="99">
        <f t="shared" si="4"/>
        <v>85328.535000000003</v>
      </c>
      <c r="S14" s="98">
        <f t="shared" si="5"/>
        <v>56885.69</v>
      </c>
      <c r="T14" s="99"/>
      <c r="U14" s="99">
        <f t="shared" si="6"/>
        <v>597299.74500000011</v>
      </c>
      <c r="V14" s="99"/>
      <c r="W14" s="99"/>
      <c r="X14" s="151"/>
      <c r="Y14" s="99"/>
      <c r="Z14" s="99"/>
      <c r="AA14" s="99">
        <f t="shared" si="7"/>
        <v>5091269.2549999999</v>
      </c>
      <c r="AB14" s="101" t="str">
        <f t="shared" si="8"/>
        <v>02</v>
      </c>
      <c r="AC14" s="102"/>
      <c r="AD14" s="120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</row>
    <row r="15" spans="1:41" s="104" customFormat="1" ht="30.75" customHeight="1">
      <c r="A15" s="202" t="s">
        <v>34</v>
      </c>
      <c r="B15" s="94" t="s">
        <v>254</v>
      </c>
      <c r="C15" s="95"/>
      <c r="D15" s="112" t="s">
        <v>359</v>
      </c>
      <c r="E15" s="228"/>
      <c r="F15" s="209" t="str">
        <f>VLOOKUP(B15,[1]LuongBC_T01!$B$277:$C$292,2,FALSE)</f>
        <v>0016100006666005</v>
      </c>
      <c r="G15" s="97" t="s">
        <v>248</v>
      </c>
      <c r="H15" s="233">
        <v>5</v>
      </c>
      <c r="I15" s="98">
        <v>5688569</v>
      </c>
      <c r="J15" s="113"/>
      <c r="K15" s="98"/>
      <c r="L15" s="98">
        <f t="shared" si="0"/>
        <v>5688569</v>
      </c>
      <c r="M15" s="98"/>
      <c r="N15" s="98">
        <f t="shared" si="1"/>
        <v>0</v>
      </c>
      <c r="O15" s="98"/>
      <c r="P15" s="98">
        <f t="shared" si="2"/>
        <v>5688569</v>
      </c>
      <c r="Q15" s="98">
        <f t="shared" si="3"/>
        <v>455085.52</v>
      </c>
      <c r="R15" s="99">
        <f t="shared" si="4"/>
        <v>85328.535000000003</v>
      </c>
      <c r="S15" s="98">
        <f t="shared" si="5"/>
        <v>56885.69</v>
      </c>
      <c r="T15" s="99"/>
      <c r="U15" s="99">
        <f t="shared" si="6"/>
        <v>597299.74500000011</v>
      </c>
      <c r="V15" s="99"/>
      <c r="W15" s="99"/>
      <c r="X15" s="151"/>
      <c r="Y15" s="99"/>
      <c r="Z15" s="99"/>
      <c r="AA15" s="99">
        <f t="shared" si="7"/>
        <v>5091269.2549999999</v>
      </c>
      <c r="AB15" s="101" t="str">
        <f t="shared" si="8"/>
        <v>03</v>
      </c>
      <c r="AC15" s="102"/>
      <c r="AD15" s="120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</row>
    <row r="16" spans="1:41" s="104" customFormat="1" ht="29.25" customHeight="1">
      <c r="A16" s="202" t="s">
        <v>35</v>
      </c>
      <c r="B16" s="94" t="s">
        <v>228</v>
      </c>
      <c r="C16" s="95"/>
      <c r="D16" s="112" t="s">
        <v>359</v>
      </c>
      <c r="E16" s="228" t="str">
        <f>VLOOKUP(B16,[2]T3!$B$2:$D$328,3,FALSE)</f>
        <v>024110707</v>
      </c>
      <c r="F16" s="209"/>
      <c r="G16" s="97" t="s">
        <v>248</v>
      </c>
      <c r="H16" s="233">
        <v>2</v>
      </c>
      <c r="I16" s="98">
        <v>4914000</v>
      </c>
      <c r="J16" s="113"/>
      <c r="K16" s="98"/>
      <c r="L16" s="98">
        <f t="shared" si="0"/>
        <v>4914000</v>
      </c>
      <c r="M16" s="98"/>
      <c r="N16" s="98">
        <f t="shared" si="1"/>
        <v>0</v>
      </c>
      <c r="O16" s="98"/>
      <c r="P16" s="98">
        <f t="shared" si="2"/>
        <v>4914000</v>
      </c>
      <c r="Q16" s="98">
        <f t="shared" si="3"/>
        <v>393120</v>
      </c>
      <c r="R16" s="99">
        <f t="shared" si="4"/>
        <v>73710</v>
      </c>
      <c r="S16" s="98">
        <f t="shared" si="5"/>
        <v>49140</v>
      </c>
      <c r="T16" s="99"/>
      <c r="U16" s="99">
        <f t="shared" si="6"/>
        <v>515970</v>
      </c>
      <c r="V16" s="99"/>
      <c r="W16" s="99"/>
      <c r="X16" s="151"/>
      <c r="Y16" s="99"/>
      <c r="Z16" s="99"/>
      <c r="AA16" s="99">
        <f t="shared" si="7"/>
        <v>4398030</v>
      </c>
      <c r="AB16" s="101" t="str">
        <f t="shared" si="8"/>
        <v>04</v>
      </c>
      <c r="AC16" s="102"/>
      <c r="AD16" s="102" t="s">
        <v>229</v>
      </c>
    </row>
    <row r="17" spans="1:30" s="104" customFormat="1" ht="28.5" customHeight="1">
      <c r="A17" s="202" t="s">
        <v>36</v>
      </c>
      <c r="B17" s="94" t="s">
        <v>291</v>
      </c>
      <c r="C17" s="95"/>
      <c r="D17" s="112" t="s">
        <v>357</v>
      </c>
      <c r="E17" s="266"/>
      <c r="F17" s="223" t="s">
        <v>325</v>
      </c>
      <c r="G17" s="97" t="s">
        <v>248</v>
      </c>
      <c r="H17" s="233">
        <v>3</v>
      </c>
      <c r="I17" s="98">
        <v>5159700</v>
      </c>
      <c r="J17" s="113"/>
      <c r="K17" s="98"/>
      <c r="L17" s="267">
        <f t="shared" si="0"/>
        <v>5159700</v>
      </c>
      <c r="M17" s="98"/>
      <c r="N17" s="98">
        <f t="shared" si="1"/>
        <v>0</v>
      </c>
      <c r="O17" s="98"/>
      <c r="P17" s="98">
        <f t="shared" si="2"/>
        <v>5159700</v>
      </c>
      <c r="Q17" s="98">
        <f t="shared" si="3"/>
        <v>412776</v>
      </c>
      <c r="R17" s="99">
        <f t="shared" si="4"/>
        <v>77395.5</v>
      </c>
      <c r="S17" s="98">
        <f t="shared" si="5"/>
        <v>51597</v>
      </c>
      <c r="T17" s="99"/>
      <c r="U17" s="99">
        <f t="shared" si="6"/>
        <v>541768.5</v>
      </c>
      <c r="V17" s="99"/>
      <c r="W17" s="100"/>
      <c r="X17" s="100"/>
      <c r="Y17" s="100"/>
      <c r="Z17" s="100"/>
      <c r="AA17" s="99">
        <f t="shared" si="7"/>
        <v>4617931.5</v>
      </c>
      <c r="AB17" s="101" t="str">
        <f t="shared" si="8"/>
        <v>05</v>
      </c>
      <c r="AC17" s="102"/>
      <c r="AD17" s="255" t="s">
        <v>286</v>
      </c>
    </row>
    <row r="18" spans="1:30" s="104" customFormat="1" ht="36.75" customHeight="1">
      <c r="A18" s="202" t="s">
        <v>37</v>
      </c>
      <c r="B18" s="94" t="s">
        <v>288</v>
      </c>
      <c r="C18" s="95"/>
      <c r="D18" s="112" t="s">
        <v>358</v>
      </c>
      <c r="E18" s="266"/>
      <c r="F18" s="223" t="s">
        <v>324</v>
      </c>
      <c r="G18" s="97" t="s">
        <v>247</v>
      </c>
      <c r="H18" s="233">
        <v>2</v>
      </c>
      <c r="I18" s="98">
        <v>5257980</v>
      </c>
      <c r="J18" s="113"/>
      <c r="K18" s="98"/>
      <c r="L18" s="267">
        <f t="shared" si="0"/>
        <v>5257980</v>
      </c>
      <c r="M18" s="98"/>
      <c r="N18" s="98">
        <f t="shared" si="1"/>
        <v>0</v>
      </c>
      <c r="O18" s="98"/>
      <c r="P18" s="98">
        <f t="shared" si="2"/>
        <v>5257980</v>
      </c>
      <c r="Q18" s="98">
        <f t="shared" si="3"/>
        <v>420638.4</v>
      </c>
      <c r="R18" s="99">
        <f t="shared" si="4"/>
        <v>78869.7</v>
      </c>
      <c r="S18" s="98">
        <f t="shared" si="5"/>
        <v>52579.8</v>
      </c>
      <c r="T18" s="99"/>
      <c r="U18" s="99">
        <f t="shared" si="6"/>
        <v>552087.9</v>
      </c>
      <c r="V18" s="99"/>
      <c r="W18" s="100"/>
      <c r="X18" s="100"/>
      <c r="Y18" s="100"/>
      <c r="Z18" s="100"/>
      <c r="AA18" s="99">
        <f t="shared" si="7"/>
        <v>4705892.0999999996</v>
      </c>
      <c r="AB18" s="101" t="str">
        <f t="shared" si="8"/>
        <v>06</v>
      </c>
      <c r="AC18" s="102"/>
      <c r="AD18" s="255" t="s">
        <v>286</v>
      </c>
    </row>
    <row r="19" spans="1:30" s="104" customFormat="1" ht="30.75" customHeight="1">
      <c r="A19" s="202" t="s">
        <v>38</v>
      </c>
      <c r="B19" s="94" t="s">
        <v>321</v>
      </c>
      <c r="C19" s="95"/>
      <c r="D19" s="112" t="s">
        <v>279</v>
      </c>
      <c r="E19" s="541" t="s">
        <v>334</v>
      </c>
      <c r="F19" s="336" t="s">
        <v>333</v>
      </c>
      <c r="G19" s="97" t="s">
        <v>248</v>
      </c>
      <c r="H19" s="233">
        <v>1</v>
      </c>
      <c r="I19" s="98">
        <v>4914000</v>
      </c>
      <c r="J19" s="113"/>
      <c r="K19" s="98"/>
      <c r="L19" s="267">
        <f t="shared" si="0"/>
        <v>4914000</v>
      </c>
      <c r="M19" s="98"/>
      <c r="N19" s="98">
        <f t="shared" si="1"/>
        <v>0</v>
      </c>
      <c r="O19" s="98"/>
      <c r="P19" s="98">
        <f t="shared" si="2"/>
        <v>4914000</v>
      </c>
      <c r="Q19" s="98">
        <f t="shared" si="3"/>
        <v>393120</v>
      </c>
      <c r="R19" s="99">
        <f t="shared" si="4"/>
        <v>73710</v>
      </c>
      <c r="S19" s="98">
        <f t="shared" si="5"/>
        <v>49140</v>
      </c>
      <c r="T19" s="99"/>
      <c r="U19" s="99">
        <f t="shared" si="6"/>
        <v>515970</v>
      </c>
      <c r="V19" s="99"/>
      <c r="W19" s="100"/>
      <c r="X19" s="100"/>
      <c r="Y19" s="100"/>
      <c r="Z19" s="100"/>
      <c r="AA19" s="99">
        <f t="shared" si="7"/>
        <v>4398030</v>
      </c>
      <c r="AB19" s="101" t="str">
        <f t="shared" si="8"/>
        <v>07</v>
      </c>
      <c r="AC19" s="102"/>
      <c r="AD19" s="255" t="s">
        <v>322</v>
      </c>
    </row>
    <row r="20" spans="1:30" s="104" customFormat="1" ht="29.25" customHeight="1">
      <c r="A20" s="202" t="s">
        <v>39</v>
      </c>
      <c r="B20" s="94" t="s">
        <v>323</v>
      </c>
      <c r="C20" s="95"/>
      <c r="D20" s="112" t="s">
        <v>279</v>
      </c>
      <c r="E20" s="541" t="s">
        <v>335</v>
      </c>
      <c r="F20" s="336" t="s">
        <v>336</v>
      </c>
      <c r="G20" s="97" t="s">
        <v>248</v>
      </c>
      <c r="H20" s="233">
        <v>1</v>
      </c>
      <c r="I20" s="98">
        <v>4914000</v>
      </c>
      <c r="J20" s="113"/>
      <c r="K20" s="98"/>
      <c r="L20" s="267">
        <f t="shared" si="0"/>
        <v>4914000</v>
      </c>
      <c r="M20" s="98"/>
      <c r="N20" s="98">
        <f t="shared" si="1"/>
        <v>0</v>
      </c>
      <c r="O20" s="98"/>
      <c r="P20" s="98">
        <f t="shared" si="2"/>
        <v>4914000</v>
      </c>
      <c r="Q20" s="98">
        <f t="shared" si="3"/>
        <v>393120</v>
      </c>
      <c r="R20" s="99">
        <f t="shared" si="4"/>
        <v>73710</v>
      </c>
      <c r="S20" s="98">
        <f t="shared" si="5"/>
        <v>49140</v>
      </c>
      <c r="T20" s="99"/>
      <c r="U20" s="99">
        <f t="shared" si="6"/>
        <v>515970</v>
      </c>
      <c r="V20" s="99"/>
      <c r="W20" s="100"/>
      <c r="X20" s="100"/>
      <c r="Y20" s="100"/>
      <c r="Z20" s="100"/>
      <c r="AA20" s="99">
        <f t="shared" si="7"/>
        <v>4398030</v>
      </c>
      <c r="AB20" s="101" t="str">
        <f t="shared" si="8"/>
        <v>08</v>
      </c>
      <c r="AC20" s="102"/>
      <c r="AD20" s="255" t="s">
        <v>322</v>
      </c>
    </row>
    <row r="21" spans="1:30" ht="24.75" customHeight="1">
      <c r="A21" s="88"/>
      <c r="B21" s="629" t="s">
        <v>11</v>
      </c>
      <c r="C21" s="630"/>
      <c r="D21" s="161"/>
      <c r="E21" s="161"/>
      <c r="F21" s="82"/>
      <c r="G21" s="82"/>
      <c r="H21" s="89">
        <f>SUM(H13:H20)</f>
        <v>27</v>
      </c>
      <c r="I21" s="80">
        <f>SUM(I13:I20)</f>
        <v>43122048</v>
      </c>
      <c r="J21" s="153">
        <f>SUM(J13:J20)</f>
        <v>0</v>
      </c>
      <c r="K21" s="80">
        <f>SUM(K13:K20)</f>
        <v>0</v>
      </c>
      <c r="L21" s="80">
        <f>SUM(L13:L20)</f>
        <v>43122048</v>
      </c>
      <c r="M21" s="80"/>
      <c r="N21" s="80">
        <f t="shared" ref="N21:Y21" si="9">SUM(N13:N20)</f>
        <v>0</v>
      </c>
      <c r="O21" s="80">
        <f t="shared" si="9"/>
        <v>0</v>
      </c>
      <c r="P21" s="80">
        <f t="shared" si="9"/>
        <v>43122048</v>
      </c>
      <c r="Q21" s="80">
        <f t="shared" si="9"/>
        <v>3449763.8399999999</v>
      </c>
      <c r="R21" s="80">
        <f t="shared" si="9"/>
        <v>646830.72</v>
      </c>
      <c r="S21" s="80">
        <f t="shared" si="9"/>
        <v>431220.47999999998</v>
      </c>
      <c r="T21" s="153">
        <f t="shared" si="9"/>
        <v>0</v>
      </c>
      <c r="U21" s="80">
        <f t="shared" si="9"/>
        <v>4527815.04</v>
      </c>
      <c r="V21" s="93">
        <f t="shared" si="9"/>
        <v>0</v>
      </c>
      <c r="W21" s="80">
        <f t="shared" si="9"/>
        <v>0</v>
      </c>
      <c r="X21" s="93">
        <f t="shared" si="9"/>
        <v>0</v>
      </c>
      <c r="Y21" s="80">
        <f t="shared" si="9"/>
        <v>0</v>
      </c>
      <c r="Z21" s="345"/>
      <c r="AA21" s="80">
        <f>SUM(AA13:AA20)</f>
        <v>38594232.960000001</v>
      </c>
      <c r="AB21" s="90"/>
      <c r="AC21" s="91"/>
      <c r="AD21" s="519"/>
    </row>
    <row r="22" spans="1:30" ht="6.75" customHeight="1">
      <c r="A22" s="6"/>
      <c r="B22" s="142"/>
      <c r="C22" s="64"/>
      <c r="D22" s="162"/>
      <c r="E22" s="162"/>
      <c r="F22" s="204"/>
      <c r="G22" s="47"/>
      <c r="H22" s="46"/>
      <c r="I22" s="52"/>
      <c r="J22" s="46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344"/>
      <c r="AA22" s="52"/>
      <c r="AB22" s="54"/>
      <c r="AC22" s="68"/>
      <c r="AD22" s="117"/>
    </row>
    <row r="23" spans="1:30" ht="18.75" customHeight="1">
      <c r="A23" s="5"/>
      <c r="B23" s="631" t="s">
        <v>12</v>
      </c>
      <c r="C23" s="631"/>
      <c r="D23" s="17" t="s">
        <v>431</v>
      </c>
      <c r="E23" s="17"/>
      <c r="S23" s="18"/>
      <c r="T23" s="18"/>
      <c r="U23" s="18"/>
      <c r="V23" s="18"/>
      <c r="W23" s="18"/>
      <c r="X23" s="18"/>
      <c r="Y23" s="18"/>
      <c r="Z23" s="342"/>
      <c r="AA23" s="18"/>
      <c r="AB23" s="17"/>
      <c r="AC23" s="67"/>
      <c r="AD23" s="520"/>
    </row>
    <row r="24" spans="1:30" ht="7.5" customHeight="1">
      <c r="A24" s="5"/>
      <c r="B24" s="631"/>
      <c r="C24" s="631"/>
      <c r="D24" s="163"/>
      <c r="E24" s="163"/>
      <c r="F24" s="206"/>
      <c r="G24" s="49"/>
      <c r="H24" s="49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346"/>
      <c r="AA24" s="50"/>
      <c r="AB24" s="597"/>
      <c r="AC24" s="597"/>
      <c r="AD24" s="356"/>
    </row>
    <row r="25" spans="1:30" ht="21" customHeight="1">
      <c r="A25" s="5"/>
      <c r="B25" s="633"/>
      <c r="C25" s="633"/>
      <c r="D25" s="7"/>
      <c r="E25" s="7"/>
      <c r="F25" s="207"/>
      <c r="G25" s="5"/>
      <c r="H25" s="5"/>
      <c r="S25" s="634" t="s">
        <v>432</v>
      </c>
      <c r="T25" s="634"/>
      <c r="U25" s="634"/>
      <c r="V25" s="634"/>
      <c r="W25" s="634"/>
      <c r="X25" s="634"/>
      <c r="Y25" s="634"/>
      <c r="Z25" s="634"/>
      <c r="AA25" s="634"/>
      <c r="AB25" s="634"/>
      <c r="AC25" s="634"/>
      <c r="AD25" s="640"/>
    </row>
    <row r="26" spans="1:30" ht="15.75" customHeight="1">
      <c r="A26" s="592" t="s">
        <v>13</v>
      </c>
      <c r="B26" s="592"/>
      <c r="C26" s="592"/>
      <c r="D26" s="592"/>
      <c r="E26" s="592"/>
      <c r="F26" s="592"/>
      <c r="G26" s="592"/>
      <c r="H26" s="592"/>
      <c r="I26" s="592" t="s">
        <v>183</v>
      </c>
      <c r="J26" s="592"/>
      <c r="K26" s="592"/>
      <c r="L26" s="592"/>
      <c r="M26" s="592"/>
      <c r="N26" s="592"/>
      <c r="O26" s="592"/>
      <c r="P26" s="592"/>
      <c r="Q26" s="592"/>
      <c r="R26" s="592"/>
      <c r="S26" s="637" t="s">
        <v>14</v>
      </c>
      <c r="T26" s="637"/>
      <c r="U26" s="637"/>
      <c r="V26" s="637"/>
      <c r="W26" s="637"/>
      <c r="X26" s="637"/>
      <c r="Y26" s="637"/>
      <c r="Z26" s="637"/>
      <c r="AA26" s="637"/>
      <c r="AB26" s="637"/>
      <c r="AC26" s="637"/>
      <c r="AD26" s="641"/>
    </row>
    <row r="27" spans="1:30" ht="15.75" customHeight="1">
      <c r="A27" s="5"/>
      <c r="B27" s="593"/>
      <c r="C27" s="593"/>
      <c r="D27" s="7"/>
      <c r="E27" s="7"/>
      <c r="F27" s="207"/>
      <c r="G27" s="5"/>
      <c r="H27" s="5"/>
      <c r="I27" s="4"/>
      <c r="J27" s="4"/>
      <c r="K27" s="4"/>
      <c r="L27" s="4"/>
      <c r="M27" s="4"/>
      <c r="N27" s="4"/>
      <c r="O27" s="4"/>
      <c r="P27" s="4"/>
      <c r="Q27" s="70"/>
      <c r="R27" s="4"/>
      <c r="S27" s="4"/>
      <c r="T27" s="4"/>
      <c r="U27" s="4"/>
      <c r="V27" s="4"/>
      <c r="AB27" s="593"/>
      <c r="AC27" s="593"/>
      <c r="AD27" s="521"/>
    </row>
    <row r="28" spans="1:30" ht="15.75" customHeight="1">
      <c r="A28" s="5"/>
      <c r="B28" s="633"/>
      <c r="C28" s="633"/>
      <c r="D28" s="7"/>
      <c r="E28" s="7"/>
      <c r="F28" s="207"/>
      <c r="G28" s="5"/>
      <c r="H28" s="5"/>
      <c r="I28" s="4"/>
      <c r="J28" s="4"/>
      <c r="K28" s="4"/>
      <c r="L28" s="4"/>
      <c r="M28" s="4"/>
      <c r="N28" s="4"/>
      <c r="O28" s="4"/>
      <c r="P28" s="4"/>
      <c r="Q28" s="4"/>
      <c r="S28" s="157"/>
      <c r="T28" s="157"/>
      <c r="U28" s="157"/>
      <c r="V28" s="157"/>
      <c r="W28" s="157"/>
      <c r="X28" s="157"/>
      <c r="Y28" s="157"/>
      <c r="Z28" s="348"/>
      <c r="AA28" s="157"/>
      <c r="AB28" s="157"/>
      <c r="AC28" s="157"/>
      <c r="AD28" s="157"/>
    </row>
    <row r="29" spans="1:30" ht="15.75" customHeight="1">
      <c r="A29" s="5"/>
      <c r="C29" s="5"/>
      <c r="D29" s="7"/>
      <c r="E29" s="7"/>
      <c r="F29" s="207"/>
      <c r="G29" s="5"/>
      <c r="H29" s="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AC29" s="75"/>
      <c r="AD29" s="75"/>
    </row>
    <row r="30" spans="1:30" ht="9.75" customHeight="1">
      <c r="A30" s="5"/>
      <c r="B30" s="633"/>
      <c r="C30" s="633"/>
      <c r="D30" s="7"/>
      <c r="E30" s="7"/>
      <c r="F30" s="207"/>
      <c r="G30" s="5"/>
      <c r="H30" s="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AB30" s="593"/>
      <c r="AC30" s="593"/>
      <c r="AD30" s="4"/>
    </row>
    <row r="31" spans="1:30" ht="15.75" customHeight="1">
      <c r="A31" s="5"/>
      <c r="B31" s="633"/>
      <c r="C31" s="633"/>
      <c r="D31" s="7"/>
      <c r="E31" s="7"/>
      <c r="F31" s="207"/>
      <c r="G31" s="5"/>
      <c r="H31" s="5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AB31" s="593"/>
      <c r="AC31" s="593"/>
      <c r="AD31" s="4"/>
    </row>
    <row r="32" spans="1:30" ht="15.75" customHeight="1">
      <c r="A32" s="5"/>
      <c r="B32" s="633"/>
      <c r="C32" s="633"/>
      <c r="D32" s="7"/>
      <c r="E32" s="7"/>
      <c r="F32" s="207"/>
      <c r="G32" s="5"/>
      <c r="H32" s="5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AB32" s="593"/>
      <c r="AC32" s="593"/>
      <c r="AD32" s="4"/>
    </row>
    <row r="33" spans="1:30" ht="15.75" customHeight="1">
      <c r="A33" s="592" t="s">
        <v>227</v>
      </c>
      <c r="B33" s="592"/>
      <c r="C33" s="592"/>
      <c r="D33" s="592"/>
      <c r="E33" s="592"/>
      <c r="F33" s="592"/>
      <c r="G33" s="592"/>
      <c r="H33" s="592"/>
      <c r="I33" s="592" t="s">
        <v>123</v>
      </c>
      <c r="J33" s="592"/>
      <c r="K33" s="592"/>
      <c r="L33" s="592"/>
      <c r="M33" s="592"/>
      <c r="N33" s="592"/>
      <c r="O33" s="592"/>
      <c r="P33" s="592"/>
      <c r="Q33" s="592"/>
      <c r="R33" s="592"/>
      <c r="S33" s="592" t="s">
        <v>120</v>
      </c>
      <c r="T33" s="592"/>
      <c r="U33" s="592"/>
      <c r="V33" s="592"/>
      <c r="W33" s="592"/>
      <c r="X33" s="592"/>
      <c r="Y33" s="592"/>
      <c r="Z33" s="592"/>
      <c r="AA33" s="592"/>
      <c r="AB33" s="592"/>
      <c r="AC33" s="592"/>
      <c r="AD33" s="8"/>
    </row>
    <row r="34" spans="1:30">
      <c r="A34" s="61"/>
      <c r="B34" s="63"/>
      <c r="C34" s="62"/>
      <c r="D34" s="164"/>
      <c r="E34" s="164"/>
      <c r="F34" s="208"/>
      <c r="G34" s="63"/>
      <c r="H34" s="63"/>
      <c r="I34" s="63"/>
      <c r="J34" s="51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349"/>
      <c r="AA34" s="63"/>
      <c r="AB34" s="639"/>
      <c r="AC34" s="639"/>
      <c r="AD34" s="51"/>
    </row>
    <row r="35" spans="1:30">
      <c r="B35" s="30"/>
      <c r="C35" s="19"/>
      <c r="G35" s="30"/>
      <c r="H35" s="30"/>
      <c r="AB35" s="594"/>
      <c r="AC35" s="594"/>
      <c r="AD35" s="45"/>
    </row>
    <row r="36" spans="1:30">
      <c r="A36" s="5"/>
      <c r="B36" s="633"/>
      <c r="C36" s="633"/>
      <c r="AB36" s="594"/>
      <c r="AC36" s="594"/>
      <c r="AD36" s="45"/>
    </row>
    <row r="37" spans="1:30">
      <c r="A37" s="5"/>
      <c r="B37" s="633"/>
      <c r="C37" s="633"/>
      <c r="AB37" s="594"/>
      <c r="AC37" s="594"/>
      <c r="AD37" s="45"/>
    </row>
    <row r="38" spans="1:30">
      <c r="A38" s="5"/>
      <c r="B38" s="633"/>
      <c r="C38" s="633"/>
      <c r="AB38" s="594"/>
      <c r="AC38" s="594"/>
      <c r="AD38" s="45"/>
    </row>
    <row r="39" spans="1:30">
      <c r="A39" s="5"/>
      <c r="B39" s="633"/>
      <c r="C39" s="633"/>
      <c r="AB39" s="594"/>
      <c r="AC39" s="594"/>
      <c r="AD39" s="45"/>
    </row>
    <row r="40" spans="1:30">
      <c r="A40" s="5"/>
      <c r="B40" s="633"/>
      <c r="C40" s="633"/>
      <c r="AB40" s="594"/>
      <c r="AC40" s="594"/>
      <c r="AD40" s="45"/>
    </row>
    <row r="41" spans="1:30">
      <c r="A41" s="5"/>
      <c r="B41" s="633"/>
      <c r="C41" s="633"/>
      <c r="AB41" s="594"/>
      <c r="AC41" s="594"/>
      <c r="AD41" s="45"/>
    </row>
    <row r="42" spans="1:30">
      <c r="A42" s="5"/>
      <c r="B42" s="633"/>
      <c r="C42" s="633"/>
      <c r="AB42" s="594"/>
      <c r="AC42" s="594"/>
      <c r="AD42" s="45"/>
    </row>
    <row r="43" spans="1:30">
      <c r="A43" s="5"/>
      <c r="B43" s="633"/>
      <c r="C43" s="633"/>
      <c r="AB43" s="594"/>
      <c r="AC43" s="594"/>
      <c r="AD43" s="45"/>
    </row>
    <row r="44" spans="1:30">
      <c r="A44" s="5"/>
      <c r="B44" s="633"/>
      <c r="C44" s="633"/>
      <c r="AB44" s="594"/>
      <c r="AC44" s="594"/>
      <c r="AD44" s="45"/>
    </row>
    <row r="45" spans="1:30">
      <c r="A45" s="5"/>
      <c r="B45" s="633"/>
      <c r="C45" s="633"/>
      <c r="AB45" s="594"/>
      <c r="AC45" s="594"/>
      <c r="AD45" s="45"/>
    </row>
    <row r="46" spans="1:30">
      <c r="A46" s="5"/>
      <c r="B46" s="633"/>
      <c r="C46" s="633"/>
      <c r="AB46" s="594"/>
      <c r="AC46" s="594"/>
      <c r="AD46" s="45"/>
    </row>
    <row r="47" spans="1:30">
      <c r="A47" s="5"/>
      <c r="B47" s="633"/>
      <c r="C47" s="633"/>
      <c r="AB47" s="594"/>
      <c r="AC47" s="594"/>
      <c r="AD47" s="45"/>
    </row>
    <row r="48" spans="1:30">
      <c r="A48" s="5"/>
      <c r="B48" s="633"/>
      <c r="C48" s="633"/>
      <c r="AB48" s="594"/>
      <c r="AC48" s="594"/>
      <c r="AD48" s="45"/>
    </row>
    <row r="49" spans="1:30">
      <c r="A49" s="5"/>
      <c r="B49" s="633"/>
      <c r="C49" s="633"/>
      <c r="AB49" s="594"/>
      <c r="AC49" s="594"/>
      <c r="AD49" s="45"/>
    </row>
    <row r="50" spans="1:30">
      <c r="A50" s="5"/>
      <c r="B50" s="633"/>
      <c r="C50" s="633"/>
      <c r="AB50" s="594"/>
      <c r="AC50" s="594"/>
      <c r="AD50" s="45"/>
    </row>
    <row r="51" spans="1:30">
      <c r="A51" s="5"/>
      <c r="B51" s="633"/>
      <c r="C51" s="633"/>
      <c r="AB51" s="594"/>
      <c r="AC51" s="594"/>
      <c r="AD51" s="45"/>
    </row>
    <row r="52" spans="1:30">
      <c r="A52" s="5"/>
      <c r="B52" s="633"/>
      <c r="C52" s="633"/>
      <c r="AB52" s="594"/>
      <c r="AC52" s="594"/>
      <c r="AD52" s="45"/>
    </row>
  </sheetData>
  <mergeCells count="90">
    <mergeCell ref="A4:AC4"/>
    <mergeCell ref="A1:H1"/>
    <mergeCell ref="A2:H2"/>
    <mergeCell ref="C3:D3"/>
    <mergeCell ref="Q3:AA3"/>
    <mergeCell ref="AB3:AC3"/>
    <mergeCell ref="A5:AC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I10:I11"/>
    <mergeCell ref="J10:J11"/>
    <mergeCell ref="K10:K11"/>
    <mergeCell ref="L10:L11"/>
    <mergeCell ref="M10:M11"/>
    <mergeCell ref="AD25:AD26"/>
    <mergeCell ref="A26:H26"/>
    <mergeCell ref="I26:R26"/>
    <mergeCell ref="S26:AC26"/>
    <mergeCell ref="Z10:Z11"/>
    <mergeCell ref="AA10:AA11"/>
    <mergeCell ref="AB10:AC11"/>
    <mergeCell ref="AB12:AC12"/>
    <mergeCell ref="B21:C21"/>
    <mergeCell ref="N10:N11"/>
    <mergeCell ref="O10:O11"/>
    <mergeCell ref="P10:P11"/>
    <mergeCell ref="Q10:U10"/>
    <mergeCell ref="V10:W10"/>
    <mergeCell ref="X10:Y10"/>
    <mergeCell ref="H10:H11"/>
    <mergeCell ref="B31:C31"/>
    <mergeCell ref="AB31:AC31"/>
    <mergeCell ref="B23:C23"/>
    <mergeCell ref="B24:C24"/>
    <mergeCell ref="AB24:AC24"/>
    <mergeCell ref="B25:C25"/>
    <mergeCell ref="S25:AC25"/>
    <mergeCell ref="B27:C27"/>
    <mergeCell ref="AB27:AC27"/>
    <mergeCell ref="B28:C28"/>
    <mergeCell ref="B30:C30"/>
    <mergeCell ref="AB30:AC30"/>
    <mergeCell ref="B38:C38"/>
    <mergeCell ref="AB38:AC38"/>
    <mergeCell ref="B32:C32"/>
    <mergeCell ref="AB32:AC32"/>
    <mergeCell ref="A33:H33"/>
    <mergeCell ref="I33:R33"/>
    <mergeCell ref="S33:AC33"/>
    <mergeCell ref="AB34:AC34"/>
    <mergeCell ref="AB35:AC35"/>
    <mergeCell ref="B36:C36"/>
    <mergeCell ref="AB36:AC36"/>
    <mergeCell ref="B37:C37"/>
    <mergeCell ref="AB37:AC37"/>
    <mergeCell ref="B39:C39"/>
    <mergeCell ref="AB39:AC39"/>
    <mergeCell ref="B40:C40"/>
    <mergeCell ref="AB40:AC40"/>
    <mergeCell ref="B41:C41"/>
    <mergeCell ref="AB41:AC41"/>
    <mergeCell ref="B42:C42"/>
    <mergeCell ref="AB42:AC42"/>
    <mergeCell ref="B43:C43"/>
    <mergeCell ref="AB43:AC43"/>
    <mergeCell ref="B44:C44"/>
    <mergeCell ref="AB44:AC44"/>
    <mergeCell ref="B52:C52"/>
    <mergeCell ref="AB52:AC52"/>
    <mergeCell ref="B50:C50"/>
    <mergeCell ref="AB50:AC50"/>
    <mergeCell ref="B45:C45"/>
    <mergeCell ref="AB45:AC45"/>
    <mergeCell ref="B46:C46"/>
    <mergeCell ref="AB46:AC46"/>
    <mergeCell ref="B51:C51"/>
    <mergeCell ref="B47:C47"/>
    <mergeCell ref="AB47:AC47"/>
    <mergeCell ref="B48:C48"/>
    <mergeCell ref="AB48:AC48"/>
    <mergeCell ref="AB51:AC51"/>
    <mergeCell ref="B49:C49"/>
    <mergeCell ref="AB49:AC49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3.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9.75" style="44" customWidth="1"/>
    <col min="25" max="25" width="6.125" style="44" hidden="1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591" t="s">
        <v>79</v>
      </c>
      <c r="B1" s="591"/>
      <c r="C1" s="591"/>
      <c r="D1" s="591"/>
      <c r="E1" s="591"/>
      <c r="F1" s="591"/>
      <c r="G1" s="591"/>
      <c r="H1" s="591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592" t="s">
        <v>186</v>
      </c>
      <c r="B2" s="592"/>
      <c r="C2" s="592"/>
      <c r="D2" s="592"/>
      <c r="E2" s="592"/>
      <c r="F2" s="592"/>
      <c r="G2" s="592"/>
      <c r="H2" s="592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593"/>
      <c r="D3" s="593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45"/>
      <c r="AD3" s="4"/>
      <c r="AE3" s="593"/>
      <c r="AF3" s="593"/>
      <c r="AG3" s="595"/>
      <c r="AH3" s="595"/>
    </row>
    <row r="4" spans="1:37" ht="22.5" customHeight="1">
      <c r="A4" s="596" t="s">
        <v>165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596"/>
      <c r="M4" s="596"/>
      <c r="N4" s="596"/>
      <c r="O4" s="596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596" t="s">
        <v>354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596"/>
      <c r="O5" s="596"/>
      <c r="P5" s="596"/>
      <c r="Q5" s="596"/>
      <c r="R5" s="596"/>
      <c r="S5" s="596"/>
      <c r="T5" s="596"/>
      <c r="U5" s="596"/>
      <c r="V5" s="596"/>
      <c r="W5" s="596"/>
      <c r="X5" s="596"/>
      <c r="Y5" s="596"/>
      <c r="Z5" s="596"/>
      <c r="AA5" s="596"/>
      <c r="AB5" s="596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597"/>
      <c r="E6" s="597"/>
      <c r="F6" s="597"/>
      <c r="G6" s="597"/>
      <c r="H6" s="597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597"/>
      <c r="E7" s="597"/>
      <c r="F7" s="597"/>
      <c r="G7" s="597"/>
      <c r="H7" s="59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598"/>
      <c r="E8" s="598"/>
      <c r="F8" s="598"/>
      <c r="G8" s="598"/>
      <c r="H8" s="59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599" t="s">
        <v>2</v>
      </c>
      <c r="B10" s="599" t="s">
        <v>3</v>
      </c>
      <c r="C10" s="599"/>
      <c r="D10" s="600" t="s">
        <v>51</v>
      </c>
      <c r="E10" s="601" t="s">
        <v>237</v>
      </c>
      <c r="F10" s="603" t="s">
        <v>15</v>
      </c>
      <c r="G10" s="605" t="s">
        <v>130</v>
      </c>
      <c r="H10" s="601" t="s">
        <v>153</v>
      </c>
      <c r="I10" s="607" t="s">
        <v>180</v>
      </c>
      <c r="J10" s="607" t="s">
        <v>268</v>
      </c>
      <c r="K10" s="607" t="s">
        <v>269</v>
      </c>
      <c r="L10" s="607" t="s">
        <v>170</v>
      </c>
      <c r="M10" s="609"/>
      <c r="N10" s="601" t="s">
        <v>148</v>
      </c>
      <c r="O10" s="601" t="s">
        <v>149</v>
      </c>
      <c r="P10" s="605" t="s">
        <v>150</v>
      </c>
      <c r="Q10" s="611" t="s">
        <v>67</v>
      </c>
      <c r="R10" s="612"/>
      <c r="S10" s="612"/>
      <c r="T10" s="612"/>
      <c r="U10" s="613"/>
      <c r="V10" s="614" t="s">
        <v>168</v>
      </c>
      <c r="W10" s="615"/>
      <c r="X10" s="618" t="s">
        <v>274</v>
      </c>
      <c r="Y10" s="258"/>
      <c r="Z10" s="605" t="s">
        <v>154</v>
      </c>
      <c r="AA10" s="618" t="s">
        <v>5</v>
      </c>
      <c r="AB10" s="619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22"/>
      <c r="AJ10" s="87"/>
      <c r="AK10" s="79"/>
    </row>
    <row r="11" spans="1:37" s="43" customFormat="1" ht="41.25" customHeight="1">
      <c r="A11" s="599"/>
      <c r="B11" s="599"/>
      <c r="C11" s="599"/>
      <c r="D11" s="600"/>
      <c r="E11" s="602"/>
      <c r="F11" s="604"/>
      <c r="G11" s="606"/>
      <c r="H11" s="602"/>
      <c r="I11" s="608"/>
      <c r="J11" s="608"/>
      <c r="K11" s="608"/>
      <c r="L11" s="608"/>
      <c r="M11" s="610"/>
      <c r="N11" s="602"/>
      <c r="O11" s="602"/>
      <c r="P11" s="606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620"/>
      <c r="Y11" s="259"/>
      <c r="Z11" s="606"/>
      <c r="AA11" s="620"/>
      <c r="AB11" s="621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22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273</v>
      </c>
      <c r="AA12" s="623" t="s">
        <v>172</v>
      </c>
      <c r="AB12" s="624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231" customFormat="1" ht="30" customHeight="1">
      <c r="A13" s="238" t="s">
        <v>32</v>
      </c>
      <c r="B13" s="239" t="s">
        <v>256</v>
      </c>
      <c r="C13" s="240"/>
      <c r="D13" s="241" t="s">
        <v>257</v>
      </c>
      <c r="E13" s="242"/>
      <c r="F13" s="243"/>
      <c r="G13" s="244" t="s">
        <v>247</v>
      </c>
      <c r="H13" s="245">
        <v>6</v>
      </c>
      <c r="I13" s="246">
        <v>6036046</v>
      </c>
      <c r="J13" s="247"/>
      <c r="K13" s="246"/>
      <c r="L13" s="246">
        <f>ROUND(I13+K13,0)</f>
        <v>6036046</v>
      </c>
      <c r="M13" s="246"/>
      <c r="N13" s="246">
        <f>L13/24*M13</f>
        <v>0</v>
      </c>
      <c r="O13" s="246"/>
      <c r="P13" s="246">
        <f>L13-N13+O13</f>
        <v>6036046</v>
      </c>
      <c r="Q13" s="246">
        <f>L13*8%</f>
        <v>482883.68</v>
      </c>
      <c r="R13" s="248">
        <f>L13*1.5%</f>
        <v>90540.69</v>
      </c>
      <c r="S13" s="246">
        <f>L13*1%</f>
        <v>60360.46</v>
      </c>
      <c r="T13" s="248"/>
      <c r="U13" s="248">
        <f>SUM(Q13:T13)</f>
        <v>633784.82999999996</v>
      </c>
      <c r="V13" s="248"/>
      <c r="W13" s="249"/>
      <c r="X13" s="249">
        <v>852000</v>
      </c>
      <c r="Y13" s="249"/>
      <c r="Z13" s="248">
        <f>P13-U13+W13+X13</f>
        <v>6254261.1699999999</v>
      </c>
      <c r="AA13" s="250"/>
      <c r="AB13" s="251"/>
      <c r="AC13" s="102"/>
      <c r="AD13" s="109"/>
      <c r="AE13" s="110"/>
      <c r="AF13" s="110"/>
      <c r="AG13" s="110"/>
      <c r="AH13" s="110"/>
      <c r="AI13" s="109"/>
      <c r="AJ13" s="111"/>
    </row>
    <row r="14" spans="1:37" ht="23.25" customHeight="1">
      <c r="A14" s="88"/>
      <c r="B14" s="629" t="s">
        <v>11</v>
      </c>
      <c r="C14" s="630"/>
      <c r="D14" s="161"/>
      <c r="E14" s="161"/>
      <c r="F14" s="82"/>
      <c r="G14" s="82"/>
      <c r="H14" s="89">
        <f>SUM(H13:H13)</f>
        <v>6</v>
      </c>
      <c r="I14" s="80">
        <f>SUM(I13:I13)</f>
        <v>6036046</v>
      </c>
      <c r="J14" s="153">
        <f>SUM(J13:J13)</f>
        <v>0</v>
      </c>
      <c r="K14" s="80">
        <f>SUM(K13:K13)</f>
        <v>0</v>
      </c>
      <c r="L14" s="80">
        <f>SUM(L13:L13)</f>
        <v>6036046</v>
      </c>
      <c r="M14" s="80"/>
      <c r="N14" s="80">
        <f t="shared" ref="N14:Y14" si="0">SUM(N13:N13)</f>
        <v>0</v>
      </c>
      <c r="O14" s="80">
        <f t="shared" si="0"/>
        <v>0</v>
      </c>
      <c r="P14" s="80">
        <f t="shared" si="0"/>
        <v>6036046</v>
      </c>
      <c r="Q14" s="80">
        <f t="shared" si="0"/>
        <v>482883.68</v>
      </c>
      <c r="R14" s="80">
        <f t="shared" si="0"/>
        <v>90540.69</v>
      </c>
      <c r="S14" s="80">
        <f t="shared" si="0"/>
        <v>60360.46</v>
      </c>
      <c r="T14" s="153">
        <f t="shared" si="0"/>
        <v>0</v>
      </c>
      <c r="U14" s="80">
        <f t="shared" si="0"/>
        <v>633784.82999999996</v>
      </c>
      <c r="V14" s="93">
        <f t="shared" si="0"/>
        <v>0</v>
      </c>
      <c r="W14" s="80">
        <f t="shared" si="0"/>
        <v>0</v>
      </c>
      <c r="X14" s="80">
        <f t="shared" si="0"/>
        <v>852000</v>
      </c>
      <c r="Y14" s="80">
        <f t="shared" si="0"/>
        <v>0</v>
      </c>
      <c r="Z14" s="80">
        <f>SUM(Z13:Z13)</f>
        <v>6254261.1699999999</v>
      </c>
      <c r="AA14" s="90"/>
      <c r="AB14" s="91"/>
      <c r="AC14" s="92"/>
      <c r="AD14" s="71" t="s">
        <v>77</v>
      </c>
      <c r="AE14" s="60"/>
      <c r="AF14" s="60"/>
      <c r="AG14" s="42"/>
      <c r="AH14" s="42"/>
      <c r="AI14" s="42"/>
      <c r="AJ14" s="58"/>
      <c r="AK14" s="42"/>
    </row>
    <row r="15" spans="1:37" ht="6.75" customHeight="1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 ht="18" customHeight="1">
      <c r="A16" s="5"/>
      <c r="B16" s="631" t="s">
        <v>12</v>
      </c>
      <c r="C16" s="631"/>
      <c r="D16" s="17" t="s">
        <v>331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31"/>
      <c r="C17" s="631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97"/>
      <c r="AB17" s="597"/>
      <c r="AC17" s="50"/>
      <c r="AD17" s="632" t="e">
        <f>1000000-#REF!</f>
        <v>#REF!</v>
      </c>
      <c r="AE17" s="633"/>
      <c r="AF17" s="633"/>
    </row>
    <row r="18" spans="1:38" ht="15.75" customHeight="1">
      <c r="A18" s="5"/>
      <c r="B18" s="633"/>
      <c r="C18" s="633"/>
      <c r="D18" s="7"/>
      <c r="E18" s="7"/>
      <c r="F18" s="207"/>
      <c r="G18" s="5"/>
      <c r="H18" s="5"/>
      <c r="S18" s="634" t="s">
        <v>355</v>
      </c>
      <c r="T18" s="634"/>
      <c r="U18" s="634"/>
      <c r="V18" s="634"/>
      <c r="W18" s="634"/>
      <c r="X18" s="634"/>
      <c r="Y18" s="634"/>
      <c r="Z18" s="634"/>
      <c r="AA18" s="634"/>
      <c r="AB18" s="634"/>
      <c r="AC18" s="635"/>
      <c r="AD18" s="633"/>
      <c r="AE18" s="633"/>
      <c r="AF18" s="633"/>
    </row>
    <row r="19" spans="1:38" ht="15.75" customHeight="1">
      <c r="A19" s="592" t="s">
        <v>13</v>
      </c>
      <c r="B19" s="592"/>
      <c r="C19" s="592"/>
      <c r="D19" s="592"/>
      <c r="E19" s="592"/>
      <c r="F19" s="592"/>
      <c r="G19" s="592"/>
      <c r="H19" s="592"/>
      <c r="I19" s="592" t="s">
        <v>183</v>
      </c>
      <c r="J19" s="592"/>
      <c r="K19" s="592"/>
      <c r="L19" s="592"/>
      <c r="M19" s="592"/>
      <c r="N19" s="592"/>
      <c r="O19" s="592"/>
      <c r="P19" s="592"/>
      <c r="Q19" s="592"/>
      <c r="R19" s="592"/>
      <c r="S19" s="637" t="s">
        <v>14</v>
      </c>
      <c r="T19" s="637"/>
      <c r="U19" s="637"/>
      <c r="V19" s="637"/>
      <c r="W19" s="637"/>
      <c r="X19" s="637"/>
      <c r="Y19" s="637"/>
      <c r="Z19" s="637"/>
      <c r="AA19" s="637"/>
      <c r="AB19" s="637"/>
      <c r="AC19" s="636"/>
      <c r="AD19" s="638"/>
      <c r="AE19" s="638"/>
      <c r="AF19" s="638"/>
    </row>
    <row r="20" spans="1:38" ht="15.75" customHeight="1">
      <c r="A20" s="5"/>
      <c r="B20" s="593"/>
      <c r="C20" s="593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593"/>
      <c r="AB20" s="593"/>
      <c r="AC20" s="4"/>
      <c r="AD20" s="633"/>
      <c r="AE20" s="633"/>
      <c r="AF20" s="633"/>
    </row>
    <row r="21" spans="1:38" ht="15.75" customHeight="1">
      <c r="A21" s="5"/>
      <c r="B21" s="633"/>
      <c r="C21" s="633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 t="s">
        <v>181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33"/>
      <c r="C23" s="633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93"/>
      <c r="AB23" s="593"/>
      <c r="AC23" s="4"/>
      <c r="AD23" s="632"/>
      <c r="AE23" s="633"/>
      <c r="AF23" s="633"/>
    </row>
    <row r="24" spans="1:38" ht="15.75" customHeight="1">
      <c r="A24" s="5"/>
      <c r="B24" s="633"/>
      <c r="C24" s="633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93"/>
      <c r="AB24" s="593"/>
      <c r="AC24" s="4"/>
      <c r="AD24" s="632"/>
      <c r="AE24" s="633"/>
      <c r="AF24" s="633"/>
    </row>
    <row r="25" spans="1:38" ht="15.75" customHeight="1">
      <c r="A25" s="5"/>
      <c r="B25" s="633"/>
      <c r="C25" s="633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93"/>
      <c r="AB25" s="593"/>
      <c r="AC25" s="4"/>
      <c r="AD25" s="632"/>
      <c r="AE25" s="633"/>
      <c r="AF25" s="633"/>
    </row>
    <row r="26" spans="1:38" ht="15.75" customHeight="1">
      <c r="A26" s="592" t="s">
        <v>227</v>
      </c>
      <c r="B26" s="592"/>
      <c r="C26" s="592"/>
      <c r="D26" s="592"/>
      <c r="E26" s="592"/>
      <c r="F26" s="592"/>
      <c r="G26" s="592"/>
      <c r="H26" s="592"/>
      <c r="I26" s="592" t="s">
        <v>123</v>
      </c>
      <c r="J26" s="592"/>
      <c r="K26" s="592"/>
      <c r="L26" s="592"/>
      <c r="M26" s="592"/>
      <c r="N26" s="592"/>
      <c r="O26" s="592"/>
      <c r="P26" s="592"/>
      <c r="Q26" s="592"/>
      <c r="R26" s="592"/>
      <c r="S26" s="592" t="s">
        <v>120</v>
      </c>
      <c r="T26" s="592"/>
      <c r="U26" s="592"/>
      <c r="V26" s="592"/>
      <c r="W26" s="592"/>
      <c r="X26" s="592"/>
      <c r="Y26" s="592"/>
      <c r="Z26" s="592"/>
      <c r="AA26" s="592"/>
      <c r="AB26" s="592"/>
      <c r="AC26" s="8"/>
      <c r="AD26" s="638"/>
      <c r="AE26" s="638"/>
      <c r="AF26" s="638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9"/>
      <c r="AB27" s="639"/>
      <c r="AC27" s="51"/>
      <c r="AD27" s="632"/>
      <c r="AE27" s="633"/>
      <c r="AF27" s="633"/>
    </row>
    <row r="28" spans="1:38">
      <c r="B28" s="30"/>
      <c r="C28" s="19"/>
      <c r="G28" s="30"/>
      <c r="H28" s="30"/>
      <c r="AA28" s="594"/>
      <c r="AB28" s="594"/>
      <c r="AC28" s="45"/>
      <c r="AD28" s="633"/>
      <c r="AE28" s="633"/>
      <c r="AF28" s="633"/>
    </row>
    <row r="29" spans="1:38">
      <c r="A29" s="5"/>
      <c r="B29" s="633"/>
      <c r="C29" s="633"/>
      <c r="AA29" s="594"/>
      <c r="AB29" s="594"/>
      <c r="AC29" s="45"/>
      <c r="AD29" s="633"/>
      <c r="AE29" s="633"/>
      <c r="AF29" s="633"/>
    </row>
    <row r="30" spans="1:38">
      <c r="A30" s="5"/>
      <c r="B30" s="633"/>
      <c r="C30" s="633"/>
      <c r="AA30" s="594"/>
      <c r="AB30" s="594"/>
      <c r="AC30" s="45"/>
      <c r="AD30" s="633"/>
      <c r="AE30" s="633"/>
      <c r="AF30" s="633"/>
    </row>
    <row r="31" spans="1:38">
      <c r="A31" s="5"/>
      <c r="B31" s="633"/>
      <c r="C31" s="633"/>
      <c r="AA31" s="594"/>
      <c r="AB31" s="594"/>
      <c r="AC31" s="45"/>
      <c r="AD31" s="633"/>
      <c r="AE31" s="633"/>
      <c r="AF31" s="633"/>
    </row>
    <row r="32" spans="1:38">
      <c r="A32" s="5"/>
      <c r="B32" s="633"/>
      <c r="C32" s="633"/>
      <c r="AA32" s="594"/>
      <c r="AB32" s="594"/>
      <c r="AC32" s="45"/>
      <c r="AD32" s="633"/>
      <c r="AE32" s="633"/>
      <c r="AF32" s="633"/>
    </row>
    <row r="33" spans="1:32">
      <c r="A33" s="5"/>
      <c r="B33" s="633"/>
      <c r="C33" s="633"/>
      <c r="AA33" s="594"/>
      <c r="AB33" s="594"/>
      <c r="AC33" s="45"/>
      <c r="AD33" s="633"/>
      <c r="AE33" s="633"/>
      <c r="AF33" s="633"/>
    </row>
    <row r="34" spans="1:32">
      <c r="A34" s="5"/>
      <c r="B34" s="633"/>
      <c r="C34" s="633"/>
      <c r="AA34" s="594"/>
      <c r="AB34" s="594"/>
      <c r="AC34" s="45"/>
      <c r="AD34" s="633"/>
      <c r="AE34" s="633"/>
      <c r="AF34" s="633"/>
    </row>
    <row r="35" spans="1:32">
      <c r="A35" s="5"/>
      <c r="B35" s="633"/>
      <c r="C35" s="633"/>
      <c r="AA35" s="594"/>
      <c r="AB35" s="594"/>
      <c r="AC35" s="45"/>
      <c r="AD35" s="633"/>
      <c r="AE35" s="633"/>
      <c r="AF35" s="633"/>
    </row>
    <row r="36" spans="1:32">
      <c r="A36" s="5"/>
      <c r="B36" s="633"/>
      <c r="C36" s="633"/>
      <c r="AA36" s="594"/>
      <c r="AB36" s="594"/>
      <c r="AC36" s="45"/>
      <c r="AD36" s="633"/>
      <c r="AE36" s="633"/>
      <c r="AF36" s="633"/>
    </row>
    <row r="37" spans="1:32">
      <c r="A37" s="5"/>
      <c r="B37" s="633"/>
      <c r="C37" s="633"/>
      <c r="AA37" s="594"/>
      <c r="AB37" s="594"/>
      <c r="AC37" s="45"/>
      <c r="AD37" s="633"/>
      <c r="AE37" s="633"/>
      <c r="AF37" s="633"/>
    </row>
    <row r="38" spans="1:32">
      <c r="A38" s="5"/>
      <c r="B38" s="633"/>
      <c r="C38" s="633"/>
      <c r="AA38" s="594"/>
      <c r="AB38" s="594"/>
      <c r="AC38" s="45"/>
      <c r="AD38" s="633"/>
      <c r="AE38" s="633"/>
      <c r="AF38" s="633"/>
    </row>
    <row r="39" spans="1:32">
      <c r="A39" s="5"/>
      <c r="B39" s="633"/>
      <c r="C39" s="633"/>
      <c r="AA39" s="594"/>
      <c r="AB39" s="594"/>
      <c r="AC39" s="45"/>
      <c r="AD39" s="633"/>
      <c r="AE39" s="633"/>
      <c r="AF39" s="633"/>
    </row>
    <row r="40" spans="1:32">
      <c r="A40" s="5"/>
      <c r="B40" s="633"/>
      <c r="C40" s="633"/>
      <c r="AA40" s="594"/>
      <c r="AB40" s="594"/>
      <c r="AC40" s="45"/>
      <c r="AD40" s="633"/>
      <c r="AE40" s="633"/>
      <c r="AF40" s="633"/>
    </row>
    <row r="41" spans="1:32">
      <c r="A41" s="5"/>
      <c r="B41" s="633"/>
      <c r="C41" s="633"/>
      <c r="AA41" s="594"/>
      <c r="AB41" s="594"/>
      <c r="AC41" s="45"/>
      <c r="AD41" s="633"/>
      <c r="AE41" s="633"/>
      <c r="AF41" s="633"/>
    </row>
    <row r="42" spans="1:32">
      <c r="A42" s="5"/>
      <c r="B42" s="633"/>
      <c r="C42" s="633"/>
      <c r="AA42" s="594"/>
      <c r="AB42" s="594"/>
      <c r="AC42" s="45"/>
      <c r="AD42" s="633"/>
      <c r="AE42" s="633"/>
      <c r="AF42" s="633"/>
    </row>
    <row r="43" spans="1:32">
      <c r="A43" s="5"/>
      <c r="B43" s="633"/>
      <c r="C43" s="633"/>
      <c r="AA43" s="594"/>
      <c r="AB43" s="594"/>
      <c r="AC43" s="45"/>
      <c r="AD43" s="633"/>
      <c r="AE43" s="633"/>
      <c r="AF43" s="633"/>
    </row>
    <row r="44" spans="1:32">
      <c r="A44" s="5"/>
      <c r="B44" s="633"/>
      <c r="C44" s="633"/>
      <c r="AA44" s="594"/>
      <c r="AB44" s="594"/>
      <c r="AC44" s="45"/>
      <c r="AD44" s="633"/>
      <c r="AE44" s="633"/>
      <c r="AF44" s="633"/>
    </row>
    <row r="45" spans="1:32">
      <c r="A45" s="5"/>
      <c r="B45" s="633"/>
      <c r="C45" s="633"/>
      <c r="AA45" s="594"/>
      <c r="AB45" s="594"/>
      <c r="AC45" s="45"/>
      <c r="AD45" s="633"/>
      <c r="AE45" s="633"/>
      <c r="AF45" s="633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M99"/>
  <sheetViews>
    <sheetView tabSelected="1" topLeftCell="A29" zoomScaleNormal="100" workbookViewId="0">
      <selection activeCell="I41" sqref="I41"/>
    </sheetView>
  </sheetViews>
  <sheetFormatPr defaultRowHeight="15"/>
  <cols>
    <col min="1" max="1" width="3.375" style="16" customWidth="1"/>
    <col min="2" max="2" width="16.2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11.75" style="44" customWidth="1"/>
    <col min="10" max="10" width="5.875" style="45" hidden="1" customWidth="1"/>
    <col min="11" max="11" width="10.375" style="44" customWidth="1"/>
    <col min="12" max="12" width="11.75" style="44" customWidth="1"/>
    <col min="13" max="13" width="1.875" style="44" hidden="1" customWidth="1"/>
    <col min="14" max="14" width="9.125" style="44" customWidth="1"/>
    <col min="15" max="15" width="6.5" style="44" customWidth="1"/>
    <col min="16" max="16" width="11.375" style="44" customWidth="1"/>
    <col min="17" max="17" width="10.75" style="44" customWidth="1"/>
    <col min="18" max="18" width="10" style="44" customWidth="1"/>
    <col min="19" max="19" width="10.5" style="44" customWidth="1"/>
    <col min="20" max="20" width="5.875" style="44" customWidth="1"/>
    <col min="21" max="21" width="11.125" style="44" customWidth="1"/>
    <col min="22" max="22" width="4.75" style="44" customWidth="1"/>
    <col min="23" max="23" width="5.125" style="44" customWidth="1"/>
    <col min="24" max="24" width="4.375" style="44" customWidth="1"/>
    <col min="25" max="25" width="5.25" style="44" customWidth="1"/>
    <col min="26" max="26" width="7.75" style="357" bestFit="1" customWidth="1"/>
    <col min="27" max="27" width="12.5" style="44" customWidth="1"/>
    <col min="28" max="28" width="2.5" style="44" customWidth="1"/>
    <col min="29" max="29" width="12.25" style="6" customWidth="1"/>
    <col min="30" max="30" width="20.25" style="6" customWidth="1"/>
    <col min="31" max="33" width="9" style="42"/>
    <col min="34" max="34" width="18.75" style="42" customWidth="1"/>
    <col min="35" max="36" width="9" style="42"/>
    <col min="37" max="37" width="9" style="58"/>
    <col min="38" max="39" width="9" style="42"/>
    <col min="40" max="16384" width="9" style="16"/>
  </cols>
  <sheetData>
    <row r="1" spans="1:39" ht="16.5">
      <c r="A1" s="591" t="s">
        <v>79</v>
      </c>
      <c r="B1" s="591"/>
      <c r="C1" s="591"/>
      <c r="D1" s="591"/>
      <c r="E1" s="591"/>
      <c r="F1" s="591"/>
      <c r="G1" s="591"/>
      <c r="H1" s="591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428"/>
      <c r="AF1" s="428"/>
      <c r="AG1" s="428"/>
      <c r="AH1" s="428"/>
      <c r="AI1" s="429"/>
    </row>
    <row r="2" spans="1:39" ht="16.5">
      <c r="A2" s="592" t="s">
        <v>186</v>
      </c>
      <c r="B2" s="592"/>
      <c r="C2" s="592"/>
      <c r="D2" s="592"/>
      <c r="E2" s="592"/>
      <c r="F2" s="592"/>
      <c r="G2" s="592"/>
      <c r="H2" s="592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430"/>
      <c r="AF2" s="430"/>
      <c r="AG2" s="430"/>
      <c r="AH2" s="430"/>
      <c r="AI2" s="429"/>
    </row>
    <row r="3" spans="1:39" ht="3.75" customHeight="1">
      <c r="A3" s="4"/>
      <c r="B3" s="45"/>
      <c r="C3" s="593"/>
      <c r="D3" s="593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45"/>
      <c r="AE3" s="431"/>
      <c r="AF3" s="657"/>
      <c r="AG3" s="657"/>
      <c r="AH3" s="656"/>
      <c r="AI3" s="656"/>
    </row>
    <row r="4" spans="1:39" ht="22.5" customHeight="1">
      <c r="A4" s="596" t="s">
        <v>191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596"/>
      <c r="M4" s="596"/>
      <c r="N4" s="596"/>
      <c r="O4" s="596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72"/>
      <c r="AE4" s="428"/>
      <c r="AF4" s="428"/>
      <c r="AG4" s="428">
        <f>2.67*1150000*0.65</f>
        <v>1995825</v>
      </c>
      <c r="AH4" s="428"/>
      <c r="AI4" s="429"/>
    </row>
    <row r="5" spans="1:39" ht="22.5" customHeight="1">
      <c r="A5" s="596" t="s">
        <v>430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596"/>
      <c r="O5" s="596"/>
      <c r="P5" s="596"/>
      <c r="Q5" s="596"/>
      <c r="R5" s="596"/>
      <c r="S5" s="596"/>
      <c r="T5" s="596"/>
      <c r="U5" s="596"/>
      <c r="V5" s="596"/>
      <c r="W5" s="596"/>
      <c r="X5" s="596"/>
      <c r="Y5" s="596"/>
      <c r="Z5" s="596"/>
      <c r="AA5" s="596"/>
      <c r="AB5" s="596"/>
      <c r="AC5" s="596"/>
      <c r="AD5" s="72"/>
      <c r="AE5" s="428"/>
      <c r="AF5" s="428"/>
      <c r="AG5" s="428"/>
      <c r="AH5" s="428"/>
      <c r="AI5" s="429"/>
    </row>
    <row r="6" spans="1:39" ht="18" customHeight="1">
      <c r="A6" s="8"/>
      <c r="B6" s="50"/>
      <c r="C6" s="8" t="s">
        <v>87</v>
      </c>
      <c r="D6" s="597"/>
      <c r="E6" s="597"/>
      <c r="F6" s="597"/>
      <c r="G6" s="597"/>
      <c r="H6" s="597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428" t="s">
        <v>17</v>
      </c>
      <c r="AF6" s="428"/>
      <c r="AG6" s="428">
        <f>3*1150000</f>
        <v>3450000</v>
      </c>
      <c r="AH6" s="428">
        <f>2.67*1150000</f>
        <v>3070500</v>
      </c>
      <c r="AI6" s="428"/>
    </row>
    <row r="7" spans="1:39">
      <c r="A7" s="8"/>
      <c r="B7" s="146">
        <v>1490000</v>
      </c>
      <c r="C7" s="77">
        <v>1150000</v>
      </c>
      <c r="D7" s="597"/>
      <c r="E7" s="597"/>
      <c r="F7" s="597"/>
      <c r="G7" s="597"/>
      <c r="H7" s="59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428"/>
      <c r="AF7" s="428"/>
      <c r="AG7" s="428">
        <f>AG6*10.5%</f>
        <v>362250</v>
      </c>
      <c r="AH7" s="428">
        <f>AH6*10.5%</f>
        <v>322402.5</v>
      </c>
      <c r="AI7" s="428"/>
    </row>
    <row r="8" spans="1:39">
      <c r="A8" s="8"/>
      <c r="B8" s="50"/>
      <c r="C8" s="8"/>
      <c r="D8" s="598"/>
      <c r="E8" s="598"/>
      <c r="F8" s="598"/>
      <c r="G8" s="598"/>
      <c r="H8" s="59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428"/>
      <c r="AF8" s="428"/>
      <c r="AG8" s="42">
        <f>AG6-AG7</f>
        <v>3087750</v>
      </c>
      <c r="AH8" s="42">
        <f>AH6-AH7</f>
        <v>2748097.5</v>
      </c>
      <c r="AK8" s="432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428"/>
      <c r="AF9" s="428"/>
      <c r="AG9" s="42">
        <f>AG6*0.65</f>
        <v>2242500</v>
      </c>
      <c r="AH9" s="42">
        <f>AH6*0.65</f>
        <v>1995825</v>
      </c>
      <c r="AK9" s="432"/>
    </row>
    <row r="10" spans="1:39" s="43" customFormat="1" ht="27.75" customHeight="1">
      <c r="A10" s="599" t="s">
        <v>2</v>
      </c>
      <c r="B10" s="599" t="s">
        <v>3</v>
      </c>
      <c r="C10" s="599"/>
      <c r="D10" s="600" t="s">
        <v>51</v>
      </c>
      <c r="E10" s="601" t="s">
        <v>237</v>
      </c>
      <c r="F10" s="603" t="s">
        <v>15</v>
      </c>
      <c r="G10" s="605" t="s">
        <v>130</v>
      </c>
      <c r="H10" s="601" t="s">
        <v>272</v>
      </c>
      <c r="I10" s="607" t="s">
        <v>180</v>
      </c>
      <c r="J10" s="607" t="s">
        <v>268</v>
      </c>
      <c r="K10" s="607" t="s">
        <v>269</v>
      </c>
      <c r="L10" s="607" t="s">
        <v>170</v>
      </c>
      <c r="M10" s="609"/>
      <c r="N10" s="601" t="s">
        <v>148</v>
      </c>
      <c r="O10" s="601" t="s">
        <v>149</v>
      </c>
      <c r="P10" s="605" t="s">
        <v>150</v>
      </c>
      <c r="Q10" s="611" t="s">
        <v>67</v>
      </c>
      <c r="R10" s="612"/>
      <c r="S10" s="612"/>
      <c r="T10" s="612"/>
      <c r="U10" s="613"/>
      <c r="V10" s="614" t="s">
        <v>168</v>
      </c>
      <c r="W10" s="615"/>
      <c r="X10" s="614" t="s">
        <v>169</v>
      </c>
      <c r="Y10" s="615"/>
      <c r="Z10" s="616" t="s">
        <v>274</v>
      </c>
      <c r="AA10" s="605" t="s">
        <v>154</v>
      </c>
      <c r="AB10" s="618" t="s">
        <v>5</v>
      </c>
      <c r="AC10" s="619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22"/>
      <c r="AK10" s="87"/>
      <c r="AL10" s="79"/>
      <c r="AM10" s="79"/>
    </row>
    <row r="11" spans="1:39" s="43" customFormat="1" ht="41.25" customHeight="1">
      <c r="A11" s="599"/>
      <c r="B11" s="599"/>
      <c r="C11" s="599"/>
      <c r="D11" s="600"/>
      <c r="E11" s="602"/>
      <c r="F11" s="604"/>
      <c r="G11" s="606"/>
      <c r="H11" s="602"/>
      <c r="I11" s="608"/>
      <c r="J11" s="608"/>
      <c r="K11" s="608"/>
      <c r="L11" s="608"/>
      <c r="M11" s="610"/>
      <c r="N11" s="602"/>
      <c r="O11" s="602"/>
      <c r="P11" s="606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17"/>
      <c r="AA11" s="606"/>
      <c r="AB11" s="620"/>
      <c r="AC11" s="621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22"/>
      <c r="AK11" s="87"/>
      <c r="AL11" s="79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7" t="s">
        <v>362</v>
      </c>
      <c r="AA12" s="254" t="s">
        <v>363</v>
      </c>
      <c r="AB12" s="623" t="s">
        <v>172</v>
      </c>
      <c r="AC12" s="624"/>
      <c r="AD12" s="84"/>
      <c r="AE12" s="147"/>
      <c r="AF12" s="86"/>
      <c r="AG12" s="86"/>
      <c r="AH12" s="86"/>
      <c r="AI12" s="86"/>
      <c r="AJ12" s="141"/>
      <c r="AK12" s="87"/>
      <c r="AL12" s="79"/>
      <c r="AM12" s="79"/>
    </row>
    <row r="13" spans="1:39" s="366" customFormat="1" ht="29.25" customHeight="1">
      <c r="A13" s="129" t="s">
        <v>32</v>
      </c>
      <c r="B13" s="480" t="s">
        <v>192</v>
      </c>
      <c r="C13" s="130"/>
      <c r="D13" s="229" t="s">
        <v>55</v>
      </c>
      <c r="E13" s="369" t="s">
        <v>240</v>
      </c>
      <c r="F13" s="313" t="s">
        <v>206</v>
      </c>
      <c r="G13" s="457" t="s">
        <v>248</v>
      </c>
      <c r="H13" s="458">
        <v>3</v>
      </c>
      <c r="I13" s="459">
        <v>5159700</v>
      </c>
      <c r="J13" s="460"/>
      <c r="K13" s="459"/>
      <c r="L13" s="459">
        <f t="shared" ref="L13:L66" si="0">ROUND(I13+K13,0)</f>
        <v>5159700</v>
      </c>
      <c r="M13" s="459"/>
      <c r="N13" s="459">
        <f t="shared" ref="N13:N66" si="1">L13/24*M13</f>
        <v>0</v>
      </c>
      <c r="O13" s="459"/>
      <c r="P13" s="459">
        <f t="shared" ref="P13:P66" si="2">L13-N13+O13</f>
        <v>5159700</v>
      </c>
      <c r="Q13" s="459">
        <f>L13*8%</f>
        <v>412776</v>
      </c>
      <c r="R13" s="461">
        <f>L13*1.5%</f>
        <v>77395.5</v>
      </c>
      <c r="S13" s="459">
        <f>L13*1%</f>
        <v>51597</v>
      </c>
      <c r="T13" s="461"/>
      <c r="U13" s="461">
        <f t="shared" ref="U13:U66" si="3">SUM(Q13:T13)</f>
        <v>541768.5</v>
      </c>
      <c r="V13" s="461"/>
      <c r="W13" s="461"/>
      <c r="X13" s="462"/>
      <c r="Y13" s="461"/>
      <c r="Z13" s="461"/>
      <c r="AA13" s="483">
        <f t="shared" ref="AA13:AA66" si="4">P13-U13+W13+Y13+Z13</f>
        <v>4617931.5</v>
      </c>
      <c r="AB13" s="133" t="str">
        <f t="shared" ref="AB13:AB35" si="5">A13</f>
        <v>01</v>
      </c>
      <c r="AC13" s="371"/>
      <c r="AD13" s="102" t="s">
        <v>233</v>
      </c>
      <c r="AE13" s="433"/>
      <c r="AF13" s="434"/>
      <c r="AG13" s="435"/>
      <c r="AH13" s="435"/>
      <c r="AI13" s="435"/>
      <c r="AJ13" s="435"/>
      <c r="AK13" s="436"/>
      <c r="AL13" s="435"/>
      <c r="AM13" s="435"/>
    </row>
    <row r="14" spans="1:39" s="366" customFormat="1" ht="30.75" customHeight="1">
      <c r="A14" s="202" t="s">
        <v>33</v>
      </c>
      <c r="B14" s="481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463" t="s">
        <v>248</v>
      </c>
      <c r="H14" s="464">
        <v>9</v>
      </c>
      <c r="I14" s="465">
        <v>6914491</v>
      </c>
      <c r="J14" s="466"/>
      <c r="K14" s="465"/>
      <c r="L14" s="465">
        <f t="shared" si="0"/>
        <v>6914491</v>
      </c>
      <c r="M14" s="465"/>
      <c r="N14" s="465">
        <f t="shared" si="1"/>
        <v>0</v>
      </c>
      <c r="O14" s="465"/>
      <c r="P14" s="465">
        <f t="shared" si="2"/>
        <v>6914491</v>
      </c>
      <c r="Q14" s="465">
        <f>L14*8%</f>
        <v>553159.28</v>
      </c>
      <c r="R14" s="467">
        <f>L14*1.5%</f>
        <v>103717.36499999999</v>
      </c>
      <c r="S14" s="465">
        <f>L14*1%</f>
        <v>69144.91</v>
      </c>
      <c r="T14" s="467"/>
      <c r="U14" s="467">
        <f t="shared" si="3"/>
        <v>726021.55500000005</v>
      </c>
      <c r="V14" s="467"/>
      <c r="W14" s="467"/>
      <c r="X14" s="468"/>
      <c r="Y14" s="467"/>
      <c r="Z14" s="467"/>
      <c r="AA14" s="473">
        <f t="shared" si="4"/>
        <v>6188469.4450000003</v>
      </c>
      <c r="AB14" s="101" t="str">
        <f t="shared" si="5"/>
        <v>02</v>
      </c>
      <c r="AC14" s="102"/>
      <c r="AD14" s="365"/>
      <c r="AE14" s="436"/>
      <c r="AF14" s="435"/>
      <c r="AG14" s="435"/>
      <c r="AH14" s="435"/>
      <c r="AI14" s="435"/>
      <c r="AJ14" s="435"/>
      <c r="AK14" s="436"/>
      <c r="AL14" s="435"/>
      <c r="AM14" s="435"/>
    </row>
    <row r="15" spans="1:39" s="529" customFormat="1" ht="30" customHeight="1">
      <c r="A15" s="202" t="s">
        <v>34</v>
      </c>
      <c r="B15" s="481" t="s">
        <v>245</v>
      </c>
      <c r="C15" s="159"/>
      <c r="D15" s="112" t="s">
        <v>55</v>
      </c>
      <c r="E15" s="228"/>
      <c r="F15" s="223"/>
      <c r="G15" s="463" t="s">
        <v>244</v>
      </c>
      <c r="H15" s="464">
        <v>3</v>
      </c>
      <c r="I15" s="465">
        <v>6134525</v>
      </c>
      <c r="J15" s="466"/>
      <c r="K15" s="465"/>
      <c r="L15" s="465">
        <f t="shared" si="0"/>
        <v>6134525</v>
      </c>
      <c r="M15" s="465"/>
      <c r="N15" s="465">
        <f t="shared" si="1"/>
        <v>0</v>
      </c>
      <c r="O15" s="465"/>
      <c r="P15" s="465">
        <f t="shared" si="2"/>
        <v>6134525</v>
      </c>
      <c r="Q15" s="465"/>
      <c r="R15" s="467"/>
      <c r="S15" s="465"/>
      <c r="T15" s="467"/>
      <c r="U15" s="467">
        <f t="shared" si="3"/>
        <v>0</v>
      </c>
      <c r="V15" s="467"/>
      <c r="W15" s="467"/>
      <c r="X15" s="467"/>
      <c r="Y15" s="467"/>
      <c r="Z15" s="467"/>
      <c r="AA15" s="473">
        <f t="shared" si="4"/>
        <v>6134525</v>
      </c>
      <c r="AB15" s="101" t="str">
        <f t="shared" si="5"/>
        <v>03</v>
      </c>
      <c r="AC15" s="118"/>
      <c r="AD15" s="372"/>
      <c r="AE15" s="232"/>
      <c r="AF15" s="232"/>
      <c r="AG15" s="110"/>
      <c r="AH15" s="110"/>
      <c r="AK15" s="111"/>
    </row>
    <row r="16" spans="1:39" s="524" customFormat="1" ht="35.450000000000003" customHeight="1">
      <c r="A16" s="202" t="s">
        <v>35</v>
      </c>
      <c r="B16" s="481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463" t="s">
        <v>248</v>
      </c>
      <c r="H16" s="464">
        <v>11</v>
      </c>
      <c r="I16" s="465">
        <v>7623227</v>
      </c>
      <c r="J16" s="466"/>
      <c r="K16" s="465"/>
      <c r="L16" s="465">
        <f t="shared" si="0"/>
        <v>7623227</v>
      </c>
      <c r="M16" s="465"/>
      <c r="N16" s="465">
        <f t="shared" si="1"/>
        <v>0</v>
      </c>
      <c r="O16" s="465"/>
      <c r="P16" s="465">
        <f t="shared" si="2"/>
        <v>7623227</v>
      </c>
      <c r="Q16" s="465">
        <f t="shared" ref="Q16:Q37" si="6">L16*8%</f>
        <v>609858.16</v>
      </c>
      <c r="R16" s="467">
        <f t="shared" ref="R16:R65" si="7">L16*1.5%</f>
        <v>114348.405</v>
      </c>
      <c r="S16" s="465">
        <f t="shared" ref="S16:S65" si="8">L16*1%</f>
        <v>76232.27</v>
      </c>
      <c r="T16" s="467"/>
      <c r="U16" s="467">
        <f t="shared" si="3"/>
        <v>800438.83500000008</v>
      </c>
      <c r="V16" s="467"/>
      <c r="W16" s="467"/>
      <c r="X16" s="468"/>
      <c r="Y16" s="467"/>
      <c r="Z16" s="467"/>
      <c r="AA16" s="473">
        <f t="shared" si="4"/>
        <v>6822788.165</v>
      </c>
      <c r="AB16" s="101" t="str">
        <f t="shared" si="5"/>
        <v>04</v>
      </c>
      <c r="AC16" s="102"/>
      <c r="AD16" s="523"/>
      <c r="AE16" s="523"/>
      <c r="AK16" s="523"/>
    </row>
    <row r="17" spans="1:39" s="366" customFormat="1" ht="30" customHeight="1">
      <c r="A17" s="202" t="s">
        <v>36</v>
      </c>
      <c r="B17" s="481" t="s">
        <v>308</v>
      </c>
      <c r="C17" s="95"/>
      <c r="D17" s="112" t="s">
        <v>55</v>
      </c>
      <c r="E17" s="228"/>
      <c r="F17" s="223"/>
      <c r="G17" s="463" t="s">
        <v>244</v>
      </c>
      <c r="H17" s="464">
        <v>1</v>
      </c>
      <c r="I17" s="465">
        <v>5358132</v>
      </c>
      <c r="J17" s="466"/>
      <c r="K17" s="465"/>
      <c r="L17" s="465">
        <f t="shared" si="0"/>
        <v>5358132</v>
      </c>
      <c r="M17" s="465"/>
      <c r="N17" s="465">
        <f t="shared" si="1"/>
        <v>0</v>
      </c>
      <c r="O17" s="465"/>
      <c r="P17" s="465">
        <f t="shared" si="2"/>
        <v>5358132</v>
      </c>
      <c r="Q17" s="465">
        <f t="shared" si="6"/>
        <v>428650.56</v>
      </c>
      <c r="R17" s="467">
        <f t="shared" si="7"/>
        <v>80371.98</v>
      </c>
      <c r="S17" s="465">
        <f t="shared" si="8"/>
        <v>53581.32</v>
      </c>
      <c r="T17" s="467"/>
      <c r="U17" s="467">
        <f t="shared" si="3"/>
        <v>562603.86</v>
      </c>
      <c r="V17" s="467"/>
      <c r="W17" s="469"/>
      <c r="X17" s="469"/>
      <c r="Y17" s="469"/>
      <c r="Z17" s="469"/>
      <c r="AA17" s="473">
        <f t="shared" si="4"/>
        <v>4795528.1399999997</v>
      </c>
      <c r="AB17" s="101" t="str">
        <f t="shared" si="5"/>
        <v>05</v>
      </c>
      <c r="AC17" s="255"/>
      <c r="AD17" s="255" t="s">
        <v>310</v>
      </c>
      <c r="AE17" s="438"/>
      <c r="AF17" s="439"/>
      <c r="AG17" s="435"/>
      <c r="AH17" s="435"/>
      <c r="AI17" s="435"/>
      <c r="AJ17" s="435"/>
      <c r="AK17" s="436"/>
      <c r="AL17" s="435"/>
      <c r="AM17" s="435"/>
    </row>
    <row r="18" spans="1:39" s="562" customFormat="1" ht="30" customHeight="1">
      <c r="A18" s="202" t="s">
        <v>37</v>
      </c>
      <c r="B18" s="527" t="s">
        <v>413</v>
      </c>
      <c r="C18" s="95"/>
      <c r="D18" s="112" t="s">
        <v>55</v>
      </c>
      <c r="E18" s="228"/>
      <c r="F18" s="223"/>
      <c r="G18" s="463" t="s">
        <v>248</v>
      </c>
      <c r="H18" s="464">
        <v>1</v>
      </c>
      <c r="I18" s="465">
        <v>4680000</v>
      </c>
      <c r="J18" s="466"/>
      <c r="K18" s="465"/>
      <c r="L18" s="465">
        <f t="shared" si="0"/>
        <v>4680000</v>
      </c>
      <c r="M18" s="465"/>
      <c r="N18" s="465">
        <f t="shared" si="1"/>
        <v>0</v>
      </c>
      <c r="O18" s="465"/>
      <c r="P18" s="465">
        <f t="shared" si="2"/>
        <v>4680000</v>
      </c>
      <c r="Q18" s="465">
        <f t="shared" si="6"/>
        <v>374400</v>
      </c>
      <c r="R18" s="467">
        <f t="shared" si="7"/>
        <v>70200</v>
      </c>
      <c r="S18" s="465">
        <f t="shared" si="8"/>
        <v>46800</v>
      </c>
      <c r="T18" s="467"/>
      <c r="U18" s="467">
        <f t="shared" si="3"/>
        <v>491400</v>
      </c>
      <c r="V18" s="467"/>
      <c r="W18" s="469"/>
      <c r="X18" s="469"/>
      <c r="Y18" s="469"/>
      <c r="Z18" s="469"/>
      <c r="AA18" s="473">
        <f t="shared" si="4"/>
        <v>4188600</v>
      </c>
      <c r="AB18" s="101"/>
      <c r="AC18" s="255" t="s">
        <v>418</v>
      </c>
      <c r="AD18" s="255" t="s">
        <v>418</v>
      </c>
      <c r="AE18" s="117"/>
      <c r="AF18" s="144"/>
      <c r="AK18" s="561"/>
    </row>
    <row r="19" spans="1:39" s="562" customFormat="1" ht="30" customHeight="1">
      <c r="A19" s="202" t="s">
        <v>38</v>
      </c>
      <c r="B19" s="560" t="s">
        <v>423</v>
      </c>
      <c r="C19" s="413"/>
      <c r="D19" s="403" t="s">
        <v>55</v>
      </c>
      <c r="E19" s="404"/>
      <c r="F19" s="405"/>
      <c r="G19" s="545" t="s">
        <v>248</v>
      </c>
      <c r="H19" s="546">
        <v>1</v>
      </c>
      <c r="I19" s="547">
        <v>4680000</v>
      </c>
      <c r="J19" s="548"/>
      <c r="K19" s="547"/>
      <c r="L19" s="547">
        <f t="shared" si="0"/>
        <v>4680000</v>
      </c>
      <c r="M19" s="547"/>
      <c r="N19" s="547">
        <f t="shared" si="1"/>
        <v>0</v>
      </c>
      <c r="O19" s="547"/>
      <c r="P19" s="547">
        <f t="shared" si="2"/>
        <v>4680000</v>
      </c>
      <c r="Q19" s="547">
        <f t="shared" si="6"/>
        <v>374400</v>
      </c>
      <c r="R19" s="549">
        <f t="shared" si="7"/>
        <v>70200</v>
      </c>
      <c r="S19" s="547">
        <f t="shared" si="8"/>
        <v>46800</v>
      </c>
      <c r="T19" s="549"/>
      <c r="U19" s="549">
        <f t="shared" si="3"/>
        <v>491400</v>
      </c>
      <c r="V19" s="549"/>
      <c r="W19" s="551"/>
      <c r="X19" s="551"/>
      <c r="Y19" s="551"/>
      <c r="Z19" s="551"/>
      <c r="AA19" s="550">
        <f t="shared" si="4"/>
        <v>4188600</v>
      </c>
      <c r="AB19" s="411"/>
      <c r="AC19" s="415" t="s">
        <v>422</v>
      </c>
      <c r="AD19" s="255"/>
      <c r="AE19" s="438"/>
      <c r="AF19" s="439"/>
      <c r="AG19" s="563"/>
      <c r="AH19" s="563"/>
      <c r="AI19" s="563"/>
      <c r="AJ19" s="563"/>
      <c r="AK19" s="436"/>
      <c r="AL19" s="563"/>
      <c r="AM19" s="563"/>
    </row>
    <row r="20" spans="1:39" s="526" customFormat="1" ht="42.75" customHeight="1">
      <c r="A20" s="202" t="s">
        <v>39</v>
      </c>
      <c r="B20" s="481" t="s">
        <v>320</v>
      </c>
      <c r="C20" s="95"/>
      <c r="D20" s="112" t="s">
        <v>411</v>
      </c>
      <c r="E20" s="227" t="s">
        <v>337</v>
      </c>
      <c r="F20" s="336" t="s">
        <v>338</v>
      </c>
      <c r="G20" s="463" t="s">
        <v>244</v>
      </c>
      <c r="H20" s="464">
        <v>1</v>
      </c>
      <c r="I20" s="465">
        <v>5358132</v>
      </c>
      <c r="J20" s="466"/>
      <c r="K20" s="465"/>
      <c r="L20" s="465">
        <f t="shared" si="0"/>
        <v>5358132</v>
      </c>
      <c r="M20" s="465"/>
      <c r="N20" s="465">
        <f t="shared" si="1"/>
        <v>0</v>
      </c>
      <c r="O20" s="465"/>
      <c r="P20" s="465">
        <f t="shared" si="2"/>
        <v>5358132</v>
      </c>
      <c r="Q20" s="465">
        <f t="shared" si="6"/>
        <v>428650.56</v>
      </c>
      <c r="R20" s="467">
        <f t="shared" si="7"/>
        <v>80371.98</v>
      </c>
      <c r="S20" s="465">
        <f t="shared" si="8"/>
        <v>53581.32</v>
      </c>
      <c r="T20" s="467"/>
      <c r="U20" s="467">
        <f t="shared" si="3"/>
        <v>562603.86</v>
      </c>
      <c r="V20" s="467"/>
      <c r="W20" s="469"/>
      <c r="X20" s="469"/>
      <c r="Y20" s="469"/>
      <c r="Z20" s="469"/>
      <c r="AA20" s="473">
        <f t="shared" si="4"/>
        <v>4795528.1399999997</v>
      </c>
      <c r="AB20" s="101" t="str">
        <f t="shared" si="5"/>
        <v>08</v>
      </c>
      <c r="AC20" s="255"/>
      <c r="AD20" s="255" t="s">
        <v>322</v>
      </c>
      <c r="AE20" s="117"/>
      <c r="AF20" s="144"/>
      <c r="AK20" s="525"/>
    </row>
    <row r="21" spans="1:39" s="554" customFormat="1" ht="31.5" customHeight="1">
      <c r="A21" s="202" t="s">
        <v>40</v>
      </c>
      <c r="B21" s="481" t="s">
        <v>345</v>
      </c>
      <c r="C21" s="95"/>
      <c r="D21" s="112" t="s">
        <v>55</v>
      </c>
      <c r="E21" s="228"/>
      <c r="F21" s="223"/>
      <c r="G21" s="463" t="s">
        <v>247</v>
      </c>
      <c r="H21" s="464">
        <v>12</v>
      </c>
      <c r="I21" s="465">
        <v>8564695</v>
      </c>
      <c r="J21" s="472">
        <v>0.05</v>
      </c>
      <c r="K21" s="465">
        <f>I21*J21</f>
        <v>428234.75</v>
      </c>
      <c r="L21" s="465">
        <f t="shared" si="0"/>
        <v>8992930</v>
      </c>
      <c r="M21" s="465"/>
      <c r="N21" s="465">
        <f t="shared" si="1"/>
        <v>0</v>
      </c>
      <c r="O21" s="465"/>
      <c r="P21" s="465">
        <f t="shared" si="2"/>
        <v>8992930</v>
      </c>
      <c r="Q21" s="465">
        <f t="shared" si="6"/>
        <v>719434.4</v>
      </c>
      <c r="R21" s="467">
        <f t="shared" si="7"/>
        <v>134893.94999999998</v>
      </c>
      <c r="S21" s="465">
        <f t="shared" si="8"/>
        <v>89929.3</v>
      </c>
      <c r="T21" s="467"/>
      <c r="U21" s="467">
        <f t="shared" si="3"/>
        <v>944257.65</v>
      </c>
      <c r="V21" s="467"/>
      <c r="W21" s="467"/>
      <c r="X21" s="468"/>
      <c r="Y21" s="467"/>
      <c r="Z21" s="467"/>
      <c r="AA21" s="473">
        <f t="shared" si="4"/>
        <v>8048672.3499999996</v>
      </c>
      <c r="AB21" s="101" t="str">
        <f t="shared" si="5"/>
        <v>09</v>
      </c>
      <c r="AC21" s="102"/>
      <c r="AD21" s="102"/>
      <c r="AE21" s="120"/>
      <c r="AF21" s="116"/>
      <c r="AK21" s="553"/>
    </row>
    <row r="22" spans="1:39" s="104" customFormat="1" ht="35.450000000000003" customHeight="1">
      <c r="A22" s="202" t="s">
        <v>24</v>
      </c>
      <c r="B22" s="481" t="s">
        <v>346</v>
      </c>
      <c r="C22" s="95"/>
      <c r="D22" s="112" t="s">
        <v>347</v>
      </c>
      <c r="E22" s="228"/>
      <c r="F22" s="209"/>
      <c r="G22" s="463" t="s">
        <v>244</v>
      </c>
      <c r="H22" s="464">
        <v>6</v>
      </c>
      <c r="I22" s="465">
        <v>7515057</v>
      </c>
      <c r="J22" s="466"/>
      <c r="K22" s="465"/>
      <c r="L22" s="465">
        <f t="shared" si="0"/>
        <v>7515057</v>
      </c>
      <c r="M22" s="465"/>
      <c r="N22" s="465">
        <f t="shared" si="1"/>
        <v>0</v>
      </c>
      <c r="O22" s="465"/>
      <c r="P22" s="465">
        <f t="shared" si="2"/>
        <v>7515057</v>
      </c>
      <c r="Q22" s="465">
        <f t="shared" si="6"/>
        <v>601204.56000000006</v>
      </c>
      <c r="R22" s="467">
        <f t="shared" si="7"/>
        <v>112725.855</v>
      </c>
      <c r="S22" s="465">
        <f t="shared" si="8"/>
        <v>75150.570000000007</v>
      </c>
      <c r="T22" s="467"/>
      <c r="U22" s="467">
        <f t="shared" si="3"/>
        <v>789080.9850000001</v>
      </c>
      <c r="V22" s="467"/>
      <c r="W22" s="467"/>
      <c r="X22" s="468"/>
      <c r="Y22" s="467"/>
      <c r="Z22" s="467"/>
      <c r="AA22" s="473">
        <f t="shared" si="4"/>
        <v>6725976.0149999997</v>
      </c>
      <c r="AB22" s="101" t="str">
        <f t="shared" si="5"/>
        <v>10</v>
      </c>
      <c r="AC22" s="102"/>
      <c r="AD22" s="102"/>
      <c r="AE22" s="120"/>
      <c r="AF22" s="116"/>
      <c r="AG22" s="529"/>
      <c r="AK22" s="105"/>
    </row>
    <row r="23" spans="1:39" s="104" customFormat="1" ht="28.5" customHeight="1">
      <c r="A23" s="202" t="s">
        <v>25</v>
      </c>
      <c r="B23" s="481" t="s">
        <v>136</v>
      </c>
      <c r="C23" s="95" t="s">
        <v>110</v>
      </c>
      <c r="D23" s="112" t="s">
        <v>121</v>
      </c>
      <c r="E23" s="227" t="s">
        <v>238</v>
      </c>
      <c r="F23" s="209" t="s">
        <v>209</v>
      </c>
      <c r="G23" s="470" t="s">
        <v>244</v>
      </c>
      <c r="H23" s="464">
        <v>5</v>
      </c>
      <c r="I23" s="465">
        <v>7023418</v>
      </c>
      <c r="J23" s="466"/>
      <c r="K23" s="465"/>
      <c r="L23" s="465">
        <f t="shared" si="0"/>
        <v>7023418</v>
      </c>
      <c r="M23" s="465"/>
      <c r="N23" s="465">
        <f t="shared" si="1"/>
        <v>0</v>
      </c>
      <c r="O23" s="465"/>
      <c r="P23" s="465">
        <f t="shared" si="2"/>
        <v>7023418</v>
      </c>
      <c r="Q23" s="465">
        <f t="shared" si="6"/>
        <v>561873.44000000006</v>
      </c>
      <c r="R23" s="467">
        <f t="shared" si="7"/>
        <v>105351.26999999999</v>
      </c>
      <c r="S23" s="465">
        <f t="shared" si="8"/>
        <v>70234.180000000008</v>
      </c>
      <c r="T23" s="467"/>
      <c r="U23" s="467">
        <f t="shared" si="3"/>
        <v>737458.89000000013</v>
      </c>
      <c r="V23" s="467"/>
      <c r="W23" s="467"/>
      <c r="X23" s="467"/>
      <c r="Y23" s="467"/>
      <c r="Z23" s="467"/>
      <c r="AA23" s="473">
        <f t="shared" si="4"/>
        <v>6285959.1099999994</v>
      </c>
      <c r="AB23" s="101" t="str">
        <f t="shared" si="5"/>
        <v>11</v>
      </c>
      <c r="AC23" s="102"/>
      <c r="AD23" s="102" t="s">
        <v>111</v>
      </c>
      <c r="AE23" s="102" t="s">
        <v>113</v>
      </c>
      <c r="AF23" s="110" t="e">
        <f>#REF!*2</f>
        <v>#REF!</v>
      </c>
      <c r="AG23" s="110"/>
      <c r="AH23" s="110"/>
      <c r="AK23" s="111"/>
    </row>
    <row r="24" spans="1:39" s="526" customFormat="1" ht="29.45" customHeight="1">
      <c r="A24" s="202" t="s">
        <v>26</v>
      </c>
      <c r="B24" s="482" t="s">
        <v>133</v>
      </c>
      <c r="C24" s="95" t="s">
        <v>6</v>
      </c>
      <c r="D24" s="112" t="s">
        <v>167</v>
      </c>
      <c r="E24" s="338" t="s">
        <v>236</v>
      </c>
      <c r="F24" s="223" t="s">
        <v>203</v>
      </c>
      <c r="G24" s="470" t="s">
        <v>247</v>
      </c>
      <c r="H24" s="471">
        <v>6</v>
      </c>
      <c r="I24" s="465">
        <v>6391108</v>
      </c>
      <c r="J24" s="466"/>
      <c r="K24" s="465"/>
      <c r="L24" s="465">
        <f t="shared" si="0"/>
        <v>6391108</v>
      </c>
      <c r="M24" s="465"/>
      <c r="N24" s="465">
        <f t="shared" si="1"/>
        <v>0</v>
      </c>
      <c r="O24" s="465"/>
      <c r="P24" s="465">
        <f t="shared" si="2"/>
        <v>6391108</v>
      </c>
      <c r="Q24" s="465">
        <f t="shared" si="6"/>
        <v>511288.64</v>
      </c>
      <c r="R24" s="467">
        <f t="shared" si="7"/>
        <v>95866.62</v>
      </c>
      <c r="S24" s="465">
        <f t="shared" si="8"/>
        <v>63911.08</v>
      </c>
      <c r="T24" s="467"/>
      <c r="U24" s="467">
        <f t="shared" si="3"/>
        <v>671066.34</v>
      </c>
      <c r="V24" s="467"/>
      <c r="W24" s="467"/>
      <c r="X24" s="467"/>
      <c r="Y24" s="467"/>
      <c r="Z24" s="467"/>
      <c r="AA24" s="473">
        <f t="shared" si="4"/>
        <v>5720041.6600000001</v>
      </c>
      <c r="AB24" s="101" t="str">
        <f t="shared" si="5"/>
        <v>12</v>
      </c>
      <c r="AC24" s="102"/>
      <c r="AD24" s="117">
        <f>3.33*1390000</f>
        <v>4628700</v>
      </c>
      <c r="AE24" s="625"/>
      <c r="AF24" s="626"/>
      <c r="AG24" s="626"/>
      <c r="AK24" s="119"/>
    </row>
    <row r="25" spans="1:39" s="529" customFormat="1" ht="29.45" customHeight="1">
      <c r="A25" s="202" t="s">
        <v>31</v>
      </c>
      <c r="B25" s="481" t="s">
        <v>140</v>
      </c>
      <c r="C25" s="95" t="s">
        <v>82</v>
      </c>
      <c r="D25" s="112" t="s">
        <v>69</v>
      </c>
      <c r="E25" s="228" t="str">
        <f>VLOOKUP(B25,[2]T3!$B$2:$D$328,3,FALSE)</f>
        <v>026050143</v>
      </c>
      <c r="F25" s="223" t="s">
        <v>218</v>
      </c>
      <c r="G25" s="470" t="s">
        <v>244</v>
      </c>
      <c r="H25" s="464">
        <v>7</v>
      </c>
      <c r="I25" s="465">
        <v>8041111</v>
      </c>
      <c r="J25" s="466"/>
      <c r="K25" s="465"/>
      <c r="L25" s="465">
        <f t="shared" si="0"/>
        <v>8041111</v>
      </c>
      <c r="M25" s="465"/>
      <c r="N25" s="465">
        <f t="shared" si="1"/>
        <v>0</v>
      </c>
      <c r="O25" s="465"/>
      <c r="P25" s="465">
        <f t="shared" si="2"/>
        <v>8041111</v>
      </c>
      <c r="Q25" s="465">
        <f t="shared" si="6"/>
        <v>643288.88</v>
      </c>
      <c r="R25" s="467">
        <f t="shared" si="7"/>
        <v>120616.66499999999</v>
      </c>
      <c r="S25" s="465">
        <f t="shared" si="8"/>
        <v>80411.11</v>
      </c>
      <c r="T25" s="467"/>
      <c r="U25" s="467">
        <f t="shared" si="3"/>
        <v>844316.65500000003</v>
      </c>
      <c r="V25" s="467"/>
      <c r="W25" s="467"/>
      <c r="X25" s="467"/>
      <c r="Y25" s="467"/>
      <c r="Z25" s="467"/>
      <c r="AA25" s="473">
        <f t="shared" si="4"/>
        <v>7196794.3449999997</v>
      </c>
      <c r="AB25" s="101" t="str">
        <f t="shared" si="5"/>
        <v>13</v>
      </c>
      <c r="AC25" s="102"/>
      <c r="AD25" s="134" t="s">
        <v>109</v>
      </c>
      <c r="AE25" s="117" t="e">
        <f>#REF!/24</f>
        <v>#REF!</v>
      </c>
      <c r="AK25" s="528"/>
    </row>
    <row r="26" spans="1:39" s="543" customFormat="1" ht="30" customHeight="1">
      <c r="A26" s="202" t="s">
        <v>27</v>
      </c>
      <c r="B26" s="482" t="s">
        <v>128</v>
      </c>
      <c r="C26" s="95" t="s">
        <v>125</v>
      </c>
      <c r="D26" s="112" t="s">
        <v>121</v>
      </c>
      <c r="E26" s="228" t="str">
        <f>VLOOKUP(B26,[2]T3!$B$2:$D$328,3,FALSE)</f>
        <v>025444854</v>
      </c>
      <c r="F26" s="223" t="s">
        <v>210</v>
      </c>
      <c r="G26" s="470" t="s">
        <v>247</v>
      </c>
      <c r="H26" s="464">
        <v>3</v>
      </c>
      <c r="I26" s="465">
        <v>5520879</v>
      </c>
      <c r="J26" s="466"/>
      <c r="K26" s="465"/>
      <c r="L26" s="465">
        <f t="shared" si="0"/>
        <v>5520879</v>
      </c>
      <c r="M26" s="465"/>
      <c r="N26" s="465">
        <f t="shared" si="1"/>
        <v>0</v>
      </c>
      <c r="O26" s="465"/>
      <c r="P26" s="465">
        <f t="shared" si="2"/>
        <v>5520879</v>
      </c>
      <c r="Q26" s="465">
        <f t="shared" si="6"/>
        <v>441670.32</v>
      </c>
      <c r="R26" s="467">
        <f t="shared" si="7"/>
        <v>82813.184999999998</v>
      </c>
      <c r="S26" s="465">
        <f t="shared" si="8"/>
        <v>55208.79</v>
      </c>
      <c r="T26" s="467"/>
      <c r="U26" s="467">
        <f t="shared" si="3"/>
        <v>579692.29500000004</v>
      </c>
      <c r="V26" s="467"/>
      <c r="W26" s="467"/>
      <c r="X26" s="467"/>
      <c r="Y26" s="467"/>
      <c r="Z26" s="467"/>
      <c r="AA26" s="473">
        <f t="shared" si="4"/>
        <v>4941186.7050000001</v>
      </c>
      <c r="AB26" s="101" t="str">
        <f t="shared" si="5"/>
        <v>14</v>
      </c>
      <c r="AC26" s="102"/>
      <c r="AD26" s="102" t="s">
        <v>126</v>
      </c>
      <c r="AE26" s="144"/>
      <c r="AF26" s="110"/>
      <c r="AG26" s="110"/>
      <c r="AH26" s="110"/>
      <c r="AK26" s="111"/>
    </row>
    <row r="27" spans="1:39" s="526" customFormat="1" ht="37.5" customHeight="1">
      <c r="A27" s="202" t="s">
        <v>28</v>
      </c>
      <c r="B27" s="481" t="s">
        <v>258</v>
      </c>
      <c r="C27" s="95"/>
      <c r="D27" s="112" t="s">
        <v>259</v>
      </c>
      <c r="E27" s="228"/>
      <c r="F27" s="223" t="str">
        <f>VLOOKUP(B27,[1]LuongBC_T01!$B$277:$C$292,2,FALSE)</f>
        <v>0016100006675004</v>
      </c>
      <c r="G27" s="470" t="s">
        <v>247</v>
      </c>
      <c r="H27" s="471">
        <v>5</v>
      </c>
      <c r="I27" s="465">
        <v>6086769</v>
      </c>
      <c r="J27" s="466"/>
      <c r="K27" s="465"/>
      <c r="L27" s="465">
        <f t="shared" si="0"/>
        <v>6086769</v>
      </c>
      <c r="M27" s="465"/>
      <c r="N27" s="465">
        <f t="shared" si="1"/>
        <v>0</v>
      </c>
      <c r="O27" s="465"/>
      <c r="P27" s="465">
        <f t="shared" si="2"/>
        <v>6086769</v>
      </c>
      <c r="Q27" s="465">
        <f t="shared" si="6"/>
        <v>486941.52</v>
      </c>
      <c r="R27" s="467">
        <f t="shared" si="7"/>
        <v>91301.535000000003</v>
      </c>
      <c r="S27" s="465">
        <f t="shared" si="8"/>
        <v>60867.69</v>
      </c>
      <c r="T27" s="467"/>
      <c r="U27" s="467">
        <f t="shared" si="3"/>
        <v>639110.74500000011</v>
      </c>
      <c r="V27" s="467"/>
      <c r="W27" s="469"/>
      <c r="X27" s="469"/>
      <c r="Y27" s="469"/>
      <c r="Z27" s="469"/>
      <c r="AA27" s="473">
        <f t="shared" si="4"/>
        <v>5447658.2549999999</v>
      </c>
      <c r="AB27" s="101" t="str">
        <f t="shared" si="5"/>
        <v>15</v>
      </c>
      <c r="AC27" s="102"/>
      <c r="AD27" s="102"/>
      <c r="AE27" s="109"/>
      <c r="AF27" s="110"/>
      <c r="AG27" s="110"/>
      <c r="AH27" s="110"/>
      <c r="AI27" s="110"/>
      <c r="AJ27" s="109"/>
      <c r="AK27" s="111"/>
    </row>
    <row r="28" spans="1:39" s="554" customFormat="1" ht="32.450000000000003" customHeight="1">
      <c r="A28" s="202" t="s">
        <v>29</v>
      </c>
      <c r="B28" s="481" t="s">
        <v>250</v>
      </c>
      <c r="C28" s="95"/>
      <c r="D28" s="112" t="s">
        <v>8</v>
      </c>
      <c r="E28" s="338"/>
      <c r="F28" s="223" t="str">
        <f>VLOOKUP(B28,[1]LuongBC_T01!$B$277:$C$292,2,FALSE)</f>
        <v>0016100006677007</v>
      </c>
      <c r="G28" s="470" t="s">
        <v>248</v>
      </c>
      <c r="H28" s="464">
        <v>12</v>
      </c>
      <c r="I28" s="465">
        <v>8004388</v>
      </c>
      <c r="J28" s="466"/>
      <c r="K28" s="465"/>
      <c r="L28" s="465">
        <f t="shared" si="0"/>
        <v>8004388</v>
      </c>
      <c r="M28" s="465"/>
      <c r="N28" s="465">
        <f t="shared" si="1"/>
        <v>0</v>
      </c>
      <c r="O28" s="465"/>
      <c r="P28" s="465">
        <f t="shared" si="2"/>
        <v>8004388</v>
      </c>
      <c r="Q28" s="465">
        <f t="shared" si="6"/>
        <v>640351.04</v>
      </c>
      <c r="R28" s="467">
        <f t="shared" si="7"/>
        <v>120065.81999999999</v>
      </c>
      <c r="S28" s="465">
        <f t="shared" si="8"/>
        <v>80043.88</v>
      </c>
      <c r="T28" s="467"/>
      <c r="U28" s="467">
        <f t="shared" si="3"/>
        <v>840460.74</v>
      </c>
      <c r="V28" s="468"/>
      <c r="W28" s="467"/>
      <c r="X28" s="467"/>
      <c r="Y28" s="467"/>
      <c r="Z28" s="467"/>
      <c r="AA28" s="473">
        <f t="shared" si="4"/>
        <v>7163927.2599999998</v>
      </c>
      <c r="AB28" s="101" t="str">
        <f t="shared" si="5"/>
        <v>16</v>
      </c>
      <c r="AC28" s="102"/>
      <c r="AD28" s="117"/>
      <c r="AE28" s="234"/>
      <c r="AF28" s="110"/>
      <c r="AG28" s="110"/>
      <c r="AI28" s="144"/>
      <c r="AK28" s="111"/>
    </row>
    <row r="29" spans="1:39" s="366" customFormat="1" ht="29.25" customHeight="1">
      <c r="A29" s="202" t="s">
        <v>30</v>
      </c>
      <c r="B29" s="481" t="s">
        <v>255</v>
      </c>
      <c r="C29" s="95"/>
      <c r="D29" s="112" t="s">
        <v>8</v>
      </c>
      <c r="E29" s="228"/>
      <c r="F29" s="223"/>
      <c r="G29" s="463" t="s">
        <v>248</v>
      </c>
      <c r="H29" s="464">
        <v>2</v>
      </c>
      <c r="I29" s="465">
        <v>4914000</v>
      </c>
      <c r="J29" s="466"/>
      <c r="K29" s="465"/>
      <c r="L29" s="465">
        <f t="shared" si="0"/>
        <v>4914000</v>
      </c>
      <c r="M29" s="465"/>
      <c r="N29" s="465">
        <f t="shared" si="1"/>
        <v>0</v>
      </c>
      <c r="O29" s="465"/>
      <c r="P29" s="465">
        <f t="shared" si="2"/>
        <v>4914000</v>
      </c>
      <c r="Q29" s="465">
        <f t="shared" si="6"/>
        <v>393120</v>
      </c>
      <c r="R29" s="467">
        <f t="shared" si="7"/>
        <v>73710</v>
      </c>
      <c r="S29" s="465">
        <f t="shared" si="8"/>
        <v>49140</v>
      </c>
      <c r="T29" s="467"/>
      <c r="U29" s="467">
        <f t="shared" si="3"/>
        <v>515970</v>
      </c>
      <c r="V29" s="467"/>
      <c r="W29" s="467"/>
      <c r="X29" s="468"/>
      <c r="Y29" s="467"/>
      <c r="Z29" s="467"/>
      <c r="AA29" s="473">
        <f t="shared" si="4"/>
        <v>4398030</v>
      </c>
      <c r="AB29" s="101" t="str">
        <f t="shared" si="5"/>
        <v>17</v>
      </c>
      <c r="AC29" s="102"/>
      <c r="AD29" s="102"/>
      <c r="AE29" s="433"/>
      <c r="AF29" s="434"/>
      <c r="AG29" s="435"/>
      <c r="AH29" s="544"/>
      <c r="AI29" s="435"/>
      <c r="AJ29" s="435"/>
      <c r="AK29" s="436"/>
      <c r="AL29" s="435"/>
      <c r="AM29" s="435"/>
    </row>
    <row r="30" spans="1:39" s="104" customFormat="1" ht="39" customHeight="1">
      <c r="A30" s="202" t="s">
        <v>89</v>
      </c>
      <c r="B30" s="481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470" t="s">
        <v>247</v>
      </c>
      <c r="H30" s="471">
        <v>5</v>
      </c>
      <c r="I30" s="465">
        <v>6086769</v>
      </c>
      <c r="J30" s="466"/>
      <c r="K30" s="465"/>
      <c r="L30" s="465">
        <f t="shared" si="0"/>
        <v>6086769</v>
      </c>
      <c r="M30" s="465"/>
      <c r="N30" s="465">
        <f t="shared" si="1"/>
        <v>0</v>
      </c>
      <c r="O30" s="465"/>
      <c r="P30" s="465">
        <f t="shared" si="2"/>
        <v>6086769</v>
      </c>
      <c r="Q30" s="465">
        <f t="shared" si="6"/>
        <v>486941.52</v>
      </c>
      <c r="R30" s="467">
        <f t="shared" si="7"/>
        <v>91301.535000000003</v>
      </c>
      <c r="S30" s="465">
        <f t="shared" si="8"/>
        <v>60867.69</v>
      </c>
      <c r="T30" s="467"/>
      <c r="U30" s="467">
        <f t="shared" si="3"/>
        <v>639110.74500000011</v>
      </c>
      <c r="V30" s="467"/>
      <c r="W30" s="467"/>
      <c r="X30" s="467"/>
      <c r="Y30" s="467"/>
      <c r="Z30" s="467"/>
      <c r="AA30" s="473">
        <f t="shared" si="4"/>
        <v>5447658.2549999999</v>
      </c>
      <c r="AB30" s="101" t="str">
        <f t="shared" si="5"/>
        <v>18</v>
      </c>
      <c r="AC30" s="102"/>
      <c r="AD30" s="135">
        <f>2.67-2.41</f>
        <v>0.25999999999999979</v>
      </c>
      <c r="AE30" s="106" t="s">
        <v>59</v>
      </c>
      <c r="AF30" s="136"/>
      <c r="AG30" s="137"/>
      <c r="AK30" s="111"/>
    </row>
    <row r="31" spans="1:39" s="104" customFormat="1" ht="39" customHeight="1">
      <c r="A31" s="202" t="s">
        <v>90</v>
      </c>
      <c r="B31" s="481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470" t="s">
        <v>247</v>
      </c>
      <c r="H31" s="464">
        <v>3</v>
      </c>
      <c r="I31" s="465">
        <v>5520879</v>
      </c>
      <c r="J31" s="466"/>
      <c r="K31" s="465"/>
      <c r="L31" s="465">
        <f t="shared" si="0"/>
        <v>5520879</v>
      </c>
      <c r="M31" s="465"/>
      <c r="N31" s="465">
        <f t="shared" si="1"/>
        <v>0</v>
      </c>
      <c r="O31" s="465"/>
      <c r="P31" s="465">
        <f t="shared" si="2"/>
        <v>5520879</v>
      </c>
      <c r="Q31" s="465">
        <f t="shared" si="6"/>
        <v>441670.32</v>
      </c>
      <c r="R31" s="467">
        <f t="shared" si="7"/>
        <v>82813.184999999998</v>
      </c>
      <c r="S31" s="465">
        <f t="shared" si="8"/>
        <v>55208.79</v>
      </c>
      <c r="T31" s="467"/>
      <c r="U31" s="467">
        <f t="shared" si="3"/>
        <v>579692.29500000004</v>
      </c>
      <c r="V31" s="467"/>
      <c r="W31" s="467"/>
      <c r="X31" s="467"/>
      <c r="Y31" s="467"/>
      <c r="Z31" s="467"/>
      <c r="AA31" s="473">
        <f t="shared" si="4"/>
        <v>4941186.7050000001</v>
      </c>
      <c r="AB31" s="101" t="str">
        <f t="shared" si="5"/>
        <v>19</v>
      </c>
      <c r="AC31" s="102"/>
      <c r="AD31" s="120" t="s">
        <v>86</v>
      </c>
      <c r="AE31" s="109"/>
      <c r="AF31" s="120" t="s">
        <v>112</v>
      </c>
      <c r="AG31" s="110"/>
      <c r="AH31" s="110"/>
      <c r="AK31" s="111"/>
    </row>
    <row r="32" spans="1:39" s="104" customFormat="1" ht="39" customHeight="1">
      <c r="A32" s="202" t="s">
        <v>91</v>
      </c>
      <c r="B32" s="481" t="s">
        <v>278</v>
      </c>
      <c r="C32" s="95"/>
      <c r="D32" s="112" t="s">
        <v>279</v>
      </c>
      <c r="E32" s="228"/>
      <c r="F32" s="223"/>
      <c r="G32" s="463" t="s">
        <v>248</v>
      </c>
      <c r="H32" s="464">
        <v>2</v>
      </c>
      <c r="I32" s="465">
        <v>4914000</v>
      </c>
      <c r="J32" s="466"/>
      <c r="K32" s="465"/>
      <c r="L32" s="465">
        <f t="shared" si="0"/>
        <v>4914000</v>
      </c>
      <c r="M32" s="465"/>
      <c r="N32" s="465">
        <f t="shared" si="1"/>
        <v>0</v>
      </c>
      <c r="O32" s="465"/>
      <c r="P32" s="465">
        <f t="shared" si="2"/>
        <v>4914000</v>
      </c>
      <c r="Q32" s="465">
        <f t="shared" si="6"/>
        <v>393120</v>
      </c>
      <c r="R32" s="467">
        <f t="shared" si="7"/>
        <v>73710</v>
      </c>
      <c r="S32" s="465">
        <f t="shared" si="8"/>
        <v>49140</v>
      </c>
      <c r="T32" s="467"/>
      <c r="U32" s="467">
        <f t="shared" si="3"/>
        <v>515970</v>
      </c>
      <c r="V32" s="467"/>
      <c r="W32" s="469"/>
      <c r="X32" s="469"/>
      <c r="Y32" s="469"/>
      <c r="Z32" s="469"/>
      <c r="AA32" s="473">
        <f t="shared" si="4"/>
        <v>4398030</v>
      </c>
      <c r="AB32" s="101" t="str">
        <f t="shared" si="5"/>
        <v>20</v>
      </c>
      <c r="AC32" s="255"/>
      <c r="AD32" s="255" t="s">
        <v>280</v>
      </c>
      <c r="AE32" s="438"/>
      <c r="AF32" s="439"/>
      <c r="AG32" s="435"/>
      <c r="AH32" s="42"/>
      <c r="AI32" s="42"/>
      <c r="AJ32" s="42"/>
      <c r="AK32" s="58"/>
      <c r="AL32" s="42"/>
      <c r="AM32" s="42"/>
    </row>
    <row r="33" spans="1:39" s="104" customFormat="1" ht="38.25" customHeight="1">
      <c r="A33" s="202" t="s">
        <v>92</v>
      </c>
      <c r="B33" s="481" t="s">
        <v>305</v>
      </c>
      <c r="C33" s="95"/>
      <c r="D33" s="112" t="s">
        <v>306</v>
      </c>
      <c r="E33" s="228"/>
      <c r="F33" s="223"/>
      <c r="G33" s="463" t="s">
        <v>248</v>
      </c>
      <c r="H33" s="464">
        <v>2</v>
      </c>
      <c r="I33" s="465">
        <v>4914000</v>
      </c>
      <c r="J33" s="466"/>
      <c r="K33" s="465"/>
      <c r="L33" s="465">
        <f t="shared" si="0"/>
        <v>4914000</v>
      </c>
      <c r="M33" s="465"/>
      <c r="N33" s="465">
        <f t="shared" si="1"/>
        <v>0</v>
      </c>
      <c r="O33" s="465"/>
      <c r="P33" s="465">
        <f t="shared" si="2"/>
        <v>4914000</v>
      </c>
      <c r="Q33" s="465">
        <f t="shared" si="6"/>
        <v>393120</v>
      </c>
      <c r="R33" s="467">
        <f t="shared" si="7"/>
        <v>73710</v>
      </c>
      <c r="S33" s="465">
        <f t="shared" si="8"/>
        <v>49140</v>
      </c>
      <c r="T33" s="467"/>
      <c r="U33" s="467">
        <f t="shared" si="3"/>
        <v>515970</v>
      </c>
      <c r="V33" s="467"/>
      <c r="W33" s="469"/>
      <c r="X33" s="469"/>
      <c r="Y33" s="469"/>
      <c r="Z33" s="469"/>
      <c r="AA33" s="473">
        <f t="shared" si="4"/>
        <v>4398030</v>
      </c>
      <c r="AB33" s="101" t="str">
        <f t="shared" si="5"/>
        <v>21</v>
      </c>
      <c r="AC33" s="102"/>
      <c r="AD33" s="255" t="s">
        <v>316</v>
      </c>
      <c r="AE33" s="117"/>
      <c r="AF33" s="144"/>
      <c r="AG33" s="517"/>
      <c r="AK33" s="105"/>
    </row>
    <row r="34" spans="1:39" s="104" customFormat="1" ht="31.5" customHeight="1">
      <c r="A34" s="202" t="s">
        <v>93</v>
      </c>
      <c r="B34" s="481" t="s">
        <v>352</v>
      </c>
      <c r="C34" s="95"/>
      <c r="D34" s="112" t="s">
        <v>241</v>
      </c>
      <c r="E34" s="228"/>
      <c r="F34" s="209"/>
      <c r="G34" s="463" t="s">
        <v>248</v>
      </c>
      <c r="H34" s="464">
        <v>12</v>
      </c>
      <c r="I34" s="465">
        <v>8004388</v>
      </c>
      <c r="J34" s="472">
        <v>0.56999999999999995</v>
      </c>
      <c r="K34" s="466">
        <f>I34*J34</f>
        <v>4562501.1599999992</v>
      </c>
      <c r="L34" s="465">
        <f t="shared" si="0"/>
        <v>12566889</v>
      </c>
      <c r="M34" s="465"/>
      <c r="N34" s="465">
        <f t="shared" si="1"/>
        <v>0</v>
      </c>
      <c r="O34" s="465"/>
      <c r="P34" s="465">
        <f t="shared" si="2"/>
        <v>12566889</v>
      </c>
      <c r="Q34" s="465">
        <f t="shared" si="6"/>
        <v>1005351.12</v>
      </c>
      <c r="R34" s="467">
        <f t="shared" si="7"/>
        <v>188503.33499999999</v>
      </c>
      <c r="S34" s="465">
        <f t="shared" si="8"/>
        <v>125668.89</v>
      </c>
      <c r="T34" s="467"/>
      <c r="U34" s="467">
        <f t="shared" si="3"/>
        <v>1319523.345</v>
      </c>
      <c r="V34" s="467"/>
      <c r="W34" s="467"/>
      <c r="X34" s="468"/>
      <c r="Y34" s="467"/>
      <c r="Z34" s="467"/>
      <c r="AA34" s="473">
        <f t="shared" si="4"/>
        <v>11247365.654999999</v>
      </c>
      <c r="AB34" s="101" t="str">
        <f t="shared" si="5"/>
        <v>22</v>
      </c>
      <c r="AC34" s="102"/>
      <c r="AD34" s="102"/>
      <c r="AE34" s="120"/>
      <c r="AF34" s="116"/>
      <c r="AG34" s="554"/>
      <c r="AH34" s="554"/>
      <c r="AK34" s="105"/>
    </row>
    <row r="35" spans="1:39" s="104" customFormat="1" ht="39.75" customHeight="1">
      <c r="A35" s="202" t="s">
        <v>94</v>
      </c>
      <c r="B35" s="481" t="s">
        <v>307</v>
      </c>
      <c r="C35" s="95"/>
      <c r="D35" s="112" t="s">
        <v>306</v>
      </c>
      <c r="E35" s="228"/>
      <c r="F35" s="223"/>
      <c r="G35" s="463" t="s">
        <v>248</v>
      </c>
      <c r="H35" s="464">
        <v>2</v>
      </c>
      <c r="I35" s="465">
        <v>4914000</v>
      </c>
      <c r="J35" s="466"/>
      <c r="K35" s="465"/>
      <c r="L35" s="465">
        <f t="shared" si="0"/>
        <v>4914000</v>
      </c>
      <c r="M35" s="465"/>
      <c r="N35" s="465">
        <f t="shared" si="1"/>
        <v>0</v>
      </c>
      <c r="O35" s="465"/>
      <c r="P35" s="465">
        <f t="shared" si="2"/>
        <v>4914000</v>
      </c>
      <c r="Q35" s="465">
        <f t="shared" si="6"/>
        <v>393120</v>
      </c>
      <c r="R35" s="467">
        <f t="shared" si="7"/>
        <v>73710</v>
      </c>
      <c r="S35" s="465">
        <f t="shared" si="8"/>
        <v>49140</v>
      </c>
      <c r="T35" s="467"/>
      <c r="U35" s="467">
        <f t="shared" si="3"/>
        <v>515970</v>
      </c>
      <c r="V35" s="467"/>
      <c r="W35" s="469"/>
      <c r="X35" s="469"/>
      <c r="Y35" s="469"/>
      <c r="Z35" s="469"/>
      <c r="AA35" s="473">
        <f t="shared" si="4"/>
        <v>4398030</v>
      </c>
      <c r="AB35" s="101" t="str">
        <f t="shared" si="5"/>
        <v>23</v>
      </c>
      <c r="AC35" s="102"/>
      <c r="AD35" s="255" t="s">
        <v>317</v>
      </c>
      <c r="AE35" s="117"/>
      <c r="AF35" s="144"/>
      <c r="AG35" s="517"/>
      <c r="AK35" s="105"/>
    </row>
    <row r="36" spans="1:39" s="104" customFormat="1" ht="39.75" customHeight="1">
      <c r="A36" s="202" t="s">
        <v>95</v>
      </c>
      <c r="B36" s="481" t="s">
        <v>372</v>
      </c>
      <c r="C36" s="95"/>
      <c r="D36" s="112" t="s">
        <v>373</v>
      </c>
      <c r="E36" s="228"/>
      <c r="F36" s="223"/>
      <c r="G36" s="463" t="s">
        <v>248</v>
      </c>
      <c r="H36" s="464">
        <v>1</v>
      </c>
      <c r="I36" s="465">
        <v>4680000</v>
      </c>
      <c r="J36" s="466"/>
      <c r="K36" s="465"/>
      <c r="L36" s="465">
        <f t="shared" si="0"/>
        <v>4680000</v>
      </c>
      <c r="M36" s="465"/>
      <c r="N36" s="465">
        <f t="shared" si="1"/>
        <v>0</v>
      </c>
      <c r="O36" s="465"/>
      <c r="P36" s="465">
        <f t="shared" si="2"/>
        <v>4680000</v>
      </c>
      <c r="Q36" s="465">
        <f t="shared" si="6"/>
        <v>374400</v>
      </c>
      <c r="R36" s="467">
        <f t="shared" si="7"/>
        <v>70200</v>
      </c>
      <c r="S36" s="465">
        <f t="shared" si="8"/>
        <v>46800</v>
      </c>
      <c r="T36" s="467"/>
      <c r="U36" s="467">
        <f t="shared" si="3"/>
        <v>491400</v>
      </c>
      <c r="V36" s="467"/>
      <c r="W36" s="469"/>
      <c r="X36" s="469"/>
      <c r="Y36" s="469"/>
      <c r="Z36" s="469"/>
      <c r="AA36" s="473">
        <f t="shared" si="4"/>
        <v>4188600</v>
      </c>
      <c r="AB36" s="101" t="str">
        <f>A36</f>
        <v>24</v>
      </c>
      <c r="AC36" s="255"/>
      <c r="AD36" s="255" t="s">
        <v>403</v>
      </c>
      <c r="AE36" s="438"/>
      <c r="AF36" s="439"/>
      <c r="AG36" s="435"/>
      <c r="AH36" s="42"/>
      <c r="AI36" s="42"/>
      <c r="AJ36" s="42"/>
      <c r="AK36" s="58"/>
      <c r="AL36" s="42"/>
      <c r="AM36" s="42"/>
    </row>
    <row r="37" spans="1:39" s="104" customFormat="1" ht="34.9" customHeight="1">
      <c r="A37" s="202" t="s">
        <v>96</v>
      </c>
      <c r="B37" s="527" t="s">
        <v>406</v>
      </c>
      <c r="C37" s="95"/>
      <c r="D37" s="112" t="s">
        <v>306</v>
      </c>
      <c r="E37" s="228"/>
      <c r="F37" s="223"/>
      <c r="G37" s="463" t="s">
        <v>248</v>
      </c>
      <c r="H37" s="464">
        <v>1</v>
      </c>
      <c r="I37" s="465">
        <v>4680000</v>
      </c>
      <c r="J37" s="466"/>
      <c r="K37" s="465"/>
      <c r="L37" s="465">
        <f t="shared" si="0"/>
        <v>4680000</v>
      </c>
      <c r="M37" s="465"/>
      <c r="N37" s="465">
        <f t="shared" si="1"/>
        <v>0</v>
      </c>
      <c r="O37" s="465"/>
      <c r="P37" s="465">
        <f t="shared" si="2"/>
        <v>4680000</v>
      </c>
      <c r="Q37" s="465">
        <f t="shared" si="6"/>
        <v>374400</v>
      </c>
      <c r="R37" s="467">
        <f t="shared" si="7"/>
        <v>70200</v>
      </c>
      <c r="S37" s="465">
        <f t="shared" si="8"/>
        <v>46800</v>
      </c>
      <c r="T37" s="467"/>
      <c r="U37" s="467">
        <f t="shared" si="3"/>
        <v>491400</v>
      </c>
      <c r="V37" s="467"/>
      <c r="W37" s="469"/>
      <c r="X37" s="469"/>
      <c r="Y37" s="469"/>
      <c r="Z37" s="469"/>
      <c r="AA37" s="473">
        <f t="shared" si="4"/>
        <v>4188600</v>
      </c>
      <c r="AB37" s="101" t="str">
        <f>A37</f>
        <v>25</v>
      </c>
      <c r="AC37" s="255" t="s">
        <v>408</v>
      </c>
      <c r="AD37" s="255" t="s">
        <v>407</v>
      </c>
      <c r="AE37" s="117"/>
      <c r="AF37" s="144"/>
      <c r="AG37" s="526"/>
      <c r="AK37" s="105"/>
    </row>
    <row r="38" spans="1:39" s="571" customFormat="1" ht="36.75" customHeight="1">
      <c r="A38" s="202" t="s">
        <v>97</v>
      </c>
      <c r="B38" s="572" t="s">
        <v>231</v>
      </c>
      <c r="C38" s="573"/>
      <c r="D38" s="390" t="s">
        <v>279</v>
      </c>
      <c r="E38" s="574" t="str">
        <f>VLOOKUP(B38,[2]T3!$B$2:$D$328,3,FALSE)</f>
        <v>024326689</v>
      </c>
      <c r="F38" s="555"/>
      <c r="G38" s="567" t="s">
        <v>248</v>
      </c>
      <c r="H38" s="575">
        <v>1</v>
      </c>
      <c r="I38" s="576">
        <v>5007600</v>
      </c>
      <c r="J38" s="577"/>
      <c r="K38" s="576"/>
      <c r="L38" s="576">
        <f>ROUND(I38+K38,0)</f>
        <v>5007600</v>
      </c>
      <c r="M38" s="576"/>
      <c r="N38" s="576">
        <f>L38/24*M38</f>
        <v>0</v>
      </c>
      <c r="O38" s="576"/>
      <c r="P38" s="576">
        <f>L38-N38+O38</f>
        <v>5007600</v>
      </c>
      <c r="Q38" s="576">
        <f>L38*8%</f>
        <v>400608</v>
      </c>
      <c r="R38" s="578">
        <f>L38*1.5%</f>
        <v>75114</v>
      </c>
      <c r="S38" s="576">
        <f>L38*1%</f>
        <v>50076</v>
      </c>
      <c r="T38" s="578"/>
      <c r="U38" s="578">
        <f>SUM(Q38:T38)</f>
        <v>525798</v>
      </c>
      <c r="V38" s="578"/>
      <c r="W38" s="578"/>
      <c r="X38" s="579"/>
      <c r="Y38" s="578"/>
      <c r="Z38" s="578"/>
      <c r="AA38" s="559">
        <f>P38-U38+W38+Y38+Z38</f>
        <v>4481802</v>
      </c>
      <c r="AB38" s="580" t="str">
        <f>A38</f>
        <v>26</v>
      </c>
      <c r="AC38" s="581"/>
      <c r="AD38" s="570" t="s">
        <v>232</v>
      </c>
    </row>
    <row r="39" spans="1:39" s="360" customFormat="1" ht="31.5" customHeight="1">
      <c r="A39" s="202" t="s">
        <v>98</v>
      </c>
      <c r="B39" s="481" t="s">
        <v>256</v>
      </c>
      <c r="C39" s="95"/>
      <c r="D39" s="112" t="s">
        <v>257</v>
      </c>
      <c r="E39" s="228"/>
      <c r="F39" s="223"/>
      <c r="G39" s="470" t="s">
        <v>247</v>
      </c>
      <c r="H39" s="471">
        <v>7</v>
      </c>
      <c r="I39" s="465">
        <v>6710663</v>
      </c>
      <c r="J39" s="466"/>
      <c r="K39" s="465"/>
      <c r="L39" s="465">
        <f t="shared" si="0"/>
        <v>6710663</v>
      </c>
      <c r="M39" s="465"/>
      <c r="N39" s="465">
        <f t="shared" si="1"/>
        <v>0</v>
      </c>
      <c r="O39" s="465"/>
      <c r="P39" s="465">
        <f t="shared" si="2"/>
        <v>6710663</v>
      </c>
      <c r="Q39" s="465">
        <f>L39*8%</f>
        <v>536853.04</v>
      </c>
      <c r="R39" s="467">
        <f t="shared" si="7"/>
        <v>100659.94499999999</v>
      </c>
      <c r="S39" s="465">
        <f t="shared" si="8"/>
        <v>67106.63</v>
      </c>
      <c r="T39" s="467"/>
      <c r="U39" s="467">
        <f t="shared" si="3"/>
        <v>704619.61499999999</v>
      </c>
      <c r="V39" s="467"/>
      <c r="W39" s="469"/>
      <c r="X39" s="469"/>
      <c r="Y39" s="469"/>
      <c r="Z39" s="469">
        <v>852000</v>
      </c>
      <c r="AA39" s="473">
        <f t="shared" si="4"/>
        <v>6858043.3849999998</v>
      </c>
      <c r="AB39" s="101" t="str">
        <f>A39</f>
        <v>27</v>
      </c>
      <c r="AC39" s="102"/>
      <c r="AD39" s="102"/>
      <c r="AE39" s="440"/>
      <c r="AF39" s="60"/>
      <c r="AG39" s="60"/>
      <c r="AH39" s="443"/>
      <c r="AI39" s="60"/>
      <c r="AJ39" s="440"/>
      <c r="AK39" s="437"/>
      <c r="AL39" s="435"/>
      <c r="AM39" s="435"/>
    </row>
    <row r="40" spans="1:39" s="543" customFormat="1" ht="35.25" customHeight="1">
      <c r="A40" s="202" t="s">
        <v>99</v>
      </c>
      <c r="B40" s="481" t="s">
        <v>134</v>
      </c>
      <c r="C40" s="95" t="s">
        <v>65</v>
      </c>
      <c r="D40" s="112" t="s">
        <v>73</v>
      </c>
      <c r="E40" s="228" t="str">
        <f>VLOOKUP(B40,[2]T3!$B$2:$D$328,3,FALSE)</f>
        <v>230718298</v>
      </c>
      <c r="F40" s="209" t="s">
        <v>207</v>
      </c>
      <c r="G40" s="470" t="s">
        <v>244</v>
      </c>
      <c r="H40" s="464">
        <v>6</v>
      </c>
      <c r="I40" s="465">
        <v>7515057</v>
      </c>
      <c r="J40" s="466"/>
      <c r="K40" s="465"/>
      <c r="L40" s="465">
        <f t="shared" si="0"/>
        <v>7515057</v>
      </c>
      <c r="M40" s="465">
        <v>0</v>
      </c>
      <c r="N40" s="465">
        <f t="shared" si="1"/>
        <v>0</v>
      </c>
      <c r="O40" s="465"/>
      <c r="P40" s="465">
        <f t="shared" si="2"/>
        <v>7515057</v>
      </c>
      <c r="Q40" s="465">
        <f t="shared" ref="Q40:Q65" si="9">L40*8%</f>
        <v>601204.56000000006</v>
      </c>
      <c r="R40" s="467">
        <f t="shared" si="7"/>
        <v>112725.855</v>
      </c>
      <c r="S40" s="465">
        <f t="shared" si="8"/>
        <v>75150.570000000007</v>
      </c>
      <c r="T40" s="467"/>
      <c r="U40" s="467">
        <f t="shared" si="3"/>
        <v>789080.9850000001</v>
      </c>
      <c r="V40" s="467"/>
      <c r="W40" s="469"/>
      <c r="X40" s="469"/>
      <c r="Y40" s="469"/>
      <c r="Z40" s="469"/>
      <c r="AA40" s="473">
        <f t="shared" si="4"/>
        <v>6725976.0149999997</v>
      </c>
      <c r="AB40" s="101" t="str">
        <f t="shared" ref="AB40:AB66" si="10">A40</f>
        <v>28</v>
      </c>
      <c r="AC40" s="102"/>
      <c r="AD40" s="102" t="s">
        <v>106</v>
      </c>
      <c r="AE40" s="108"/>
      <c r="AH40" s="116"/>
      <c r="AK40" s="542"/>
    </row>
    <row r="41" spans="1:39" s="104" customFormat="1" ht="36.6" customHeight="1">
      <c r="A41" s="202" t="s">
        <v>100</v>
      </c>
      <c r="B41" s="481" t="s">
        <v>292</v>
      </c>
      <c r="C41" s="95"/>
      <c r="D41" s="112" t="s">
        <v>293</v>
      </c>
      <c r="E41" s="228"/>
      <c r="F41" s="223"/>
      <c r="G41" s="463" t="s">
        <v>244</v>
      </c>
      <c r="H41" s="464">
        <v>2</v>
      </c>
      <c r="I41" s="465">
        <v>5733201</v>
      </c>
      <c r="J41" s="466"/>
      <c r="K41" s="465"/>
      <c r="L41" s="465">
        <f t="shared" si="0"/>
        <v>5733201</v>
      </c>
      <c r="M41" s="465"/>
      <c r="N41" s="465">
        <f t="shared" si="1"/>
        <v>0</v>
      </c>
      <c r="O41" s="465"/>
      <c r="P41" s="465">
        <f t="shared" si="2"/>
        <v>5733201</v>
      </c>
      <c r="Q41" s="465">
        <f t="shared" si="9"/>
        <v>458656.08</v>
      </c>
      <c r="R41" s="467">
        <f t="shared" si="7"/>
        <v>85998.014999999999</v>
      </c>
      <c r="S41" s="465">
        <f t="shared" si="8"/>
        <v>57332.01</v>
      </c>
      <c r="T41" s="467"/>
      <c r="U41" s="467">
        <f t="shared" si="3"/>
        <v>601986.10499999998</v>
      </c>
      <c r="V41" s="467"/>
      <c r="W41" s="469"/>
      <c r="X41" s="469"/>
      <c r="Y41" s="469"/>
      <c r="Z41" s="469"/>
      <c r="AA41" s="473">
        <f t="shared" si="4"/>
        <v>5131214.8949999996</v>
      </c>
      <c r="AB41" s="101" t="str">
        <f t="shared" si="10"/>
        <v>29</v>
      </c>
      <c r="AC41" s="255"/>
      <c r="AD41" s="255" t="s">
        <v>302</v>
      </c>
      <c r="AE41" s="117"/>
      <c r="AF41" s="144"/>
      <c r="AG41" s="562"/>
      <c r="AK41" s="105"/>
    </row>
    <row r="42" spans="1:39" s="104" customFormat="1" ht="37.5" customHeight="1">
      <c r="A42" s="202" t="s">
        <v>101</v>
      </c>
      <c r="B42" s="481" t="s">
        <v>329</v>
      </c>
      <c r="C42" s="95"/>
      <c r="D42" s="112" t="s">
        <v>328</v>
      </c>
      <c r="E42" s="228"/>
      <c r="F42" s="336" t="s">
        <v>339</v>
      </c>
      <c r="G42" s="463" t="s">
        <v>244</v>
      </c>
      <c r="H42" s="464">
        <v>1</v>
      </c>
      <c r="I42" s="465">
        <v>5358132</v>
      </c>
      <c r="J42" s="466"/>
      <c r="K42" s="465"/>
      <c r="L42" s="465">
        <f t="shared" si="0"/>
        <v>5358132</v>
      </c>
      <c r="M42" s="465"/>
      <c r="N42" s="465">
        <f t="shared" si="1"/>
        <v>0</v>
      </c>
      <c r="O42" s="465"/>
      <c r="P42" s="465">
        <f t="shared" si="2"/>
        <v>5358132</v>
      </c>
      <c r="Q42" s="465">
        <f t="shared" si="9"/>
        <v>428650.56</v>
      </c>
      <c r="R42" s="467">
        <f t="shared" si="7"/>
        <v>80371.98</v>
      </c>
      <c r="S42" s="465">
        <f t="shared" si="8"/>
        <v>53581.32</v>
      </c>
      <c r="T42" s="467"/>
      <c r="U42" s="467">
        <f t="shared" si="3"/>
        <v>562603.86</v>
      </c>
      <c r="V42" s="467"/>
      <c r="W42" s="469"/>
      <c r="X42" s="469"/>
      <c r="Y42" s="469"/>
      <c r="Z42" s="469"/>
      <c r="AA42" s="473">
        <f t="shared" si="4"/>
        <v>4795528.1399999997</v>
      </c>
      <c r="AB42" s="101" t="str">
        <f t="shared" si="10"/>
        <v>30</v>
      </c>
      <c r="AC42" s="255"/>
      <c r="AD42" s="335" t="s">
        <v>330</v>
      </c>
      <c r="AE42" s="438"/>
      <c r="AF42" s="439"/>
      <c r="AG42" s="435"/>
      <c r="AH42" s="42"/>
      <c r="AI42" s="42"/>
      <c r="AJ42" s="42"/>
      <c r="AK42" s="58"/>
      <c r="AL42" s="42"/>
      <c r="AM42" s="42"/>
    </row>
    <row r="43" spans="1:39" s="104" customFormat="1" ht="38.450000000000003" customHeight="1">
      <c r="A43" s="202" t="s">
        <v>102</v>
      </c>
      <c r="B43" s="481" t="s">
        <v>399</v>
      </c>
      <c r="C43" s="95"/>
      <c r="D43" s="112" t="s">
        <v>328</v>
      </c>
      <c r="E43" s="228"/>
      <c r="F43" s="336"/>
      <c r="G43" s="463" t="s">
        <v>244</v>
      </c>
      <c r="H43" s="464">
        <v>1</v>
      </c>
      <c r="I43" s="465">
        <v>5358132</v>
      </c>
      <c r="J43" s="466"/>
      <c r="K43" s="465"/>
      <c r="L43" s="465">
        <f t="shared" si="0"/>
        <v>5358132</v>
      </c>
      <c r="M43" s="465"/>
      <c r="N43" s="465">
        <f t="shared" si="1"/>
        <v>0</v>
      </c>
      <c r="O43" s="465"/>
      <c r="P43" s="465">
        <f t="shared" si="2"/>
        <v>5358132</v>
      </c>
      <c r="Q43" s="465">
        <f t="shared" si="9"/>
        <v>428650.56</v>
      </c>
      <c r="R43" s="467">
        <f t="shared" si="7"/>
        <v>80371.98</v>
      </c>
      <c r="S43" s="465">
        <f t="shared" si="8"/>
        <v>53581.32</v>
      </c>
      <c r="T43" s="467"/>
      <c r="U43" s="467">
        <f t="shared" si="3"/>
        <v>562603.86</v>
      </c>
      <c r="V43" s="467"/>
      <c r="W43" s="469"/>
      <c r="X43" s="469"/>
      <c r="Y43" s="469"/>
      <c r="Z43" s="469"/>
      <c r="AA43" s="473">
        <f t="shared" si="4"/>
        <v>4795528.1399999997</v>
      </c>
      <c r="AB43" s="101" t="str">
        <f t="shared" si="10"/>
        <v>31</v>
      </c>
      <c r="AC43" s="255"/>
      <c r="AD43" s="255" t="s">
        <v>404</v>
      </c>
      <c r="AE43" s="438"/>
      <c r="AF43" s="439"/>
      <c r="AG43" s="435"/>
      <c r="AH43" s="42"/>
      <c r="AI43" s="42"/>
      <c r="AJ43" s="42"/>
      <c r="AK43" s="58"/>
      <c r="AL43" s="42"/>
      <c r="AM43" s="42"/>
    </row>
    <row r="44" spans="1:39" s="104" customFormat="1" ht="36.75" customHeight="1">
      <c r="A44" s="202" t="s">
        <v>103</v>
      </c>
      <c r="B44" s="481" t="s">
        <v>139</v>
      </c>
      <c r="C44" s="95" t="s">
        <v>66</v>
      </c>
      <c r="D44" s="112" t="s">
        <v>173</v>
      </c>
      <c r="E44" s="227" t="s">
        <v>239</v>
      </c>
      <c r="F44" s="209" t="s">
        <v>215</v>
      </c>
      <c r="G44" s="470" t="s">
        <v>244</v>
      </c>
      <c r="H44" s="530">
        <v>7</v>
      </c>
      <c r="I44" s="465">
        <v>8041111</v>
      </c>
      <c r="J44" s="466"/>
      <c r="K44" s="465"/>
      <c r="L44" s="465">
        <f t="shared" si="0"/>
        <v>8041111</v>
      </c>
      <c r="M44" s="465"/>
      <c r="N44" s="465">
        <f t="shared" si="1"/>
        <v>0</v>
      </c>
      <c r="O44" s="465"/>
      <c r="P44" s="465">
        <f t="shared" si="2"/>
        <v>8041111</v>
      </c>
      <c r="Q44" s="465">
        <f t="shared" si="9"/>
        <v>643288.88</v>
      </c>
      <c r="R44" s="467">
        <f t="shared" si="7"/>
        <v>120616.66499999999</v>
      </c>
      <c r="S44" s="465">
        <f t="shared" si="8"/>
        <v>80411.11</v>
      </c>
      <c r="T44" s="467"/>
      <c r="U44" s="467">
        <f t="shared" si="3"/>
        <v>844316.65500000003</v>
      </c>
      <c r="V44" s="467"/>
      <c r="W44" s="467"/>
      <c r="X44" s="467"/>
      <c r="Y44" s="467"/>
      <c r="Z44" s="467"/>
      <c r="AA44" s="473">
        <f t="shared" si="4"/>
        <v>7196794.3449999997</v>
      </c>
      <c r="AB44" s="101" t="str">
        <f t="shared" si="10"/>
        <v>32</v>
      </c>
      <c r="AC44" s="102"/>
      <c r="AD44" s="103" t="s">
        <v>72</v>
      </c>
      <c r="AE44" s="152"/>
      <c r="AG44" s="529"/>
      <c r="AK44" s="105"/>
    </row>
    <row r="45" spans="1:39" s="104" customFormat="1" ht="42.75" customHeight="1">
      <c r="A45" s="202" t="s">
        <v>104</v>
      </c>
      <c r="B45" s="481" t="s">
        <v>285</v>
      </c>
      <c r="C45" s="95"/>
      <c r="D45" s="112" t="s">
        <v>289</v>
      </c>
      <c r="E45" s="228"/>
      <c r="F45" s="223" t="s">
        <v>326</v>
      </c>
      <c r="G45" s="463" t="s">
        <v>244</v>
      </c>
      <c r="H45" s="464">
        <v>2</v>
      </c>
      <c r="I45" s="465">
        <v>5733201</v>
      </c>
      <c r="J45" s="466"/>
      <c r="K45" s="465"/>
      <c r="L45" s="465">
        <f t="shared" si="0"/>
        <v>5733201</v>
      </c>
      <c r="M45" s="465"/>
      <c r="N45" s="465">
        <f t="shared" si="1"/>
        <v>0</v>
      </c>
      <c r="O45" s="465"/>
      <c r="P45" s="465">
        <f t="shared" si="2"/>
        <v>5733201</v>
      </c>
      <c r="Q45" s="465">
        <f t="shared" si="9"/>
        <v>458656.08</v>
      </c>
      <c r="R45" s="467">
        <f t="shared" si="7"/>
        <v>85998.014999999999</v>
      </c>
      <c r="S45" s="465">
        <f t="shared" si="8"/>
        <v>57332.01</v>
      </c>
      <c r="T45" s="467"/>
      <c r="U45" s="467">
        <f t="shared" si="3"/>
        <v>601986.10499999998</v>
      </c>
      <c r="V45" s="467"/>
      <c r="W45" s="469"/>
      <c r="X45" s="469"/>
      <c r="Y45" s="469"/>
      <c r="Z45" s="469"/>
      <c r="AA45" s="473">
        <f t="shared" si="4"/>
        <v>5131214.8949999996</v>
      </c>
      <c r="AB45" s="101" t="str">
        <f t="shared" si="10"/>
        <v>33</v>
      </c>
      <c r="AC45" s="255"/>
      <c r="AD45" s="255" t="s">
        <v>286</v>
      </c>
      <c r="AE45" s="117"/>
      <c r="AF45" s="144"/>
      <c r="AG45" s="554"/>
      <c r="AK45" s="105"/>
    </row>
    <row r="46" spans="1:39" s="526" customFormat="1" ht="36" customHeight="1">
      <c r="A46" s="202" t="s">
        <v>105</v>
      </c>
      <c r="B46" s="482" t="s">
        <v>131</v>
      </c>
      <c r="C46" s="95" t="s">
        <v>7</v>
      </c>
      <c r="D46" s="112" t="s">
        <v>241</v>
      </c>
      <c r="E46" s="226" t="s">
        <v>235</v>
      </c>
      <c r="F46" s="223" t="s">
        <v>204</v>
      </c>
      <c r="G46" s="470" t="s">
        <v>247</v>
      </c>
      <c r="H46" s="464">
        <v>5</v>
      </c>
      <c r="I46" s="465">
        <v>6086769</v>
      </c>
      <c r="J46" s="466"/>
      <c r="K46" s="465"/>
      <c r="L46" s="465">
        <f t="shared" si="0"/>
        <v>6086769</v>
      </c>
      <c r="M46" s="465"/>
      <c r="N46" s="465">
        <f t="shared" si="1"/>
        <v>0</v>
      </c>
      <c r="O46" s="465"/>
      <c r="P46" s="465">
        <f t="shared" si="2"/>
        <v>6086769</v>
      </c>
      <c r="Q46" s="465">
        <f t="shared" si="9"/>
        <v>486941.52</v>
      </c>
      <c r="R46" s="467">
        <f t="shared" si="7"/>
        <v>91301.535000000003</v>
      </c>
      <c r="S46" s="465">
        <f t="shared" si="8"/>
        <v>60867.69</v>
      </c>
      <c r="T46" s="467"/>
      <c r="U46" s="467">
        <f t="shared" si="3"/>
        <v>639110.74500000011</v>
      </c>
      <c r="V46" s="468"/>
      <c r="W46" s="467"/>
      <c r="X46" s="468"/>
      <c r="Y46" s="467"/>
      <c r="Z46" s="467"/>
      <c r="AA46" s="473">
        <f t="shared" si="4"/>
        <v>5447658.2549999999</v>
      </c>
      <c r="AB46" s="101" t="str">
        <f t="shared" si="10"/>
        <v>34</v>
      </c>
      <c r="AC46" s="102"/>
      <c r="AD46" s="117">
        <f>AD24*10.5%</f>
        <v>486013.5</v>
      </c>
      <c r="AE46" s="625"/>
      <c r="AF46" s="626"/>
      <c r="AG46" s="626"/>
      <c r="AH46" s="626"/>
      <c r="AK46" s="119"/>
    </row>
    <row r="47" spans="1:39" s="104" customFormat="1" ht="37.5" customHeight="1">
      <c r="A47" s="202" t="s">
        <v>260</v>
      </c>
      <c r="B47" s="481" t="s">
        <v>146</v>
      </c>
      <c r="C47" s="95" t="s">
        <v>118</v>
      </c>
      <c r="D47" s="112" t="s">
        <v>289</v>
      </c>
      <c r="E47" s="226" t="s">
        <v>234</v>
      </c>
      <c r="F47" s="209" t="s">
        <v>211</v>
      </c>
      <c r="G47" s="470" t="s">
        <v>244</v>
      </c>
      <c r="H47" s="464">
        <v>2</v>
      </c>
      <c r="I47" s="465">
        <v>5733201</v>
      </c>
      <c r="J47" s="466"/>
      <c r="K47" s="465"/>
      <c r="L47" s="465">
        <f t="shared" si="0"/>
        <v>5733201</v>
      </c>
      <c r="M47" s="465"/>
      <c r="N47" s="465">
        <f t="shared" si="1"/>
        <v>0</v>
      </c>
      <c r="O47" s="465"/>
      <c r="P47" s="465">
        <f t="shared" si="2"/>
        <v>5733201</v>
      </c>
      <c r="Q47" s="465">
        <f t="shared" si="9"/>
        <v>458656.08</v>
      </c>
      <c r="R47" s="467">
        <f t="shared" si="7"/>
        <v>85998.014999999999</v>
      </c>
      <c r="S47" s="465">
        <f t="shared" si="8"/>
        <v>57332.01</v>
      </c>
      <c r="T47" s="467"/>
      <c r="U47" s="467">
        <f t="shared" si="3"/>
        <v>601986.10499999998</v>
      </c>
      <c r="V47" s="467"/>
      <c r="W47" s="467"/>
      <c r="X47" s="467"/>
      <c r="Y47" s="467"/>
      <c r="Z47" s="467"/>
      <c r="AA47" s="473">
        <f t="shared" si="4"/>
        <v>5131214.8949999996</v>
      </c>
      <c r="AB47" s="101" t="str">
        <f t="shared" si="10"/>
        <v>35</v>
      </c>
      <c r="AC47" s="118"/>
      <c r="AD47" s="139" t="s">
        <v>119</v>
      </c>
      <c r="AE47" s="155"/>
      <c r="AF47" s="128"/>
      <c r="AG47" s="110"/>
      <c r="AH47" s="110"/>
      <c r="AK47" s="111"/>
    </row>
    <row r="48" spans="1:39" s="104" customFormat="1" ht="42.75" customHeight="1">
      <c r="A48" s="202" t="s">
        <v>261</v>
      </c>
      <c r="B48" s="481" t="s">
        <v>313</v>
      </c>
      <c r="C48" s="95"/>
      <c r="D48" s="112" t="s">
        <v>289</v>
      </c>
      <c r="E48" s="228"/>
      <c r="F48" s="223"/>
      <c r="G48" s="463" t="s">
        <v>244</v>
      </c>
      <c r="H48" s="464">
        <v>1</v>
      </c>
      <c r="I48" s="465">
        <v>5358132</v>
      </c>
      <c r="J48" s="466"/>
      <c r="K48" s="465"/>
      <c r="L48" s="465">
        <f t="shared" si="0"/>
        <v>5358132</v>
      </c>
      <c r="M48" s="465"/>
      <c r="N48" s="465">
        <f t="shared" si="1"/>
        <v>0</v>
      </c>
      <c r="O48" s="465"/>
      <c r="P48" s="465">
        <f t="shared" si="2"/>
        <v>5358132</v>
      </c>
      <c r="Q48" s="465">
        <f t="shared" si="9"/>
        <v>428650.56</v>
      </c>
      <c r="R48" s="467">
        <f t="shared" si="7"/>
        <v>80371.98</v>
      </c>
      <c r="S48" s="465">
        <f t="shared" si="8"/>
        <v>53581.32</v>
      </c>
      <c r="T48" s="467"/>
      <c r="U48" s="467">
        <f t="shared" si="3"/>
        <v>562603.86</v>
      </c>
      <c r="V48" s="467"/>
      <c r="W48" s="469"/>
      <c r="X48" s="469"/>
      <c r="Y48" s="469"/>
      <c r="Z48" s="469"/>
      <c r="AA48" s="473">
        <f t="shared" si="4"/>
        <v>4795528.1399999997</v>
      </c>
      <c r="AB48" s="101" t="str">
        <f t="shared" si="10"/>
        <v>36</v>
      </c>
      <c r="AC48" s="255"/>
      <c r="AD48" s="255" t="s">
        <v>314</v>
      </c>
      <c r="AE48" s="438"/>
      <c r="AF48" s="439"/>
      <c r="AG48" s="435"/>
      <c r="AH48" s="42"/>
      <c r="AI48" s="42"/>
      <c r="AJ48" s="42"/>
      <c r="AK48" s="58"/>
      <c r="AL48" s="42"/>
      <c r="AM48" s="42"/>
    </row>
    <row r="49" spans="1:39" s="540" customFormat="1" ht="41.25" customHeight="1">
      <c r="A49" s="202" t="s">
        <v>262</v>
      </c>
      <c r="B49" s="481" t="s">
        <v>135</v>
      </c>
      <c r="C49" s="95" t="s">
        <v>56</v>
      </c>
      <c r="D49" s="112" t="s">
        <v>349</v>
      </c>
      <c r="E49" s="228" t="str">
        <f>VLOOKUP(B49,[2]T3!$B$2:$D$328,3,FALSE)</f>
        <v>025804258</v>
      </c>
      <c r="F49" s="223" t="s">
        <v>208</v>
      </c>
      <c r="G49" s="470" t="s">
        <v>247</v>
      </c>
      <c r="H49" s="471">
        <v>5</v>
      </c>
      <c r="I49" s="465">
        <v>6086769</v>
      </c>
      <c r="J49" s="466"/>
      <c r="K49" s="465"/>
      <c r="L49" s="465">
        <f>ROUND(I49+K49,0)</f>
        <v>6086769</v>
      </c>
      <c r="M49" s="465"/>
      <c r="N49" s="465">
        <f>L49/24*M49</f>
        <v>0</v>
      </c>
      <c r="O49" s="465"/>
      <c r="P49" s="465">
        <f>L49-N49+O49</f>
        <v>6086769</v>
      </c>
      <c r="Q49" s="465">
        <f t="shared" si="9"/>
        <v>486941.52</v>
      </c>
      <c r="R49" s="467">
        <f t="shared" si="7"/>
        <v>91301.535000000003</v>
      </c>
      <c r="S49" s="465">
        <f t="shared" si="8"/>
        <v>60867.69</v>
      </c>
      <c r="T49" s="467"/>
      <c r="U49" s="467">
        <f>SUM(Q49:T49)</f>
        <v>639110.74500000011</v>
      </c>
      <c r="V49" s="467"/>
      <c r="W49" s="469"/>
      <c r="X49" s="469"/>
      <c r="Y49" s="469"/>
      <c r="Z49" s="469"/>
      <c r="AA49" s="473">
        <f>P49-U49+W49+Y49+Z49</f>
        <v>5447658.2549999999</v>
      </c>
      <c r="AB49" s="101" t="str">
        <f t="shared" si="10"/>
        <v>37</v>
      </c>
      <c r="AC49" s="102"/>
      <c r="AD49" s="102" t="s">
        <v>107</v>
      </c>
      <c r="AE49" s="109"/>
      <c r="AF49" s="110"/>
      <c r="AG49" s="110"/>
      <c r="AH49" s="110"/>
      <c r="AI49" s="110"/>
      <c r="AJ49" s="109"/>
      <c r="AK49" s="111"/>
    </row>
    <row r="50" spans="1:39" s="444" customFormat="1" ht="41.25" customHeight="1">
      <c r="A50" s="202" t="s">
        <v>263</v>
      </c>
      <c r="B50" s="481" t="s">
        <v>401</v>
      </c>
      <c r="C50" s="95"/>
      <c r="D50" s="112" t="s">
        <v>349</v>
      </c>
      <c r="E50" s="228"/>
      <c r="F50" s="223"/>
      <c r="G50" s="470" t="s">
        <v>247</v>
      </c>
      <c r="H50" s="471">
        <v>1</v>
      </c>
      <c r="I50" s="465">
        <v>5007600</v>
      </c>
      <c r="J50" s="466"/>
      <c r="K50" s="465"/>
      <c r="L50" s="465">
        <f>ROUND(I50+K50,0)</f>
        <v>5007600</v>
      </c>
      <c r="M50" s="465"/>
      <c r="N50" s="465">
        <f>L50/24*M50</f>
        <v>0</v>
      </c>
      <c r="O50" s="465"/>
      <c r="P50" s="465">
        <f>L50-N50+O50</f>
        <v>5007600</v>
      </c>
      <c r="Q50" s="465">
        <f>L50*8%</f>
        <v>400608</v>
      </c>
      <c r="R50" s="467">
        <f>L50*1.5%</f>
        <v>75114</v>
      </c>
      <c r="S50" s="465">
        <f>L50*1%</f>
        <v>50076</v>
      </c>
      <c r="T50" s="467"/>
      <c r="U50" s="467">
        <f>SUM(Q50:T50)</f>
        <v>525798</v>
      </c>
      <c r="V50" s="467"/>
      <c r="W50" s="469"/>
      <c r="X50" s="469"/>
      <c r="Y50" s="469"/>
      <c r="Z50" s="469"/>
      <c r="AA50" s="473">
        <f>P50-U50+W50+Y50+Z50</f>
        <v>4481802</v>
      </c>
      <c r="AB50" s="101" t="str">
        <f t="shared" si="10"/>
        <v>38</v>
      </c>
      <c r="AC50" s="102"/>
      <c r="AD50" s="145" t="s">
        <v>402</v>
      </c>
      <c r="AE50" s="109"/>
      <c r="AF50" s="110"/>
      <c r="AG50" s="110"/>
      <c r="AH50" s="110"/>
      <c r="AI50" s="110"/>
      <c r="AJ50" s="109"/>
      <c r="AK50" s="111"/>
    </row>
    <row r="51" spans="1:39" s="104" customFormat="1" ht="33" customHeight="1">
      <c r="A51" s="202" t="s">
        <v>264</v>
      </c>
      <c r="B51" s="481" t="s">
        <v>129</v>
      </c>
      <c r="C51" s="95" t="s">
        <v>124</v>
      </c>
      <c r="D51" s="112" t="s">
        <v>188</v>
      </c>
      <c r="E51" s="228" t="str">
        <f>VLOOKUP(B51,[2]T3!$B$2:$D$328,3,FALSE)</f>
        <v>024759058</v>
      </c>
      <c r="F51" s="209" t="s">
        <v>225</v>
      </c>
      <c r="G51" s="470" t="s">
        <v>244</v>
      </c>
      <c r="H51" s="530">
        <v>2</v>
      </c>
      <c r="I51" s="465">
        <v>5733201</v>
      </c>
      <c r="J51" s="466"/>
      <c r="K51" s="465"/>
      <c r="L51" s="465">
        <f t="shared" si="0"/>
        <v>5733201</v>
      </c>
      <c r="M51" s="465"/>
      <c r="N51" s="465">
        <f t="shared" si="1"/>
        <v>0</v>
      </c>
      <c r="O51" s="465"/>
      <c r="P51" s="465">
        <f t="shared" si="2"/>
        <v>5733201</v>
      </c>
      <c r="Q51" s="465">
        <f t="shared" si="9"/>
        <v>458656.08</v>
      </c>
      <c r="R51" s="467">
        <f t="shared" si="7"/>
        <v>85998.014999999999</v>
      </c>
      <c r="S51" s="465">
        <f t="shared" si="8"/>
        <v>57332.01</v>
      </c>
      <c r="T51" s="467"/>
      <c r="U51" s="467">
        <f t="shared" si="3"/>
        <v>601986.10499999998</v>
      </c>
      <c r="V51" s="467"/>
      <c r="W51" s="473"/>
      <c r="X51" s="473"/>
      <c r="Y51" s="473"/>
      <c r="Z51" s="473"/>
      <c r="AA51" s="473">
        <f t="shared" si="4"/>
        <v>5131214.8949999996</v>
      </c>
      <c r="AB51" s="101" t="str">
        <f t="shared" si="10"/>
        <v>39</v>
      </c>
      <c r="AC51" s="102"/>
      <c r="AD51" s="145" t="s">
        <v>127</v>
      </c>
      <c r="AE51" s="529"/>
      <c r="AF51" s="529"/>
      <c r="AJ51" s="105"/>
    </row>
    <row r="52" spans="1:39" s="104" customFormat="1" ht="31.15" customHeight="1">
      <c r="A52" s="202" t="s">
        <v>265</v>
      </c>
      <c r="B52" s="481" t="s">
        <v>142</v>
      </c>
      <c r="C52" s="95" t="s">
        <v>88</v>
      </c>
      <c r="D52" s="112" t="s">
        <v>188</v>
      </c>
      <c r="E52" s="228" t="str">
        <f>VLOOKUP(B52,[2]T3!$B$2:$D$328,3,FALSE)</f>
        <v>025128010</v>
      </c>
      <c r="F52" s="209" t="s">
        <v>217</v>
      </c>
      <c r="G52" s="470" t="s">
        <v>244</v>
      </c>
      <c r="H52" s="471">
        <v>4</v>
      </c>
      <c r="I52" s="465">
        <v>6563942</v>
      </c>
      <c r="J52" s="466"/>
      <c r="K52" s="465"/>
      <c r="L52" s="465">
        <f t="shared" si="0"/>
        <v>6563942</v>
      </c>
      <c r="M52" s="465"/>
      <c r="N52" s="465">
        <f t="shared" si="1"/>
        <v>0</v>
      </c>
      <c r="O52" s="465"/>
      <c r="P52" s="465">
        <f t="shared" si="2"/>
        <v>6563942</v>
      </c>
      <c r="Q52" s="465">
        <f t="shared" si="9"/>
        <v>525115.36</v>
      </c>
      <c r="R52" s="467">
        <f t="shared" si="7"/>
        <v>98459.12999999999</v>
      </c>
      <c r="S52" s="465">
        <f t="shared" si="8"/>
        <v>65639.42</v>
      </c>
      <c r="T52" s="467"/>
      <c r="U52" s="467">
        <f t="shared" si="3"/>
        <v>689213.91</v>
      </c>
      <c r="V52" s="467"/>
      <c r="W52" s="467"/>
      <c r="X52" s="467"/>
      <c r="Y52" s="467"/>
      <c r="Z52" s="467"/>
      <c r="AA52" s="473">
        <f t="shared" si="4"/>
        <v>5874728.0899999999</v>
      </c>
      <c r="AB52" s="101" t="str">
        <f t="shared" si="10"/>
        <v>40</v>
      </c>
      <c r="AC52" s="102"/>
      <c r="AD52" s="127" t="s">
        <v>116</v>
      </c>
      <c r="AE52" s="109"/>
      <c r="AF52" s="120"/>
      <c r="AG52" s="110"/>
      <c r="AH52" s="110"/>
      <c r="AK52" s="111"/>
    </row>
    <row r="53" spans="1:39" s="104" customFormat="1" ht="31.9" customHeight="1">
      <c r="A53" s="202" t="s">
        <v>266</v>
      </c>
      <c r="B53" s="481" t="s">
        <v>164</v>
      </c>
      <c r="C53" s="95"/>
      <c r="D53" s="112" t="s">
        <v>188</v>
      </c>
      <c r="E53" s="228" t="str">
        <f>VLOOKUP(B53,[2]T3!$B$2:$D$328,3,FALSE)</f>
        <v>290936998</v>
      </c>
      <c r="F53" s="209" t="s">
        <v>222</v>
      </c>
      <c r="G53" s="463" t="s">
        <v>244</v>
      </c>
      <c r="H53" s="464">
        <v>6</v>
      </c>
      <c r="I53" s="465">
        <v>7515057</v>
      </c>
      <c r="J53" s="466"/>
      <c r="K53" s="465"/>
      <c r="L53" s="465">
        <f t="shared" si="0"/>
        <v>7515057</v>
      </c>
      <c r="M53" s="465"/>
      <c r="N53" s="465">
        <f t="shared" si="1"/>
        <v>0</v>
      </c>
      <c r="O53" s="465"/>
      <c r="P53" s="465">
        <f t="shared" si="2"/>
        <v>7515057</v>
      </c>
      <c r="Q53" s="465">
        <f t="shared" si="9"/>
        <v>601204.56000000006</v>
      </c>
      <c r="R53" s="467">
        <f t="shared" si="7"/>
        <v>112725.855</v>
      </c>
      <c r="S53" s="465">
        <f t="shared" si="8"/>
        <v>75150.570000000007</v>
      </c>
      <c r="T53" s="467"/>
      <c r="U53" s="467">
        <f t="shared" si="3"/>
        <v>789080.9850000001</v>
      </c>
      <c r="V53" s="467"/>
      <c r="W53" s="467"/>
      <c r="X53" s="467"/>
      <c r="Y53" s="467"/>
      <c r="Z53" s="467"/>
      <c r="AA53" s="473">
        <f t="shared" si="4"/>
        <v>6725976.0149999997</v>
      </c>
      <c r="AB53" s="101" t="str">
        <f t="shared" si="10"/>
        <v>41</v>
      </c>
      <c r="AC53" s="118"/>
      <c r="AD53" s="155"/>
      <c r="AE53" s="155"/>
      <c r="AF53" s="128"/>
      <c r="AG53" s="110"/>
      <c r="AH53" s="110"/>
      <c r="AK53" s="111"/>
    </row>
    <row r="54" spans="1:39" s="104" customFormat="1" ht="33" customHeight="1">
      <c r="A54" s="202" t="s">
        <v>267</v>
      </c>
      <c r="B54" s="481" t="s">
        <v>147</v>
      </c>
      <c r="C54" s="95" t="s">
        <v>63</v>
      </c>
      <c r="D54" s="112" t="s">
        <v>188</v>
      </c>
      <c r="E54" s="228" t="str">
        <f>VLOOKUP(B54,[2]T3!$B$2:$D$328,3,FALSE)</f>
        <v>001186011890</v>
      </c>
      <c r="F54" s="209" t="s">
        <v>223</v>
      </c>
      <c r="G54" s="463" t="s">
        <v>244</v>
      </c>
      <c r="H54" s="464">
        <v>7</v>
      </c>
      <c r="I54" s="465">
        <v>8041111</v>
      </c>
      <c r="J54" s="466"/>
      <c r="K54" s="465"/>
      <c r="L54" s="465">
        <f t="shared" si="0"/>
        <v>8041111</v>
      </c>
      <c r="M54" s="465"/>
      <c r="N54" s="465">
        <f t="shared" si="1"/>
        <v>0</v>
      </c>
      <c r="O54" s="465"/>
      <c r="P54" s="465">
        <f t="shared" si="2"/>
        <v>8041111</v>
      </c>
      <c r="Q54" s="465">
        <f t="shared" si="9"/>
        <v>643288.88</v>
      </c>
      <c r="R54" s="467">
        <f t="shared" si="7"/>
        <v>120616.66499999999</v>
      </c>
      <c r="S54" s="465">
        <f t="shared" si="8"/>
        <v>80411.11</v>
      </c>
      <c r="T54" s="467"/>
      <c r="U54" s="467">
        <f t="shared" si="3"/>
        <v>844316.65500000003</v>
      </c>
      <c r="V54" s="467"/>
      <c r="W54" s="469"/>
      <c r="X54" s="469"/>
      <c r="Y54" s="469"/>
      <c r="Z54" s="469"/>
      <c r="AA54" s="473">
        <f t="shared" si="4"/>
        <v>7196794.3449999997</v>
      </c>
      <c r="AB54" s="101" t="str">
        <f t="shared" si="10"/>
        <v>42</v>
      </c>
      <c r="AC54" s="255"/>
      <c r="AD54" s="103"/>
      <c r="AE54" s="103" t="s">
        <v>64</v>
      </c>
      <c r="AF54" s="102"/>
      <c r="AG54" s="529"/>
      <c r="AK54" s="105"/>
    </row>
    <row r="55" spans="1:39" s="104" customFormat="1" ht="36.75" customHeight="1">
      <c r="A55" s="202" t="s">
        <v>281</v>
      </c>
      <c r="B55" s="566" t="s">
        <v>138</v>
      </c>
      <c r="C55" s="389" t="s">
        <v>83</v>
      </c>
      <c r="D55" s="390" t="s">
        <v>189</v>
      </c>
      <c r="E55" s="391" t="str">
        <f>VLOOKUP(B55,[2]T3!$B$2:$D$328,3,FALSE)</f>
        <v>095189000070</v>
      </c>
      <c r="F55" s="555" t="s">
        <v>214</v>
      </c>
      <c r="G55" s="567" t="s">
        <v>244</v>
      </c>
      <c r="H55" s="568">
        <v>6</v>
      </c>
      <c r="I55" s="556">
        <v>7515057</v>
      </c>
      <c r="J55" s="557"/>
      <c r="K55" s="556"/>
      <c r="L55" s="556">
        <f t="shared" si="0"/>
        <v>7515057</v>
      </c>
      <c r="M55" s="556"/>
      <c r="N55" s="556">
        <f t="shared" si="1"/>
        <v>0</v>
      </c>
      <c r="O55" s="556"/>
      <c r="P55" s="556">
        <f t="shared" si="2"/>
        <v>7515057</v>
      </c>
      <c r="Q55" s="556">
        <f t="shared" si="9"/>
        <v>601204.56000000006</v>
      </c>
      <c r="R55" s="558">
        <f t="shared" si="7"/>
        <v>112725.855</v>
      </c>
      <c r="S55" s="556">
        <f t="shared" si="8"/>
        <v>75150.570000000007</v>
      </c>
      <c r="T55" s="558"/>
      <c r="U55" s="558">
        <f t="shared" si="3"/>
        <v>789080.9850000001</v>
      </c>
      <c r="V55" s="558"/>
      <c r="W55" s="558"/>
      <c r="X55" s="558"/>
      <c r="Y55" s="558"/>
      <c r="Z55" s="558"/>
      <c r="AA55" s="559">
        <f t="shared" si="4"/>
        <v>6725976.0149999997</v>
      </c>
      <c r="AB55" s="399" t="str">
        <f t="shared" si="10"/>
        <v>43</v>
      </c>
      <c r="AC55" s="569"/>
      <c r="AD55" s="102" t="s">
        <v>84</v>
      </c>
      <c r="AE55" s="102" t="s">
        <v>113</v>
      </c>
      <c r="AG55" s="554"/>
      <c r="AK55" s="105"/>
    </row>
    <row r="56" spans="1:39" s="104" customFormat="1" ht="31.5" customHeight="1">
      <c r="A56" s="202" t="s">
        <v>287</v>
      </c>
      <c r="B56" s="481" t="s">
        <v>137</v>
      </c>
      <c r="C56" s="331" t="s">
        <v>7</v>
      </c>
      <c r="D56" s="112" t="s">
        <v>190</v>
      </c>
      <c r="E56" s="228" t="str">
        <f>VLOOKUP(B56,[2]T3!$B$2:$D$328,3,FALSE)</f>
        <v>023680986</v>
      </c>
      <c r="F56" s="209" t="s">
        <v>213</v>
      </c>
      <c r="G56" s="463" t="s">
        <v>244</v>
      </c>
      <c r="H56" s="464">
        <v>6</v>
      </c>
      <c r="I56" s="465">
        <v>7515057</v>
      </c>
      <c r="J56" s="466"/>
      <c r="K56" s="465"/>
      <c r="L56" s="465">
        <f t="shared" si="0"/>
        <v>7515057</v>
      </c>
      <c r="M56" s="465"/>
      <c r="N56" s="465">
        <f t="shared" si="1"/>
        <v>0</v>
      </c>
      <c r="O56" s="465"/>
      <c r="P56" s="465">
        <f t="shared" si="2"/>
        <v>7515057</v>
      </c>
      <c r="Q56" s="465">
        <f t="shared" si="9"/>
        <v>601204.56000000006</v>
      </c>
      <c r="R56" s="467">
        <f t="shared" si="7"/>
        <v>112725.855</v>
      </c>
      <c r="S56" s="465">
        <f t="shared" si="8"/>
        <v>75150.570000000007</v>
      </c>
      <c r="T56" s="467"/>
      <c r="U56" s="467">
        <f t="shared" si="3"/>
        <v>789080.9850000001</v>
      </c>
      <c r="V56" s="467"/>
      <c r="W56" s="531"/>
      <c r="X56" s="531"/>
      <c r="Y56" s="531"/>
      <c r="Z56" s="531"/>
      <c r="AA56" s="473">
        <f t="shared" si="4"/>
        <v>6725976.0149999997</v>
      </c>
      <c r="AB56" s="101" t="str">
        <f t="shared" si="10"/>
        <v>44</v>
      </c>
      <c r="AC56" s="118"/>
      <c r="AD56" s="114" t="s">
        <v>108</v>
      </c>
      <c r="AE56" s="115"/>
      <c r="AF56" s="115"/>
      <c r="AG56" s="115"/>
      <c r="AH56" s="115"/>
      <c r="AK56" s="105"/>
    </row>
    <row r="57" spans="1:39" s="104" customFormat="1" ht="33" customHeight="1">
      <c r="A57" s="202" t="s">
        <v>290</v>
      </c>
      <c r="B57" s="481" t="s">
        <v>303</v>
      </c>
      <c r="C57" s="95"/>
      <c r="D57" s="112" t="s">
        <v>190</v>
      </c>
      <c r="E57" s="228"/>
      <c r="F57" s="223" t="s">
        <v>327</v>
      </c>
      <c r="G57" s="463" t="s">
        <v>244</v>
      </c>
      <c r="H57" s="464">
        <v>1</v>
      </c>
      <c r="I57" s="465">
        <v>5358132</v>
      </c>
      <c r="J57" s="466"/>
      <c r="K57" s="465"/>
      <c r="L57" s="465">
        <f>ROUND(I57+K57,0)</f>
        <v>5358132</v>
      </c>
      <c r="M57" s="465"/>
      <c r="N57" s="465">
        <f>L57/24*M57</f>
        <v>0</v>
      </c>
      <c r="O57" s="465"/>
      <c r="P57" s="465">
        <f>L57-N57+O57</f>
        <v>5358132</v>
      </c>
      <c r="Q57" s="465">
        <f>L57*8%</f>
        <v>428650.56</v>
      </c>
      <c r="R57" s="467">
        <f>L57*1.5%</f>
        <v>80371.98</v>
      </c>
      <c r="S57" s="465">
        <f>L57*1%</f>
        <v>53581.32</v>
      </c>
      <c r="T57" s="467"/>
      <c r="U57" s="467">
        <f>SUM(Q57:T57)</f>
        <v>562603.86</v>
      </c>
      <c r="V57" s="467"/>
      <c r="W57" s="469"/>
      <c r="X57" s="469"/>
      <c r="Y57" s="469"/>
      <c r="Z57" s="469"/>
      <c r="AA57" s="473">
        <f>P57-U57+W57+Y57+Z57</f>
        <v>4795528.1399999997</v>
      </c>
      <c r="AB57" s="101" t="str">
        <f>A57</f>
        <v>45</v>
      </c>
      <c r="AC57" s="255"/>
      <c r="AD57" s="255" t="s">
        <v>304</v>
      </c>
      <c r="AE57" s="117"/>
      <c r="AF57" s="144"/>
      <c r="AG57" s="522"/>
      <c r="AK57" s="105"/>
    </row>
    <row r="58" spans="1:39" s="104" customFormat="1" ht="38.450000000000003" customHeight="1">
      <c r="A58" s="202" t="s">
        <v>294</v>
      </c>
      <c r="B58" s="481" t="s">
        <v>182</v>
      </c>
      <c r="C58" s="95"/>
      <c r="D58" s="112" t="s">
        <v>366</v>
      </c>
      <c r="E58" s="228" t="str">
        <f>VLOOKUP(B58,[2]T3!$B$2:$D$328,3,FALSE)</f>
        <v>025273555</v>
      </c>
      <c r="F58" s="223" t="s">
        <v>224</v>
      </c>
      <c r="G58" s="463" t="s">
        <v>248</v>
      </c>
      <c r="H58" s="464">
        <v>4</v>
      </c>
      <c r="I58" s="465">
        <v>5417685</v>
      </c>
      <c r="J58" s="466"/>
      <c r="K58" s="465"/>
      <c r="L58" s="465">
        <f t="shared" si="0"/>
        <v>5417685</v>
      </c>
      <c r="M58" s="465"/>
      <c r="N58" s="465">
        <f t="shared" si="1"/>
        <v>0</v>
      </c>
      <c r="O58" s="465"/>
      <c r="P58" s="465">
        <f t="shared" si="2"/>
        <v>5417685</v>
      </c>
      <c r="Q58" s="465">
        <f t="shared" si="9"/>
        <v>433414.8</v>
      </c>
      <c r="R58" s="467">
        <f t="shared" si="7"/>
        <v>81265.274999999994</v>
      </c>
      <c r="S58" s="465">
        <f t="shared" si="8"/>
        <v>54176.85</v>
      </c>
      <c r="T58" s="467"/>
      <c r="U58" s="467">
        <f t="shared" si="3"/>
        <v>568856.92499999993</v>
      </c>
      <c r="V58" s="467"/>
      <c r="W58" s="469"/>
      <c r="X58" s="469"/>
      <c r="Y58" s="469"/>
      <c r="Z58" s="469"/>
      <c r="AA58" s="473">
        <f t="shared" si="4"/>
        <v>4848828.0750000002</v>
      </c>
      <c r="AB58" s="101" t="str">
        <f>A58</f>
        <v>46</v>
      </c>
      <c r="AC58" s="255"/>
      <c r="AD58" s="145" t="s">
        <v>184</v>
      </c>
      <c r="AE58" s="117"/>
      <c r="AF58" s="144"/>
      <c r="AG58" s="526"/>
      <c r="AK58" s="105"/>
    </row>
    <row r="59" spans="1:39" s="104" customFormat="1" ht="37.9" customHeight="1">
      <c r="A59" s="202" t="s">
        <v>295</v>
      </c>
      <c r="B59" s="481" t="s">
        <v>400</v>
      </c>
      <c r="C59" s="95"/>
      <c r="D59" s="112" t="s">
        <v>397</v>
      </c>
      <c r="E59" s="228"/>
      <c r="F59" s="209"/>
      <c r="G59" s="463" t="s">
        <v>247</v>
      </c>
      <c r="H59" s="464">
        <v>1</v>
      </c>
      <c r="I59" s="465">
        <v>5007600</v>
      </c>
      <c r="J59" s="466"/>
      <c r="K59" s="465"/>
      <c r="L59" s="465">
        <f t="shared" si="0"/>
        <v>5007600</v>
      </c>
      <c r="M59" s="465"/>
      <c r="N59" s="465">
        <f t="shared" si="1"/>
        <v>0</v>
      </c>
      <c r="O59" s="465"/>
      <c r="P59" s="465">
        <f t="shared" si="2"/>
        <v>5007600</v>
      </c>
      <c r="Q59" s="465">
        <f t="shared" si="9"/>
        <v>400608</v>
      </c>
      <c r="R59" s="467">
        <f t="shared" si="7"/>
        <v>75114</v>
      </c>
      <c r="S59" s="465">
        <f t="shared" si="8"/>
        <v>50076</v>
      </c>
      <c r="T59" s="467"/>
      <c r="U59" s="467">
        <f t="shared" si="3"/>
        <v>525798</v>
      </c>
      <c r="V59" s="467"/>
      <c r="W59" s="467"/>
      <c r="X59" s="467"/>
      <c r="Y59" s="467"/>
      <c r="Z59" s="467"/>
      <c r="AA59" s="473">
        <f t="shared" si="4"/>
        <v>4481802</v>
      </c>
      <c r="AB59" s="101" t="str">
        <f>A59</f>
        <v>47</v>
      </c>
      <c r="AC59" s="118"/>
      <c r="AD59" s="426" t="s">
        <v>398</v>
      </c>
      <c r="AE59" s="441"/>
      <c r="AF59" s="442"/>
      <c r="AG59" s="60"/>
      <c r="AH59" s="60"/>
      <c r="AI59" s="42"/>
      <c r="AJ59" s="42"/>
      <c r="AK59" s="437"/>
      <c r="AL59" s="42"/>
      <c r="AM59" s="42"/>
    </row>
    <row r="60" spans="1:39" s="529" customFormat="1" ht="31.9" customHeight="1">
      <c r="A60" s="202" t="s">
        <v>315</v>
      </c>
      <c r="B60" s="481" t="s">
        <v>144</v>
      </c>
      <c r="C60" s="95" t="s">
        <v>9</v>
      </c>
      <c r="D60" s="112" t="s">
        <v>10</v>
      </c>
      <c r="E60" s="228" t="str">
        <f>VLOOKUP(B60,[2]T3!$B$2:$D$328,3,FALSE)</f>
        <v>273417648</v>
      </c>
      <c r="F60" s="223" t="s">
        <v>220</v>
      </c>
      <c r="G60" s="470" t="s">
        <v>244</v>
      </c>
      <c r="H60" s="471">
        <v>4</v>
      </c>
      <c r="I60" s="465">
        <v>6563942</v>
      </c>
      <c r="J60" s="466"/>
      <c r="K60" s="465"/>
      <c r="L60" s="465">
        <f t="shared" si="0"/>
        <v>6563942</v>
      </c>
      <c r="M60" s="465"/>
      <c r="N60" s="465">
        <f t="shared" si="1"/>
        <v>0</v>
      </c>
      <c r="O60" s="465"/>
      <c r="P60" s="465">
        <f t="shared" si="2"/>
        <v>6563942</v>
      </c>
      <c r="Q60" s="465">
        <f t="shared" si="9"/>
        <v>525115.36</v>
      </c>
      <c r="R60" s="467">
        <f t="shared" si="7"/>
        <v>98459.12999999999</v>
      </c>
      <c r="S60" s="465">
        <f t="shared" si="8"/>
        <v>65639.42</v>
      </c>
      <c r="T60" s="467"/>
      <c r="U60" s="467">
        <f t="shared" si="3"/>
        <v>689213.91</v>
      </c>
      <c r="V60" s="467"/>
      <c r="W60" s="467"/>
      <c r="X60" s="467"/>
      <c r="Y60" s="467"/>
      <c r="Z60" s="467"/>
      <c r="AA60" s="473">
        <f t="shared" si="4"/>
        <v>5874728.0899999999</v>
      </c>
      <c r="AB60" s="101" t="str">
        <f t="shared" si="10"/>
        <v>48</v>
      </c>
      <c r="AC60" s="102"/>
      <c r="AD60" s="117" t="s">
        <v>117</v>
      </c>
      <c r="AE60" s="109"/>
      <c r="AF60" s="120"/>
      <c r="AG60" s="110"/>
      <c r="AH60" s="110"/>
      <c r="AK60" s="111"/>
    </row>
    <row r="61" spans="1:39" s="104" customFormat="1" ht="31.5" customHeight="1">
      <c r="A61" s="202" t="s">
        <v>365</v>
      </c>
      <c r="B61" s="481" t="s">
        <v>311</v>
      </c>
      <c r="C61" s="95"/>
      <c r="D61" s="112" t="s">
        <v>312</v>
      </c>
      <c r="E61" s="228"/>
      <c r="F61" s="223"/>
      <c r="G61" s="463" t="s">
        <v>247</v>
      </c>
      <c r="H61" s="464">
        <v>2</v>
      </c>
      <c r="I61" s="465">
        <v>5257980</v>
      </c>
      <c r="J61" s="466"/>
      <c r="K61" s="465"/>
      <c r="L61" s="465">
        <f t="shared" si="0"/>
        <v>5257980</v>
      </c>
      <c r="M61" s="465"/>
      <c r="N61" s="465">
        <f t="shared" si="1"/>
        <v>0</v>
      </c>
      <c r="O61" s="465"/>
      <c r="P61" s="465">
        <f t="shared" si="2"/>
        <v>5257980</v>
      </c>
      <c r="Q61" s="465">
        <f t="shared" si="9"/>
        <v>420638.4</v>
      </c>
      <c r="R61" s="467">
        <f t="shared" si="7"/>
        <v>78869.7</v>
      </c>
      <c r="S61" s="465">
        <f t="shared" si="8"/>
        <v>52579.8</v>
      </c>
      <c r="T61" s="467"/>
      <c r="U61" s="467">
        <f t="shared" si="3"/>
        <v>552087.9</v>
      </c>
      <c r="V61" s="467"/>
      <c r="W61" s="469"/>
      <c r="X61" s="469"/>
      <c r="Y61" s="469"/>
      <c r="Z61" s="469"/>
      <c r="AA61" s="473">
        <f t="shared" si="4"/>
        <v>4705892.0999999996</v>
      </c>
      <c r="AB61" s="101" t="str">
        <f t="shared" si="10"/>
        <v>49</v>
      </c>
      <c r="AC61" s="255"/>
      <c r="AD61" s="255" t="s">
        <v>310</v>
      </c>
      <c r="AE61" s="117"/>
      <c r="AF61" s="144"/>
      <c r="AG61" s="518"/>
      <c r="AK61" s="105"/>
    </row>
    <row r="62" spans="1:39" s="104" customFormat="1" ht="30" customHeight="1">
      <c r="A62" s="202" t="s">
        <v>388</v>
      </c>
      <c r="B62" s="481" t="s">
        <v>143</v>
      </c>
      <c r="C62" s="95" t="s">
        <v>115</v>
      </c>
      <c r="D62" s="112" t="s">
        <v>10</v>
      </c>
      <c r="E62" s="228" t="str">
        <f>VLOOKUP(B62,[2]T3!$B$2:$D$328,3,FALSE)</f>
        <v>250835904</v>
      </c>
      <c r="F62" s="223" t="s">
        <v>219</v>
      </c>
      <c r="G62" s="470" t="s">
        <v>244</v>
      </c>
      <c r="H62" s="471">
        <v>4</v>
      </c>
      <c r="I62" s="465">
        <v>6563942</v>
      </c>
      <c r="J62" s="466"/>
      <c r="K62" s="465"/>
      <c r="L62" s="465">
        <f t="shared" si="0"/>
        <v>6563942</v>
      </c>
      <c r="M62" s="465"/>
      <c r="N62" s="465">
        <f t="shared" si="1"/>
        <v>0</v>
      </c>
      <c r="O62" s="465"/>
      <c r="P62" s="465">
        <f t="shared" si="2"/>
        <v>6563942</v>
      </c>
      <c r="Q62" s="465">
        <f t="shared" si="9"/>
        <v>525115.36</v>
      </c>
      <c r="R62" s="467">
        <f t="shared" si="7"/>
        <v>98459.12999999999</v>
      </c>
      <c r="S62" s="465">
        <f t="shared" si="8"/>
        <v>65639.42</v>
      </c>
      <c r="T62" s="467"/>
      <c r="U62" s="467">
        <f t="shared" si="3"/>
        <v>689213.91</v>
      </c>
      <c r="V62" s="467"/>
      <c r="W62" s="467"/>
      <c r="X62" s="467"/>
      <c r="Y62" s="467"/>
      <c r="Z62" s="467"/>
      <c r="AA62" s="473">
        <f t="shared" si="4"/>
        <v>5874728.0899999999</v>
      </c>
      <c r="AB62" s="101" t="str">
        <f t="shared" si="10"/>
        <v>50</v>
      </c>
      <c r="AC62" s="102"/>
      <c r="AD62" s="127" t="s">
        <v>116</v>
      </c>
      <c r="AE62" s="109"/>
      <c r="AF62" s="120"/>
      <c r="AG62" s="110"/>
      <c r="AH62" s="110"/>
      <c r="AK62" s="111"/>
    </row>
    <row r="63" spans="1:39" s="104" customFormat="1" ht="30" customHeight="1">
      <c r="A63" s="202" t="s">
        <v>389</v>
      </c>
      <c r="B63" s="481" t="s">
        <v>166</v>
      </c>
      <c r="C63" s="159"/>
      <c r="D63" s="112" t="s">
        <v>271</v>
      </c>
      <c r="E63" s="226"/>
      <c r="F63" s="209"/>
      <c r="G63" s="470" t="s">
        <v>244</v>
      </c>
      <c r="H63" s="464">
        <v>12</v>
      </c>
      <c r="I63" s="465">
        <v>11278075</v>
      </c>
      <c r="J63" s="472">
        <v>0.1</v>
      </c>
      <c r="K63" s="466">
        <f>I63*J63</f>
        <v>1127807.5</v>
      </c>
      <c r="L63" s="465">
        <f t="shared" si="0"/>
        <v>12405883</v>
      </c>
      <c r="M63" s="465"/>
      <c r="N63" s="465">
        <f t="shared" si="1"/>
        <v>0</v>
      </c>
      <c r="O63" s="465"/>
      <c r="P63" s="465">
        <f t="shared" si="2"/>
        <v>12405883</v>
      </c>
      <c r="Q63" s="465">
        <f t="shared" si="9"/>
        <v>992470.64</v>
      </c>
      <c r="R63" s="467">
        <f t="shared" si="7"/>
        <v>186088.245</v>
      </c>
      <c r="S63" s="465">
        <f t="shared" si="8"/>
        <v>124058.83</v>
      </c>
      <c r="T63" s="467"/>
      <c r="U63" s="467">
        <f t="shared" si="3"/>
        <v>1302617.7150000001</v>
      </c>
      <c r="V63" s="467"/>
      <c r="W63" s="467"/>
      <c r="X63" s="467"/>
      <c r="Y63" s="467"/>
      <c r="Z63" s="467"/>
      <c r="AA63" s="473">
        <f t="shared" si="4"/>
        <v>11103265.285</v>
      </c>
      <c r="AB63" s="101" t="str">
        <f t="shared" si="10"/>
        <v>51</v>
      </c>
      <c r="AC63" s="102"/>
      <c r="AD63" s="117"/>
      <c r="AE63" s="528"/>
      <c r="AF63" s="529"/>
      <c r="AG63" s="529"/>
      <c r="AK63" s="105"/>
    </row>
    <row r="64" spans="1:39" s="554" customFormat="1" ht="39" customHeight="1">
      <c r="A64" s="202" t="s">
        <v>390</v>
      </c>
      <c r="B64" s="481" t="s">
        <v>350</v>
      </c>
      <c r="C64" s="95"/>
      <c r="D64" s="112" t="s">
        <v>351</v>
      </c>
      <c r="E64" s="228"/>
      <c r="F64" s="209"/>
      <c r="G64" s="463" t="s">
        <v>247</v>
      </c>
      <c r="H64" s="464">
        <v>5</v>
      </c>
      <c r="I64" s="465">
        <v>6086769</v>
      </c>
      <c r="J64" s="466"/>
      <c r="K64" s="465"/>
      <c r="L64" s="465">
        <f t="shared" si="0"/>
        <v>6086769</v>
      </c>
      <c r="M64" s="465"/>
      <c r="N64" s="465">
        <f t="shared" si="1"/>
        <v>0</v>
      </c>
      <c r="O64" s="465"/>
      <c r="P64" s="465">
        <f t="shared" si="2"/>
        <v>6086769</v>
      </c>
      <c r="Q64" s="465">
        <f t="shared" si="9"/>
        <v>486941.52</v>
      </c>
      <c r="R64" s="467">
        <f t="shared" si="7"/>
        <v>91301.535000000003</v>
      </c>
      <c r="S64" s="465">
        <f t="shared" si="8"/>
        <v>60867.69</v>
      </c>
      <c r="T64" s="467"/>
      <c r="U64" s="467">
        <f t="shared" si="3"/>
        <v>639110.74500000011</v>
      </c>
      <c r="V64" s="467"/>
      <c r="W64" s="467"/>
      <c r="X64" s="468"/>
      <c r="Y64" s="467"/>
      <c r="Z64" s="467"/>
      <c r="AA64" s="473">
        <f t="shared" si="4"/>
        <v>5447658.2549999999</v>
      </c>
      <c r="AB64" s="101" t="str">
        <f t="shared" si="10"/>
        <v>52</v>
      </c>
      <c r="AC64" s="102"/>
      <c r="AD64" s="102"/>
      <c r="AE64" s="120"/>
      <c r="AF64" s="116"/>
      <c r="AK64" s="553"/>
    </row>
    <row r="65" spans="1:39" s="565" customFormat="1" ht="39" customHeight="1">
      <c r="A65" s="202" t="s">
        <v>391</v>
      </c>
      <c r="B65" s="582" t="s">
        <v>415</v>
      </c>
      <c r="C65" s="421"/>
      <c r="D65" s="112" t="s">
        <v>351</v>
      </c>
      <c r="E65" s="266"/>
      <c r="F65" s="422"/>
      <c r="G65" s="583" t="s">
        <v>248</v>
      </c>
      <c r="H65" s="584">
        <v>1</v>
      </c>
      <c r="I65" s="585">
        <v>4680000</v>
      </c>
      <c r="J65" s="586"/>
      <c r="K65" s="585"/>
      <c r="L65" s="585">
        <f t="shared" si="0"/>
        <v>4680000</v>
      </c>
      <c r="M65" s="585"/>
      <c r="N65" s="585">
        <f t="shared" si="1"/>
        <v>0</v>
      </c>
      <c r="O65" s="585"/>
      <c r="P65" s="585">
        <f t="shared" si="2"/>
        <v>4680000</v>
      </c>
      <c r="Q65" s="585">
        <f t="shared" si="9"/>
        <v>374400</v>
      </c>
      <c r="R65" s="587">
        <f t="shared" si="7"/>
        <v>70200</v>
      </c>
      <c r="S65" s="585">
        <f t="shared" si="8"/>
        <v>46800</v>
      </c>
      <c r="T65" s="587"/>
      <c r="U65" s="587">
        <f t="shared" si="3"/>
        <v>491400</v>
      </c>
      <c r="V65" s="587"/>
      <c r="W65" s="587"/>
      <c r="X65" s="588"/>
      <c r="Y65" s="587"/>
      <c r="Z65" s="587"/>
      <c r="AA65" s="589">
        <f t="shared" si="4"/>
        <v>4188600</v>
      </c>
      <c r="AB65" s="590"/>
      <c r="AC65" s="120"/>
      <c r="AD65" s="120" t="s">
        <v>414</v>
      </c>
      <c r="AE65" s="144"/>
      <c r="AF65" s="116"/>
      <c r="AK65" s="564"/>
    </row>
    <row r="66" spans="1:39" s="104" customFormat="1" ht="34.9" customHeight="1">
      <c r="A66" s="202" t="s">
        <v>392</v>
      </c>
      <c r="B66" s="532" t="s">
        <v>282</v>
      </c>
      <c r="C66" s="319"/>
      <c r="D66" s="320" t="s">
        <v>283</v>
      </c>
      <c r="E66" s="230"/>
      <c r="F66" s="321"/>
      <c r="G66" s="533" t="s">
        <v>244</v>
      </c>
      <c r="H66" s="534">
        <v>11</v>
      </c>
      <c r="I66" s="535">
        <v>10540257</v>
      </c>
      <c r="J66" s="536"/>
      <c r="K66" s="535"/>
      <c r="L66" s="535">
        <f t="shared" si="0"/>
        <v>10540257</v>
      </c>
      <c r="M66" s="535"/>
      <c r="N66" s="535">
        <f t="shared" si="1"/>
        <v>0</v>
      </c>
      <c r="O66" s="535"/>
      <c r="P66" s="535">
        <f t="shared" si="2"/>
        <v>10540257</v>
      </c>
      <c r="Q66" s="535">
        <v>0</v>
      </c>
      <c r="R66" s="537">
        <v>0</v>
      </c>
      <c r="S66" s="535">
        <v>0</v>
      </c>
      <c r="T66" s="537"/>
      <c r="U66" s="537">
        <f t="shared" si="3"/>
        <v>0</v>
      </c>
      <c r="V66" s="537"/>
      <c r="W66" s="538"/>
      <c r="X66" s="538"/>
      <c r="Y66" s="538"/>
      <c r="Z66" s="538"/>
      <c r="AA66" s="539">
        <f t="shared" si="4"/>
        <v>10540257</v>
      </c>
      <c r="AB66" s="327" t="str">
        <f t="shared" si="10"/>
        <v>54</v>
      </c>
      <c r="AC66" s="328"/>
      <c r="AD66" s="255" t="s">
        <v>280</v>
      </c>
      <c r="AE66" s="627" t="s">
        <v>332</v>
      </c>
      <c r="AF66" s="628"/>
      <c r="AG66" s="628"/>
      <c r="AK66" s="105"/>
    </row>
    <row r="67" spans="1:39" ht="33" customHeight="1">
      <c r="A67" s="88"/>
      <c r="B67" s="629" t="s">
        <v>11</v>
      </c>
      <c r="C67" s="630"/>
      <c r="D67" s="161"/>
      <c r="E67" s="161"/>
      <c r="F67" s="82"/>
      <c r="G67" s="474"/>
      <c r="H67" s="475">
        <f>SUM(H13:H66)</f>
        <v>233</v>
      </c>
      <c r="I67" s="476">
        <f>SUM(I13:I66)+1</f>
        <v>339051044</v>
      </c>
      <c r="J67" s="477">
        <f>SUM(J24:J64)</f>
        <v>0.66999999999999993</v>
      </c>
      <c r="K67" s="476">
        <f>SUM(K13:K66)</f>
        <v>6118543.4099999992</v>
      </c>
      <c r="L67" s="476">
        <f>SUM(L13:L66)</f>
        <v>345169587</v>
      </c>
      <c r="M67" s="476"/>
      <c r="N67" s="476">
        <f t="shared" ref="N67:Z67" si="11">SUM(N13:N66)</f>
        <v>0</v>
      </c>
      <c r="O67" s="476">
        <f t="shared" si="11"/>
        <v>0</v>
      </c>
      <c r="P67" s="476">
        <f>SUM(P13:P66)</f>
        <v>345169587</v>
      </c>
      <c r="Q67" s="476">
        <f>SUM(Q13:Q66)</f>
        <v>26279584.399999987</v>
      </c>
      <c r="R67" s="476">
        <f>SUM(R13:R66)</f>
        <v>4927422.0750000002</v>
      </c>
      <c r="S67" s="476">
        <f>SUM(S13:S66)</f>
        <v>3284948.0499999984</v>
      </c>
      <c r="T67" s="477">
        <f t="shared" si="11"/>
        <v>0</v>
      </c>
      <c r="U67" s="476">
        <f>SUM(U13:U66)-1</f>
        <v>34491953.524999999</v>
      </c>
      <c r="V67" s="478">
        <f t="shared" si="11"/>
        <v>0</v>
      </c>
      <c r="W67" s="476">
        <f t="shared" si="11"/>
        <v>0</v>
      </c>
      <c r="X67" s="478">
        <f t="shared" si="11"/>
        <v>0</v>
      </c>
      <c r="Y67" s="476">
        <f t="shared" si="11"/>
        <v>0</v>
      </c>
      <c r="Z67" s="479">
        <f t="shared" si="11"/>
        <v>852000</v>
      </c>
      <c r="AA67" s="476">
        <f>SUM(AA13:AA66)+1</f>
        <v>311529633.4749999</v>
      </c>
      <c r="AB67" s="90"/>
      <c r="AC67" s="91"/>
      <c r="AD67" s="92"/>
      <c r="AE67" s="71" t="s">
        <v>77</v>
      </c>
      <c r="AF67" s="60"/>
      <c r="AG67" s="60"/>
    </row>
    <row r="68" spans="1:39" ht="44.25" hidden="1" customHeight="1">
      <c r="A68" s="6"/>
      <c r="B68" s="142"/>
      <c r="C68" s="64"/>
      <c r="D68" s="162"/>
      <c r="E68" s="162"/>
      <c r="F68" s="204"/>
      <c r="G68" s="47"/>
      <c r="H68" s="46"/>
      <c r="I68" s="52"/>
      <c r="J68" s="46"/>
      <c r="K68" s="52"/>
      <c r="L68" s="52"/>
      <c r="M68" s="52"/>
      <c r="N68" s="52"/>
      <c r="O68" s="52"/>
      <c r="P68" s="52"/>
      <c r="Q68" s="345">
        <v>21574227</v>
      </c>
      <c r="R68" s="345">
        <v>4045167</v>
      </c>
      <c r="S68" s="345">
        <v>2696778</v>
      </c>
      <c r="T68" s="344"/>
      <c r="U68" s="345">
        <v>28316172</v>
      </c>
      <c r="V68" s="344"/>
      <c r="W68" s="344"/>
      <c r="X68" s="344"/>
      <c r="Y68" s="344"/>
      <c r="Z68" s="344"/>
      <c r="AA68" s="345">
        <v>255377566</v>
      </c>
      <c r="AB68" s="54"/>
      <c r="AC68" s="68"/>
      <c r="AD68" s="68"/>
      <c r="AE68" s="69"/>
      <c r="AF68" s="69"/>
      <c r="AG68" s="69"/>
    </row>
    <row r="69" spans="1:39" s="42" customFormat="1" ht="12.6" customHeight="1">
      <c r="A69" s="484"/>
      <c r="B69" s="485"/>
      <c r="C69" s="486"/>
      <c r="D69" s="487"/>
      <c r="E69" s="487"/>
      <c r="F69" s="488"/>
      <c r="G69" s="489"/>
      <c r="H69" s="490"/>
      <c r="I69" s="485"/>
      <c r="J69" s="490"/>
      <c r="K69" s="485"/>
      <c r="L69" s="485"/>
      <c r="M69" s="485"/>
      <c r="N69" s="485"/>
      <c r="O69" s="485"/>
      <c r="P69" s="485"/>
      <c r="Q69" s="491"/>
      <c r="R69" s="491"/>
      <c r="S69" s="491"/>
      <c r="T69" s="485"/>
      <c r="U69" s="491"/>
      <c r="V69" s="485"/>
      <c r="W69" s="485"/>
      <c r="X69" s="485"/>
      <c r="Y69" s="485"/>
      <c r="Z69" s="485"/>
      <c r="AA69" s="491"/>
      <c r="AB69" s="492"/>
      <c r="AC69" s="438"/>
      <c r="AD69" s="438"/>
      <c r="AE69" s="69"/>
      <c r="AF69" s="69"/>
      <c r="AG69" s="69"/>
      <c r="AK69" s="58"/>
    </row>
    <row r="70" spans="1:39" s="42" customFormat="1" ht="18.75" customHeight="1">
      <c r="A70" s="435"/>
      <c r="B70" s="654" t="s">
        <v>12</v>
      </c>
      <c r="C70" s="654"/>
      <c r="D70" s="428" t="s">
        <v>441</v>
      </c>
      <c r="E70" s="428"/>
      <c r="F70" s="493"/>
      <c r="G70" s="494"/>
      <c r="H70" s="494"/>
      <c r="I70" s="494"/>
      <c r="J70" s="495"/>
      <c r="K70" s="494"/>
      <c r="L70" s="494"/>
      <c r="M70" s="494"/>
      <c r="N70" s="494"/>
      <c r="O70" s="494"/>
      <c r="P70" s="494"/>
      <c r="Q70" s="494"/>
      <c r="R70" s="494"/>
      <c r="S70" s="430"/>
      <c r="T70" s="430"/>
      <c r="U70" s="430"/>
      <c r="V70" s="430"/>
      <c r="W70" s="430"/>
      <c r="X70" s="430"/>
      <c r="Y70" s="430"/>
      <c r="Z70" s="430"/>
      <c r="AA70" s="430"/>
      <c r="AB70" s="428"/>
      <c r="AC70" s="496"/>
      <c r="AD70" s="496"/>
      <c r="AE70" s="69"/>
      <c r="AF70" s="60"/>
      <c r="AG70" s="60"/>
      <c r="AK70" s="58"/>
    </row>
    <row r="71" spans="1:39" s="42" customFormat="1" ht="7.5" customHeight="1">
      <c r="A71" s="435"/>
      <c r="B71" s="654"/>
      <c r="C71" s="654"/>
      <c r="D71" s="497"/>
      <c r="E71" s="497"/>
      <c r="F71" s="498"/>
      <c r="G71" s="499"/>
      <c r="H71" s="499"/>
      <c r="I71" s="500"/>
      <c r="J71" s="500"/>
      <c r="K71" s="500"/>
      <c r="L71" s="500"/>
      <c r="M71" s="500"/>
      <c r="N71" s="500"/>
      <c r="O71" s="500"/>
      <c r="P71" s="500"/>
      <c r="Q71" s="500"/>
      <c r="R71" s="500"/>
      <c r="S71" s="500"/>
      <c r="T71" s="500"/>
      <c r="U71" s="500"/>
      <c r="V71" s="500"/>
      <c r="W71" s="500"/>
      <c r="X71" s="500"/>
      <c r="Y71" s="500"/>
      <c r="Z71" s="500"/>
      <c r="AA71" s="500"/>
      <c r="AB71" s="655"/>
      <c r="AC71" s="655"/>
      <c r="AD71" s="500"/>
      <c r="AE71" s="648" t="e">
        <f>1000000-#REF!</f>
        <v>#REF!</v>
      </c>
      <c r="AF71" s="644"/>
      <c r="AG71" s="644"/>
      <c r="AK71" s="58"/>
    </row>
    <row r="72" spans="1:39" s="291" customFormat="1" ht="21" customHeight="1">
      <c r="B72" s="642"/>
      <c r="C72" s="642"/>
      <c r="D72" s="509"/>
      <c r="E72" s="509"/>
      <c r="F72" s="510"/>
      <c r="J72" s="511"/>
      <c r="S72" s="653" t="s">
        <v>432</v>
      </c>
      <c r="T72" s="653"/>
      <c r="U72" s="653"/>
      <c r="V72" s="653"/>
      <c r="W72" s="653"/>
      <c r="X72" s="653"/>
      <c r="Y72" s="653"/>
      <c r="Z72" s="653"/>
      <c r="AA72" s="653"/>
      <c r="AB72" s="653"/>
      <c r="AC72" s="653"/>
      <c r="AD72" s="651"/>
      <c r="AE72" s="642"/>
      <c r="AF72" s="642"/>
      <c r="AG72" s="642"/>
      <c r="AK72" s="512"/>
    </row>
    <row r="73" spans="1:39" s="291" customFormat="1" ht="15.75" customHeight="1">
      <c r="A73" s="643" t="s">
        <v>13</v>
      </c>
      <c r="B73" s="643"/>
      <c r="C73" s="643"/>
      <c r="D73" s="643"/>
      <c r="E73" s="643"/>
      <c r="F73" s="643"/>
      <c r="G73" s="643"/>
      <c r="H73" s="643"/>
      <c r="I73" s="643" t="s">
        <v>183</v>
      </c>
      <c r="J73" s="643"/>
      <c r="K73" s="643"/>
      <c r="L73" s="643"/>
      <c r="M73" s="643"/>
      <c r="N73" s="643"/>
      <c r="O73" s="643"/>
      <c r="P73" s="643"/>
      <c r="Q73" s="643"/>
      <c r="R73" s="643"/>
      <c r="S73" s="643" t="s">
        <v>14</v>
      </c>
      <c r="T73" s="643"/>
      <c r="U73" s="643"/>
      <c r="V73" s="643"/>
      <c r="W73" s="643"/>
      <c r="X73" s="643"/>
      <c r="Y73" s="643"/>
      <c r="Z73" s="643"/>
      <c r="AA73" s="643"/>
      <c r="AB73" s="643"/>
      <c r="AC73" s="643"/>
      <c r="AD73" s="652"/>
      <c r="AE73" s="646"/>
      <c r="AF73" s="646"/>
      <c r="AG73" s="646"/>
      <c r="AK73" s="512"/>
    </row>
    <row r="74" spans="1:39" s="291" customFormat="1" ht="15.75" customHeight="1">
      <c r="B74" s="649"/>
      <c r="C74" s="649"/>
      <c r="D74" s="509"/>
      <c r="E74" s="509"/>
      <c r="F74" s="510"/>
      <c r="I74" s="511"/>
      <c r="J74" s="511"/>
      <c r="K74" s="511"/>
      <c r="L74" s="511"/>
      <c r="M74" s="511"/>
      <c r="N74" s="511"/>
      <c r="O74" s="511"/>
      <c r="P74" s="511"/>
      <c r="Q74" s="514"/>
      <c r="R74" s="511"/>
      <c r="S74" s="511"/>
      <c r="T74" s="511"/>
      <c r="U74" s="511"/>
      <c r="V74" s="511"/>
      <c r="AB74" s="649"/>
      <c r="AC74" s="649"/>
      <c r="AD74" s="511"/>
      <c r="AE74" s="642"/>
      <c r="AF74" s="642"/>
      <c r="AG74" s="642"/>
      <c r="AK74" s="512"/>
    </row>
    <row r="75" spans="1:39" s="291" customFormat="1" ht="15.75" customHeight="1">
      <c r="B75" s="642"/>
      <c r="C75" s="642"/>
      <c r="D75" s="509"/>
      <c r="E75" s="509"/>
      <c r="F75" s="510"/>
      <c r="I75" s="511"/>
      <c r="J75" s="511"/>
      <c r="K75" s="511"/>
      <c r="L75" s="511"/>
      <c r="M75" s="511"/>
      <c r="N75" s="511"/>
      <c r="O75" s="511"/>
      <c r="P75" s="511"/>
      <c r="Q75" s="511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6"/>
      <c r="AG75" s="516"/>
      <c r="AH75" s="516"/>
      <c r="AI75" s="516"/>
      <c r="AJ75" s="516"/>
      <c r="AK75" s="516"/>
      <c r="AL75" s="516"/>
      <c r="AM75" s="516"/>
    </row>
    <row r="76" spans="1:39" s="291" customFormat="1" ht="15.75" customHeight="1">
      <c r="D76" s="509"/>
      <c r="E76" s="509"/>
      <c r="F76" s="510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AC76" s="516"/>
      <c r="AD76" s="516"/>
      <c r="AE76" s="516"/>
      <c r="AF76" s="516"/>
      <c r="AG76" s="516"/>
      <c r="AH76" s="516"/>
      <c r="AI76" s="516"/>
      <c r="AJ76" s="516"/>
      <c r="AK76" s="516"/>
      <c r="AL76" s="516"/>
      <c r="AM76" s="516"/>
    </row>
    <row r="77" spans="1:39" s="291" customFormat="1" ht="9.75" customHeight="1">
      <c r="B77" s="642"/>
      <c r="C77" s="642"/>
      <c r="D77" s="509"/>
      <c r="E77" s="509"/>
      <c r="F77" s="510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AB77" s="649"/>
      <c r="AC77" s="649"/>
      <c r="AD77" s="511"/>
      <c r="AE77" s="650"/>
      <c r="AF77" s="642"/>
      <c r="AG77" s="642"/>
      <c r="AK77" s="512"/>
    </row>
    <row r="78" spans="1:39" s="291" customFormat="1" ht="15.75" customHeight="1">
      <c r="B78" s="642"/>
      <c r="C78" s="642"/>
      <c r="D78" s="509"/>
      <c r="E78" s="509"/>
      <c r="F78" s="510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AB78" s="649"/>
      <c r="AC78" s="649"/>
      <c r="AD78" s="511"/>
      <c r="AE78" s="650"/>
      <c r="AF78" s="642"/>
      <c r="AG78" s="642"/>
      <c r="AK78" s="512"/>
    </row>
    <row r="79" spans="1:39" s="291" customFormat="1" ht="15.75" customHeight="1">
      <c r="B79" s="642"/>
      <c r="C79" s="642"/>
      <c r="D79" s="509"/>
      <c r="E79" s="509"/>
      <c r="F79" s="510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AB79" s="649"/>
      <c r="AC79" s="649"/>
      <c r="AD79" s="511"/>
      <c r="AE79" s="650"/>
      <c r="AF79" s="642"/>
      <c r="AG79" s="642"/>
      <c r="AK79" s="512"/>
    </row>
    <row r="80" spans="1:39" s="291" customFormat="1" ht="15.75" customHeight="1">
      <c r="A80" s="643" t="s">
        <v>227</v>
      </c>
      <c r="B80" s="643"/>
      <c r="C80" s="643"/>
      <c r="D80" s="643"/>
      <c r="E80" s="643"/>
      <c r="F80" s="643"/>
      <c r="G80" s="643"/>
      <c r="H80" s="643"/>
      <c r="I80" s="643" t="s">
        <v>123</v>
      </c>
      <c r="J80" s="643"/>
      <c r="K80" s="643"/>
      <c r="L80" s="643"/>
      <c r="M80" s="643"/>
      <c r="N80" s="643"/>
      <c r="O80" s="643"/>
      <c r="P80" s="643"/>
      <c r="Q80" s="643"/>
      <c r="R80" s="643"/>
      <c r="S80" s="643" t="s">
        <v>120</v>
      </c>
      <c r="T80" s="643"/>
      <c r="U80" s="643"/>
      <c r="V80" s="643"/>
      <c r="W80" s="643"/>
      <c r="X80" s="643"/>
      <c r="Y80" s="643"/>
      <c r="Z80" s="643"/>
      <c r="AA80" s="643"/>
      <c r="AB80" s="643"/>
      <c r="AC80" s="643"/>
      <c r="AD80" s="513"/>
      <c r="AE80" s="646"/>
      <c r="AF80" s="646"/>
      <c r="AG80" s="646"/>
      <c r="AK80" s="512"/>
    </row>
    <row r="81" spans="1:37" s="42" customFormat="1">
      <c r="A81" s="501"/>
      <c r="B81" s="502"/>
      <c r="C81" s="503"/>
      <c r="D81" s="504"/>
      <c r="E81" s="504"/>
      <c r="F81" s="505"/>
      <c r="G81" s="502"/>
      <c r="H81" s="502"/>
      <c r="I81" s="502"/>
      <c r="J81" s="506"/>
      <c r="K81" s="502"/>
      <c r="L81" s="502"/>
      <c r="M81" s="502"/>
      <c r="N81" s="502"/>
      <c r="O81" s="502"/>
      <c r="P81" s="502"/>
      <c r="Q81" s="502"/>
      <c r="R81" s="502"/>
      <c r="S81" s="502"/>
      <c r="T81" s="502"/>
      <c r="U81" s="502"/>
      <c r="V81" s="502"/>
      <c r="W81" s="502"/>
      <c r="X81" s="502"/>
      <c r="Y81" s="502"/>
      <c r="Z81" s="502"/>
      <c r="AA81" s="502"/>
      <c r="AB81" s="647"/>
      <c r="AC81" s="647"/>
      <c r="AD81" s="506"/>
      <c r="AE81" s="648"/>
      <c r="AF81" s="644"/>
      <c r="AG81" s="644"/>
      <c r="AK81" s="58"/>
    </row>
    <row r="82" spans="1:37" s="42" customFormat="1">
      <c r="B82" s="507"/>
      <c r="C82" s="60"/>
      <c r="D82" s="508"/>
      <c r="E82" s="508"/>
      <c r="F82" s="493"/>
      <c r="G82" s="507"/>
      <c r="H82" s="507"/>
      <c r="I82" s="494"/>
      <c r="J82" s="495"/>
      <c r="K82" s="494"/>
      <c r="L82" s="494"/>
      <c r="M82" s="494"/>
      <c r="N82" s="494"/>
      <c r="O82" s="494"/>
      <c r="P82" s="494"/>
      <c r="Q82" s="494"/>
      <c r="R82" s="494"/>
      <c r="S82" s="494"/>
      <c r="T82" s="494"/>
      <c r="U82" s="494"/>
      <c r="V82" s="494"/>
      <c r="W82" s="494"/>
      <c r="X82" s="494"/>
      <c r="Y82" s="494"/>
      <c r="Z82" s="494"/>
      <c r="AA82" s="494"/>
      <c r="AB82" s="645"/>
      <c r="AC82" s="645"/>
      <c r="AD82" s="495"/>
      <c r="AE82" s="644"/>
      <c r="AF82" s="644"/>
      <c r="AG82" s="644"/>
      <c r="AK82" s="58"/>
    </row>
    <row r="83" spans="1:37" s="42" customFormat="1">
      <c r="A83" s="435"/>
      <c r="B83" s="644"/>
      <c r="C83" s="644"/>
      <c r="D83" s="508"/>
      <c r="E83" s="508"/>
      <c r="F83" s="493"/>
      <c r="G83" s="494"/>
      <c r="H83" s="494"/>
      <c r="I83" s="494"/>
      <c r="J83" s="495"/>
      <c r="K83" s="494"/>
      <c r="L83" s="494"/>
      <c r="M83" s="494"/>
      <c r="N83" s="494"/>
      <c r="O83" s="494"/>
      <c r="P83" s="494"/>
      <c r="Q83" s="494"/>
      <c r="R83" s="494"/>
      <c r="S83" s="494"/>
      <c r="T83" s="494"/>
      <c r="U83" s="494"/>
      <c r="V83" s="494"/>
      <c r="W83" s="494"/>
      <c r="X83" s="494"/>
      <c r="Y83" s="494"/>
      <c r="Z83" s="494"/>
      <c r="AA83" s="494"/>
      <c r="AB83" s="645"/>
      <c r="AC83" s="645"/>
      <c r="AD83" s="495"/>
      <c r="AE83" s="644"/>
      <c r="AF83" s="644"/>
      <c r="AG83" s="644"/>
      <c r="AK83" s="58"/>
    </row>
    <row r="84" spans="1:37" s="42" customFormat="1">
      <c r="A84" s="435"/>
      <c r="B84" s="644"/>
      <c r="C84" s="644"/>
      <c r="D84" s="508"/>
      <c r="E84" s="508"/>
      <c r="F84" s="493"/>
      <c r="G84" s="494"/>
      <c r="H84" s="494"/>
      <c r="I84" s="494"/>
      <c r="J84" s="495"/>
      <c r="K84" s="494"/>
      <c r="L84" s="494"/>
      <c r="M84" s="494"/>
      <c r="N84" s="494"/>
      <c r="O84" s="494"/>
      <c r="P84" s="494"/>
      <c r="Q84" s="494"/>
      <c r="R84" s="494"/>
      <c r="S84" s="494"/>
      <c r="T84" s="494"/>
      <c r="U84" s="494"/>
      <c r="V84" s="494"/>
      <c r="W84" s="494"/>
      <c r="X84" s="494"/>
      <c r="Y84" s="494"/>
      <c r="Z84" s="494"/>
      <c r="AA84" s="494"/>
      <c r="AB84" s="645"/>
      <c r="AC84" s="645"/>
      <c r="AD84" s="495"/>
      <c r="AE84" s="644"/>
      <c r="AF84" s="644"/>
      <c r="AG84" s="644"/>
      <c r="AK84" s="58"/>
    </row>
    <row r="85" spans="1:37">
      <c r="A85" s="5"/>
      <c r="B85" s="633"/>
      <c r="C85" s="633"/>
      <c r="AB85" s="594"/>
      <c r="AC85" s="594"/>
      <c r="AD85" s="45"/>
      <c r="AE85" s="644"/>
      <c r="AF85" s="644"/>
      <c r="AG85" s="644"/>
    </row>
    <row r="86" spans="1:37">
      <c r="A86" s="5"/>
      <c r="B86" s="633"/>
      <c r="C86" s="633"/>
      <c r="AB86" s="594"/>
      <c r="AC86" s="594"/>
      <c r="AD86" s="45"/>
      <c r="AE86" s="644"/>
      <c r="AF86" s="644"/>
      <c r="AG86" s="644"/>
    </row>
    <row r="87" spans="1:37">
      <c r="A87" s="5"/>
      <c r="B87" s="633"/>
      <c r="C87" s="633"/>
      <c r="AB87" s="594"/>
      <c r="AC87" s="594"/>
      <c r="AD87" s="45"/>
      <c r="AE87" s="644"/>
      <c r="AF87" s="644"/>
      <c r="AG87" s="644"/>
    </row>
    <row r="88" spans="1:37">
      <c r="A88" s="5"/>
      <c r="B88" s="633"/>
      <c r="C88" s="633"/>
      <c r="AB88" s="594"/>
      <c r="AC88" s="594"/>
      <c r="AD88" s="45"/>
      <c r="AE88" s="644"/>
      <c r="AF88" s="644"/>
      <c r="AG88" s="644"/>
    </row>
    <row r="89" spans="1:37">
      <c r="A89" s="5"/>
      <c r="B89" s="633"/>
      <c r="C89" s="633"/>
      <c r="AB89" s="594"/>
      <c r="AC89" s="594"/>
      <c r="AD89" s="45"/>
      <c r="AE89" s="644"/>
      <c r="AF89" s="644"/>
      <c r="AG89" s="644"/>
    </row>
    <row r="90" spans="1:37">
      <c r="A90" s="5"/>
      <c r="B90" s="633"/>
      <c r="C90" s="633"/>
      <c r="AB90" s="594"/>
      <c r="AC90" s="594"/>
      <c r="AD90" s="45"/>
      <c r="AE90" s="644"/>
      <c r="AF90" s="644"/>
      <c r="AG90" s="644"/>
    </row>
    <row r="91" spans="1:37">
      <c r="A91" s="5"/>
      <c r="B91" s="633"/>
      <c r="C91" s="633"/>
      <c r="AB91" s="594"/>
      <c r="AC91" s="594"/>
      <c r="AD91" s="45"/>
      <c r="AE91" s="644"/>
      <c r="AF91" s="644"/>
      <c r="AG91" s="644"/>
    </row>
    <row r="92" spans="1:37">
      <c r="A92" s="5"/>
      <c r="B92" s="633"/>
      <c r="C92" s="633"/>
      <c r="AB92" s="594"/>
      <c r="AC92" s="594"/>
      <c r="AD92" s="45"/>
      <c r="AE92" s="644"/>
      <c r="AF92" s="644"/>
      <c r="AG92" s="644"/>
    </row>
    <row r="93" spans="1:37">
      <c r="A93" s="5"/>
      <c r="B93" s="633"/>
      <c r="C93" s="633"/>
      <c r="AB93" s="594"/>
      <c r="AC93" s="594"/>
      <c r="AD93" s="45"/>
      <c r="AE93" s="644"/>
      <c r="AF93" s="644"/>
      <c r="AG93" s="644"/>
    </row>
    <row r="94" spans="1:37">
      <c r="A94" s="5"/>
      <c r="B94" s="633"/>
      <c r="C94" s="633"/>
      <c r="AB94" s="594"/>
      <c r="AC94" s="594"/>
      <c r="AD94" s="45"/>
      <c r="AE94" s="644"/>
      <c r="AF94" s="644"/>
      <c r="AG94" s="644"/>
    </row>
    <row r="95" spans="1:37">
      <c r="A95" s="5"/>
      <c r="B95" s="633"/>
      <c r="C95" s="633"/>
      <c r="AB95" s="594"/>
      <c r="AC95" s="594"/>
      <c r="AD95" s="45"/>
      <c r="AE95" s="644"/>
      <c r="AF95" s="644"/>
      <c r="AG95" s="644"/>
    </row>
    <row r="96" spans="1:37">
      <c r="A96" s="5"/>
      <c r="B96" s="633"/>
      <c r="C96" s="633"/>
      <c r="AB96" s="594"/>
      <c r="AC96" s="594"/>
      <c r="AD96" s="45"/>
      <c r="AE96" s="644"/>
      <c r="AF96" s="644"/>
      <c r="AG96" s="644"/>
    </row>
    <row r="97" spans="1:33">
      <c r="A97" s="5"/>
      <c r="B97" s="633"/>
      <c r="C97" s="633"/>
      <c r="AB97" s="594"/>
      <c r="AC97" s="594"/>
      <c r="AD97" s="45"/>
      <c r="AE97" s="644"/>
      <c r="AF97" s="644"/>
      <c r="AG97" s="644"/>
    </row>
    <row r="98" spans="1:33">
      <c r="A98" s="5"/>
      <c r="B98" s="633"/>
      <c r="C98" s="633"/>
      <c r="AB98" s="594"/>
      <c r="AC98" s="594"/>
      <c r="AD98" s="45"/>
      <c r="AE98" s="644"/>
      <c r="AF98" s="644"/>
      <c r="AG98" s="644"/>
    </row>
    <row r="99" spans="1:33">
      <c r="A99" s="5"/>
      <c r="B99" s="633"/>
      <c r="C99" s="633"/>
      <c r="AB99" s="594"/>
      <c r="AC99" s="594"/>
      <c r="AD99" s="45"/>
      <c r="AE99" s="644"/>
      <c r="AF99" s="644"/>
      <c r="AG99" s="644"/>
    </row>
  </sheetData>
  <mergeCells count="123">
    <mergeCell ref="A1:H1"/>
    <mergeCell ref="A2:H2"/>
    <mergeCell ref="A5:AC5"/>
    <mergeCell ref="C3:D3"/>
    <mergeCell ref="AJ10:AJ11"/>
    <mergeCell ref="D8:H8"/>
    <mergeCell ref="F10:F11"/>
    <mergeCell ref="D7:H7"/>
    <mergeCell ref="AH3:AI3"/>
    <mergeCell ref="Q3:AA3"/>
    <mergeCell ref="J10:J11"/>
    <mergeCell ref="K10:K11"/>
    <mergeCell ref="L10:L11"/>
    <mergeCell ref="H10:H11"/>
    <mergeCell ref="I10:I11"/>
    <mergeCell ref="P10:P11"/>
    <mergeCell ref="AA10:AA11"/>
    <mergeCell ref="N10:N11"/>
    <mergeCell ref="O10:O11"/>
    <mergeCell ref="AB3:AC3"/>
    <mergeCell ref="AF3:AG3"/>
    <mergeCell ref="D6:H6"/>
    <mergeCell ref="A4:AC4"/>
    <mergeCell ref="AB12:AC12"/>
    <mergeCell ref="AB10:AC11"/>
    <mergeCell ref="A10:A11"/>
    <mergeCell ref="B10:C11"/>
    <mergeCell ref="D10:D11"/>
    <mergeCell ref="G10:G11"/>
    <mergeCell ref="AE24:AG24"/>
    <mergeCell ref="AE71:AG71"/>
    <mergeCell ref="B71:C71"/>
    <mergeCell ref="AB71:AC71"/>
    <mergeCell ref="AE46:AH46"/>
    <mergeCell ref="Z10:Z11"/>
    <mergeCell ref="V10:W10"/>
    <mergeCell ref="X10:Y10"/>
    <mergeCell ref="Q10:U10"/>
    <mergeCell ref="M10:M11"/>
    <mergeCell ref="E10:E11"/>
    <mergeCell ref="AE74:AG74"/>
    <mergeCell ref="B74:C74"/>
    <mergeCell ref="AE72:AG72"/>
    <mergeCell ref="AE73:AG73"/>
    <mergeCell ref="B72:C72"/>
    <mergeCell ref="AE66:AG66"/>
    <mergeCell ref="AB79:AC79"/>
    <mergeCell ref="AE79:AG79"/>
    <mergeCell ref="S80:AC80"/>
    <mergeCell ref="I80:R80"/>
    <mergeCell ref="AB77:AC77"/>
    <mergeCell ref="AB78:AC78"/>
    <mergeCell ref="AE77:AG77"/>
    <mergeCell ref="AB74:AC74"/>
    <mergeCell ref="I73:R73"/>
    <mergeCell ref="AD72:AD73"/>
    <mergeCell ref="S72:AC72"/>
    <mergeCell ref="S73:AC73"/>
    <mergeCell ref="AE78:AG78"/>
    <mergeCell ref="A73:H73"/>
    <mergeCell ref="B67:C67"/>
    <mergeCell ref="B77:C77"/>
    <mergeCell ref="B75:C75"/>
    <mergeCell ref="B70:C70"/>
    <mergeCell ref="AB84:AC84"/>
    <mergeCell ref="AE84:AG84"/>
    <mergeCell ref="AE80:AG80"/>
    <mergeCell ref="B83:C83"/>
    <mergeCell ref="AB83:AC83"/>
    <mergeCell ref="AE83:AG83"/>
    <mergeCell ref="AB81:AC81"/>
    <mergeCell ref="AE81:AG81"/>
    <mergeCell ref="AB82:AC82"/>
    <mergeCell ref="AE82:AG82"/>
    <mergeCell ref="AB89:AC89"/>
    <mergeCell ref="AE89:AG89"/>
    <mergeCell ref="AB88:AC88"/>
    <mergeCell ref="AE88:AG88"/>
    <mergeCell ref="AB87:AC87"/>
    <mergeCell ref="AE87:AG87"/>
    <mergeCell ref="AB86:AC86"/>
    <mergeCell ref="AE86:AG86"/>
    <mergeCell ref="AB85:AC85"/>
    <mergeCell ref="AE85:AG85"/>
    <mergeCell ref="AB92:AC92"/>
    <mergeCell ref="AE92:AG92"/>
    <mergeCell ref="B92:C92"/>
    <mergeCell ref="AB93:AC93"/>
    <mergeCell ref="AE93:AG93"/>
    <mergeCell ref="AB91:AC91"/>
    <mergeCell ref="AE91:AG91"/>
    <mergeCell ref="AB90:AC90"/>
    <mergeCell ref="AE90:AG90"/>
    <mergeCell ref="AB98:AC98"/>
    <mergeCell ref="AE98:AG98"/>
    <mergeCell ref="AB99:AC99"/>
    <mergeCell ref="AE99:AG99"/>
    <mergeCell ref="AB96:AC96"/>
    <mergeCell ref="AE96:AG96"/>
    <mergeCell ref="AB97:AC97"/>
    <mergeCell ref="AE97:AG97"/>
    <mergeCell ref="AB94:AC94"/>
    <mergeCell ref="AE94:AG94"/>
    <mergeCell ref="AB95:AC95"/>
    <mergeCell ref="AE95:AG95"/>
    <mergeCell ref="B99:C99"/>
    <mergeCell ref="B98:C98"/>
    <mergeCell ref="B97:C97"/>
    <mergeCell ref="B91:C91"/>
    <mergeCell ref="B90:C90"/>
    <mergeCell ref="B89:C89"/>
    <mergeCell ref="B96:C96"/>
    <mergeCell ref="B79:C79"/>
    <mergeCell ref="B78:C78"/>
    <mergeCell ref="B88:C88"/>
    <mergeCell ref="B87:C87"/>
    <mergeCell ref="B94:C94"/>
    <mergeCell ref="B93:C93"/>
    <mergeCell ref="B95:C95"/>
    <mergeCell ref="B86:C86"/>
    <mergeCell ref="A80:H80"/>
    <mergeCell ref="B85:C85"/>
    <mergeCell ref="B84:C84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7"/>
  <sheetViews>
    <sheetView zoomScale="110" zoomScaleNormal="110" workbookViewId="0">
      <selection activeCell="M10" sqref="M10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593" t="s">
        <v>80</v>
      </c>
      <c r="B1" s="593"/>
      <c r="C1" s="593"/>
      <c r="D1" s="593"/>
      <c r="E1" s="17"/>
      <c r="F1" s="592" t="s">
        <v>52</v>
      </c>
      <c r="G1" s="592"/>
      <c r="H1" s="592"/>
      <c r="I1" s="592"/>
      <c r="J1" s="592"/>
      <c r="K1" s="592"/>
      <c r="L1" s="5"/>
    </row>
    <row r="2" spans="1:12">
      <c r="A2" s="592" t="s">
        <v>185</v>
      </c>
      <c r="B2" s="592"/>
      <c r="C2" s="592"/>
      <c r="D2" s="592"/>
      <c r="E2" s="18"/>
      <c r="F2" s="658" t="s">
        <v>0</v>
      </c>
      <c r="G2" s="658"/>
      <c r="H2" s="658"/>
      <c r="I2" s="658"/>
      <c r="J2" s="658"/>
      <c r="K2" s="658"/>
      <c r="L2" s="5"/>
    </row>
    <row r="3" spans="1:12" ht="15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64" t="s">
        <v>433</v>
      </c>
      <c r="B4" s="664"/>
      <c r="C4" s="664"/>
      <c r="D4" s="664"/>
      <c r="E4" s="664"/>
      <c r="F4" s="664"/>
      <c r="G4" s="664"/>
      <c r="H4" s="664"/>
      <c r="I4" s="664"/>
      <c r="J4" s="664"/>
      <c r="K4" s="664"/>
      <c r="L4" s="663"/>
    </row>
    <row r="5" spans="1:12" ht="19.5" customHeight="1">
      <c r="A5" s="664" t="s">
        <v>226</v>
      </c>
      <c r="B5" s="664"/>
      <c r="C5" s="664"/>
      <c r="D5" s="664"/>
      <c r="E5" s="664"/>
      <c r="F5" s="664"/>
      <c r="G5" s="664"/>
      <c r="H5" s="664"/>
      <c r="I5" s="664"/>
      <c r="J5" s="664"/>
      <c r="K5" s="664"/>
      <c r="L5" s="663"/>
    </row>
    <row r="6" spans="1:12" ht="18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6"/>
      <c r="L6" s="5"/>
    </row>
    <row r="7" spans="1:12" s="38" customFormat="1" ht="20.25" customHeight="1">
      <c r="A7" s="660" t="s">
        <v>53</v>
      </c>
      <c r="B7" s="660" t="s">
        <v>50</v>
      </c>
      <c r="C7" s="660" t="s">
        <v>54</v>
      </c>
      <c r="D7" s="660" t="s">
        <v>4</v>
      </c>
      <c r="E7" s="660" t="s">
        <v>419</v>
      </c>
      <c r="F7" s="660"/>
      <c r="G7" s="660"/>
      <c r="H7" s="660" t="s">
        <v>434</v>
      </c>
      <c r="I7" s="660"/>
      <c r="J7" s="660"/>
      <c r="K7" s="665" t="s">
        <v>48</v>
      </c>
      <c r="L7" s="37"/>
    </row>
    <row r="8" spans="1:12" s="38" customFormat="1" ht="21" customHeight="1">
      <c r="A8" s="660"/>
      <c r="B8" s="660"/>
      <c r="C8" s="660"/>
      <c r="D8" s="660"/>
      <c r="E8" s="73" t="s">
        <v>41</v>
      </c>
      <c r="F8" s="74" t="s">
        <v>180</v>
      </c>
      <c r="G8" s="74" t="s">
        <v>179</v>
      </c>
      <c r="H8" s="73" t="s">
        <v>41</v>
      </c>
      <c r="I8" s="74" t="s">
        <v>180</v>
      </c>
      <c r="J8" s="74" t="s">
        <v>275</v>
      </c>
      <c r="K8" s="665"/>
      <c r="L8" s="39"/>
    </row>
    <row r="9" spans="1:12" s="78" customFormat="1" ht="53.25" customHeight="1">
      <c r="A9" s="221" t="s">
        <v>32</v>
      </c>
      <c r="B9" s="222" t="s">
        <v>423</v>
      </c>
      <c r="C9" s="210" t="s">
        <v>412</v>
      </c>
      <c r="D9" s="210" t="s">
        <v>377</v>
      </c>
      <c r="E9" s="221"/>
      <c r="F9" s="256"/>
      <c r="G9" s="210"/>
      <c r="H9" s="221" t="s">
        <v>38</v>
      </c>
      <c r="I9" s="257">
        <v>4680000</v>
      </c>
      <c r="J9" s="210"/>
      <c r="K9" s="225" t="s">
        <v>424</v>
      </c>
      <c r="L9" s="39"/>
    </row>
    <row r="10" spans="1:12" s="78" customFormat="1" ht="53.25" customHeight="1">
      <c r="A10" s="221" t="s">
        <v>33</v>
      </c>
      <c r="B10" s="222" t="s">
        <v>231</v>
      </c>
      <c r="C10" s="210" t="s">
        <v>427</v>
      </c>
      <c r="D10" s="210" t="s">
        <v>377</v>
      </c>
      <c r="E10" s="221" t="s">
        <v>428</v>
      </c>
      <c r="F10" s="256">
        <v>4914000</v>
      </c>
      <c r="G10" s="210"/>
      <c r="H10" s="221">
        <v>26</v>
      </c>
      <c r="I10" s="257">
        <v>5007600</v>
      </c>
      <c r="J10" s="210"/>
      <c r="K10" s="225" t="s">
        <v>429</v>
      </c>
      <c r="L10" s="39"/>
    </row>
    <row r="11" spans="1:12" s="78" customFormat="1" ht="53.25" customHeight="1">
      <c r="A11" s="221" t="s">
        <v>34</v>
      </c>
      <c r="B11" s="222" t="s">
        <v>138</v>
      </c>
      <c r="C11" s="210" t="s">
        <v>425</v>
      </c>
      <c r="D11" s="210" t="s">
        <v>377</v>
      </c>
      <c r="E11" s="221">
        <v>43</v>
      </c>
      <c r="F11" s="256">
        <v>7023418</v>
      </c>
      <c r="G11" s="210"/>
      <c r="H11" s="221">
        <v>43</v>
      </c>
      <c r="I11" s="257">
        <v>7515057</v>
      </c>
      <c r="J11" s="210"/>
      <c r="K11" s="225" t="s">
        <v>426</v>
      </c>
      <c r="L11" s="39"/>
    </row>
    <row r="12" spans="1:12" s="78" customFormat="1" ht="70.5" customHeight="1">
      <c r="A12" s="221" t="s">
        <v>35</v>
      </c>
      <c r="B12" s="222" t="s">
        <v>348</v>
      </c>
      <c r="C12" s="210" t="s">
        <v>439</v>
      </c>
      <c r="D12" s="210" t="s">
        <v>377</v>
      </c>
      <c r="E12" s="221">
        <v>36</v>
      </c>
      <c r="F12" s="256">
        <v>6086769</v>
      </c>
      <c r="G12" s="210"/>
      <c r="H12" s="221"/>
      <c r="I12" s="257"/>
      <c r="J12" s="210"/>
      <c r="K12" s="225" t="s">
        <v>440</v>
      </c>
      <c r="L12" s="39"/>
    </row>
    <row r="13" spans="1:12" s="451" customFormat="1" ht="15.75" customHeight="1">
      <c r="A13" s="552"/>
      <c r="B13" s="445"/>
      <c r="C13" s="446"/>
      <c r="D13" s="446"/>
      <c r="E13" s="447"/>
      <c r="F13" s="448"/>
      <c r="G13" s="446"/>
      <c r="H13" s="447"/>
      <c r="I13" s="448"/>
      <c r="J13" s="446"/>
      <c r="K13" s="449"/>
      <c r="L13" s="450"/>
    </row>
    <row r="14" spans="1:12" s="456" customFormat="1" ht="16.5" customHeight="1">
      <c r="A14" s="452"/>
      <c r="B14" s="662"/>
      <c r="C14" s="662"/>
      <c r="D14" s="662"/>
      <c r="E14" s="662"/>
      <c r="F14" s="453"/>
      <c r="G14" s="454"/>
      <c r="H14" s="661" t="s">
        <v>432</v>
      </c>
      <c r="I14" s="661"/>
      <c r="J14" s="661"/>
      <c r="K14" s="661"/>
      <c r="L14" s="455"/>
    </row>
    <row r="15" spans="1:12" ht="18" customHeight="1">
      <c r="A15" s="659" t="s">
        <v>57</v>
      </c>
      <c r="B15" s="659"/>
      <c r="C15" s="659"/>
      <c r="D15" s="659" t="s">
        <v>183</v>
      </c>
      <c r="E15" s="659"/>
      <c r="F15" s="659"/>
      <c r="G15" s="659"/>
      <c r="H15" s="659" t="s">
        <v>81</v>
      </c>
      <c r="I15" s="659"/>
      <c r="J15" s="659"/>
      <c r="K15" s="659"/>
      <c r="L15" s="2"/>
    </row>
    <row r="16" spans="1:12" ht="13.5" customHeight="1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40"/>
      <c r="L16" s="8"/>
    </row>
    <row r="17" spans="1:12" ht="15.7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40"/>
      <c r="L17" s="5"/>
    </row>
    <row r="18" spans="1:12" ht="20.2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40"/>
      <c r="L18" s="5"/>
    </row>
    <row r="19" spans="1:12" ht="16.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40"/>
      <c r="L19" s="5"/>
    </row>
    <row r="20" spans="1:12" ht="17.2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40"/>
      <c r="L20" s="5"/>
    </row>
    <row r="21" spans="1:12" s="57" customFormat="1">
      <c r="A21" s="659" t="s">
        <v>227</v>
      </c>
      <c r="B21" s="659"/>
      <c r="C21" s="659"/>
      <c r="D21" s="659" t="s">
        <v>123</v>
      </c>
      <c r="E21" s="659"/>
      <c r="F21" s="659"/>
      <c r="G21" s="659"/>
      <c r="H21" s="659" t="s">
        <v>120</v>
      </c>
      <c r="I21" s="659"/>
      <c r="J21" s="659"/>
      <c r="K21" s="659"/>
      <c r="L21" s="12"/>
    </row>
    <row r="22" spans="1:12" s="57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2"/>
    </row>
    <row r="23" spans="1:12" s="5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5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5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s="57" customForma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2"/>
    </row>
    <row r="27" spans="1:12" s="57" customForma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2"/>
    </row>
    <row r="28" spans="1:12" ht="16.5" customHeight="1">
      <c r="A28" s="666"/>
      <c r="B28" s="666"/>
      <c r="C28" s="666"/>
      <c r="D28" s="666"/>
      <c r="E28" s="666"/>
      <c r="F28" s="666"/>
      <c r="G28" s="666"/>
      <c r="H28" s="666"/>
      <c r="I28" s="14"/>
      <c r="J28" s="14"/>
      <c r="K28" s="14"/>
      <c r="L28" s="5"/>
    </row>
    <row r="29" spans="1:12">
      <c r="A29" s="8"/>
      <c r="B29" s="592"/>
      <c r="C29" s="592"/>
      <c r="D29" s="592"/>
      <c r="E29" s="592"/>
      <c r="F29" s="592"/>
      <c r="G29" s="592"/>
      <c r="H29" s="592"/>
      <c r="I29" s="5"/>
      <c r="J29" s="5"/>
      <c r="K29" s="2"/>
      <c r="L29" s="5"/>
    </row>
    <row r="30" spans="1:12">
      <c r="A30" s="5"/>
      <c r="B30" s="5"/>
      <c r="C30" s="5"/>
      <c r="D30" s="5"/>
      <c r="E30" s="5"/>
      <c r="F30" s="27"/>
      <c r="G30" s="27"/>
      <c r="H30" s="5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7"/>
      <c r="G31" s="27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7"/>
      <c r="G32" s="27"/>
      <c r="H32" s="5"/>
      <c r="I32" s="5"/>
      <c r="J32" s="5"/>
      <c r="K32" s="2"/>
      <c r="L32" s="5"/>
    </row>
    <row r="33" spans="1:12">
      <c r="A33" s="5"/>
      <c r="B33" s="5"/>
      <c r="C33" s="5"/>
      <c r="D33" s="5"/>
      <c r="E33" s="5"/>
      <c r="F33" s="27"/>
      <c r="G33" s="27"/>
      <c r="H33" s="5"/>
      <c r="I33" s="5"/>
      <c r="J33" s="5"/>
      <c r="K33" s="2"/>
      <c r="L33" s="5"/>
    </row>
    <row r="34" spans="1:12">
      <c r="A34" s="5"/>
      <c r="B34" s="5"/>
      <c r="C34" s="5"/>
      <c r="D34" s="5"/>
      <c r="E34" s="5"/>
      <c r="F34" s="27"/>
      <c r="G34" s="27"/>
      <c r="H34" s="5"/>
      <c r="I34" s="5"/>
      <c r="J34" s="5"/>
      <c r="K34" s="2"/>
      <c r="L34" s="5"/>
    </row>
    <row r="35" spans="1:12">
      <c r="A35" s="28"/>
      <c r="B35" s="28"/>
      <c r="C35" s="28"/>
      <c r="D35" s="28"/>
      <c r="E35" s="28"/>
      <c r="F35" s="29"/>
      <c r="G35" s="29"/>
      <c r="H35" s="28"/>
      <c r="I35" s="28"/>
      <c r="J35" s="28"/>
      <c r="K35" s="28"/>
      <c r="L35" s="28"/>
    </row>
    <row r="36" spans="1:12">
      <c r="A36" s="14"/>
    </row>
    <row r="37" spans="1:12" ht="17.25">
      <c r="A37" s="1"/>
    </row>
  </sheetData>
  <mergeCells count="24">
    <mergeCell ref="H21:K21"/>
    <mergeCell ref="D15:G15"/>
    <mergeCell ref="D21:G21"/>
    <mergeCell ref="A28:H28"/>
    <mergeCell ref="B29:H29"/>
    <mergeCell ref="A21:C21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15:C15"/>
    <mergeCell ref="A7:A8"/>
    <mergeCell ref="H14:K14"/>
    <mergeCell ref="H15:K15"/>
    <mergeCell ref="A1:D1"/>
    <mergeCell ref="A2:D2"/>
    <mergeCell ref="B14:E14"/>
  </mergeCells>
  <phoneticPr fontId="17" type="noConversion"/>
  <printOptions horizontalCentered="1"/>
  <pageMargins left="0.25" right="0.16" top="0.39" bottom="0.25" header="0.11" footer="0.17"/>
  <pageSetup paperSize="9" orientation="landscape" r:id="rId1"/>
  <headerFooter alignWithMargins="0">
    <oddHeader xml:space="preserve">&amp;C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673" t="s">
        <v>242</v>
      </c>
      <c r="B1" s="673"/>
      <c r="C1" s="673"/>
      <c r="D1" s="673"/>
    </row>
    <row r="2" spans="1:9">
      <c r="A2" s="592" t="s">
        <v>186</v>
      </c>
      <c r="B2" s="592"/>
      <c r="C2" s="592"/>
      <c r="D2" s="592"/>
      <c r="E2" s="8"/>
    </row>
    <row r="3" spans="1:9">
      <c r="A3" s="593"/>
      <c r="B3" s="593"/>
      <c r="C3" s="593"/>
      <c r="D3" s="4"/>
      <c r="E3" s="24"/>
    </row>
    <row r="4" spans="1:9" ht="16.5">
      <c r="A4" s="674" t="s">
        <v>193</v>
      </c>
      <c r="B4" s="674"/>
      <c r="C4" s="674"/>
      <c r="D4" s="674"/>
      <c r="E4" s="674"/>
    </row>
    <row r="5" spans="1:9" ht="16.5">
      <c r="A5" s="674" t="s">
        <v>356</v>
      </c>
      <c r="B5" s="674"/>
      <c r="C5" s="674"/>
      <c r="D5" s="674"/>
      <c r="E5" s="674"/>
    </row>
    <row r="6" spans="1:9" ht="18" customHeight="1">
      <c r="A6" s="5"/>
      <c r="B6" s="5" t="s">
        <v>181</v>
      </c>
      <c r="C6" s="5"/>
      <c r="D6" s="11"/>
      <c r="E6" s="10"/>
    </row>
    <row r="7" spans="1:9" s="220" customFormat="1" ht="21.75" customHeight="1">
      <c r="A7" s="219" t="s">
        <v>194</v>
      </c>
      <c r="B7" s="660" t="s">
        <v>195</v>
      </c>
      <c r="C7" s="660"/>
      <c r="D7" s="213" t="s">
        <v>353</v>
      </c>
      <c r="E7" s="20" t="s">
        <v>48</v>
      </c>
    </row>
    <row r="8" spans="1:9" ht="19.5" hidden="1" customHeight="1">
      <c r="A8" s="172"/>
      <c r="B8" s="173"/>
      <c r="C8" s="212">
        <v>1</v>
      </c>
      <c r="D8" s="179">
        <v>0</v>
      </c>
      <c r="E8" s="171"/>
      <c r="F8" s="176"/>
      <c r="G8" s="178"/>
      <c r="H8" s="177"/>
      <c r="I8" s="175"/>
    </row>
    <row r="9" spans="1:9" ht="19.5" hidden="1" customHeight="1">
      <c r="A9" s="172"/>
      <c r="B9" s="173"/>
      <c r="C9" s="212">
        <v>2.62</v>
      </c>
      <c r="D9" s="179">
        <v>0</v>
      </c>
      <c r="E9" s="171"/>
      <c r="F9" s="176"/>
      <c r="G9" s="178"/>
      <c r="H9" s="177"/>
      <c r="I9" s="175"/>
    </row>
    <row r="10" spans="1:9" ht="19.5" hidden="1" customHeight="1">
      <c r="A10" s="172"/>
      <c r="B10" s="173"/>
      <c r="C10" s="211">
        <v>2.2599999999999998</v>
      </c>
      <c r="D10" s="179">
        <v>0</v>
      </c>
      <c r="E10" s="171"/>
      <c r="F10" s="176"/>
      <c r="G10" s="178"/>
      <c r="H10" s="177"/>
      <c r="I10" s="175"/>
    </row>
    <row r="11" spans="1:9" ht="4.5" customHeight="1">
      <c r="A11" s="180"/>
      <c r="B11" s="181"/>
      <c r="C11" s="182"/>
      <c r="D11" s="167"/>
      <c r="E11" s="183"/>
    </row>
    <row r="12" spans="1:9" s="217" customFormat="1" ht="35.25" customHeight="1">
      <c r="A12" s="214">
        <v>1</v>
      </c>
      <c r="B12" s="671" t="s">
        <v>243</v>
      </c>
      <c r="C12" s="672"/>
      <c r="D12" s="215"/>
      <c r="E12" s="216"/>
      <c r="H12" s="218"/>
    </row>
    <row r="13" spans="1:9" ht="23.25" customHeight="1">
      <c r="A13" s="168"/>
      <c r="B13" s="169" t="s">
        <v>196</v>
      </c>
      <c r="C13" s="170"/>
      <c r="D13" s="184">
        <f>6036046</f>
        <v>6036046</v>
      </c>
      <c r="E13" s="185"/>
      <c r="H13" s="178"/>
    </row>
    <row r="14" spans="1:9" ht="23.25" customHeight="1">
      <c r="A14" s="172"/>
      <c r="B14" s="173" t="s">
        <v>197</v>
      </c>
      <c r="C14" s="174"/>
      <c r="D14" s="186">
        <f>D13*25.5/100</f>
        <v>1539191.73</v>
      </c>
      <c r="E14" s="187" t="s">
        <v>277</v>
      </c>
    </row>
    <row r="15" spans="1:9" ht="23.25" customHeight="1">
      <c r="A15" s="172"/>
      <c r="B15" s="173" t="s">
        <v>198</v>
      </c>
      <c r="C15" s="174"/>
      <c r="D15" s="186">
        <f>D13*4.5%</f>
        <v>271622.07</v>
      </c>
      <c r="E15" s="171"/>
    </row>
    <row r="16" spans="1:9" ht="23.25" customHeight="1">
      <c r="A16" s="190"/>
      <c r="B16" s="262" t="s">
        <v>199</v>
      </c>
      <c r="C16" s="263"/>
      <c r="D16" s="191">
        <f>D13*2/100-1</f>
        <v>120719.92</v>
      </c>
      <c r="E16" s="264"/>
      <c r="H16" s="188"/>
      <c r="I16" s="188"/>
    </row>
    <row r="17" spans="1:9" ht="23.25" customHeight="1">
      <c r="A17" s="156"/>
      <c r="B17" s="669" t="s">
        <v>200</v>
      </c>
      <c r="C17" s="670"/>
      <c r="D17" s="192">
        <f>SUM(D14:D16)</f>
        <v>1931533.72</v>
      </c>
      <c r="E17" s="265"/>
      <c r="G17" s="189"/>
      <c r="H17" s="175"/>
      <c r="I17" s="175"/>
    </row>
    <row r="18" spans="1:9" ht="6.75" customHeight="1">
      <c r="A18" s="180"/>
      <c r="B18" s="260"/>
      <c r="C18" s="182"/>
      <c r="D18" s="167"/>
      <c r="E18" s="261"/>
      <c r="G18" s="175"/>
      <c r="H18" s="175"/>
      <c r="I18" s="175"/>
    </row>
    <row r="19" spans="1:9" ht="5.25" customHeight="1">
      <c r="A19" s="12"/>
      <c r="B19" s="193"/>
      <c r="C19" s="193"/>
      <c r="D19" s="194"/>
      <c r="E19" s="195"/>
    </row>
    <row r="20" spans="1:9">
      <c r="A20" s="14"/>
      <c r="B20" s="196" t="s">
        <v>201</v>
      </c>
      <c r="C20" s="197" t="s">
        <v>319</v>
      </c>
      <c r="D20" s="197"/>
      <c r="E20" s="197"/>
    </row>
    <row r="21" spans="1:9" ht="14.25" customHeight="1">
      <c r="A21" s="14"/>
      <c r="B21" s="158"/>
      <c r="C21" s="158"/>
      <c r="D21" s="11"/>
      <c r="E21" s="33"/>
    </row>
    <row r="22" spans="1:9">
      <c r="A22" s="14"/>
      <c r="B22" s="158"/>
      <c r="C22" s="158"/>
      <c r="D22" s="667" t="s">
        <v>355</v>
      </c>
      <c r="E22" s="667"/>
    </row>
    <row r="23" spans="1:9" s="199" customFormat="1" ht="14.25">
      <c r="A23" s="668" t="s">
        <v>202</v>
      </c>
      <c r="B23" s="668"/>
      <c r="C23" s="668"/>
      <c r="D23" s="198" t="s">
        <v>183</v>
      </c>
      <c r="E23" s="198" t="s">
        <v>81</v>
      </c>
    </row>
    <row r="24" spans="1:9" ht="18.75" customHeight="1">
      <c r="A24" s="14"/>
      <c r="B24" s="14"/>
      <c r="C24" s="14"/>
      <c r="D24" s="9"/>
      <c r="E24" s="200"/>
    </row>
    <row r="25" spans="1:9" ht="14.25" customHeight="1">
      <c r="A25" s="14"/>
      <c r="B25" s="14"/>
      <c r="C25" s="14"/>
      <c r="D25" s="13"/>
      <c r="E25" s="200"/>
    </row>
    <row r="26" spans="1:9" ht="18.75" customHeight="1">
      <c r="A26" s="14"/>
      <c r="B26" s="14"/>
      <c r="C26" s="14"/>
      <c r="D26" s="13"/>
      <c r="E26" s="200"/>
    </row>
    <row r="27" spans="1:9" ht="12.75" customHeight="1">
      <c r="A27" s="14"/>
      <c r="B27" s="14"/>
      <c r="C27" s="14"/>
      <c r="D27" s="13"/>
      <c r="E27" s="200"/>
    </row>
    <row r="28" spans="1:9" ht="18.75" customHeight="1">
      <c r="A28" s="14"/>
      <c r="B28" s="14"/>
      <c r="C28" s="14"/>
      <c r="D28" s="13"/>
      <c r="E28" s="200"/>
    </row>
    <row r="29" spans="1:9">
      <c r="A29" s="659" t="s">
        <v>227</v>
      </c>
      <c r="B29" s="659"/>
      <c r="C29" s="659"/>
      <c r="D29" s="9" t="s">
        <v>123</v>
      </c>
      <c r="E29" s="9" t="s">
        <v>120</v>
      </c>
    </row>
    <row r="30" spans="1:9">
      <c r="A30" s="201" t="str">
        <f ca="1">CELL("filename")</f>
        <v>E:\DULIEUMAYCU\Quynh chung\Quynh Exel\2023\Luong\Co huu\[Bang luong BC T09 - 2023.xlsx]BC</v>
      </c>
      <c r="B30" s="201"/>
      <c r="C30" s="201"/>
      <c r="D30" s="201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5"/>
  <sheetViews>
    <sheetView topLeftCell="A4" workbookViewId="0">
      <selection activeCell="P14" sqref="P14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673" t="s">
        <v>79</v>
      </c>
      <c r="B1" s="673"/>
      <c r="C1" s="673"/>
      <c r="D1" s="673"/>
      <c r="E1" s="592" t="s">
        <v>18</v>
      </c>
      <c r="F1" s="592"/>
      <c r="G1" s="592"/>
      <c r="H1" s="592"/>
      <c r="I1" s="592"/>
      <c r="J1" s="592"/>
      <c r="K1" s="592"/>
      <c r="L1" s="592"/>
      <c r="M1" s="592"/>
      <c r="N1" s="3"/>
    </row>
    <row r="2" spans="1:15" ht="17.25">
      <c r="A2" s="658" t="s">
        <v>187</v>
      </c>
      <c r="B2" s="658"/>
      <c r="C2" s="658"/>
      <c r="D2" s="658"/>
      <c r="E2" s="658" t="s">
        <v>19</v>
      </c>
      <c r="F2" s="658"/>
      <c r="G2" s="658"/>
      <c r="H2" s="658"/>
      <c r="I2" s="658"/>
      <c r="J2" s="658"/>
      <c r="K2" s="658"/>
      <c r="L2" s="658"/>
      <c r="M2" s="658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596" t="s">
        <v>191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596"/>
      <c r="M4" s="596"/>
      <c r="N4" s="3"/>
    </row>
    <row r="5" spans="1:15" ht="18.75">
      <c r="A5" s="596" t="s">
        <v>436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7" t="s">
        <v>230</v>
      </c>
      <c r="K7" s="17"/>
      <c r="L7" s="17"/>
      <c r="M7" s="17"/>
      <c r="N7" s="2"/>
    </row>
    <row r="8" spans="1:15">
      <c r="A8" s="13"/>
      <c r="B8" s="59"/>
      <c r="C8" s="13"/>
      <c r="D8" s="13"/>
      <c r="E8" s="13"/>
      <c r="F8" s="13"/>
      <c r="G8" s="13"/>
      <c r="H8" s="13"/>
      <c r="I8" s="13"/>
      <c r="J8" s="17" t="s">
        <v>16</v>
      </c>
      <c r="K8" s="17"/>
      <c r="L8" s="17"/>
      <c r="M8" s="17"/>
      <c r="N8" s="2"/>
    </row>
    <row r="9" spans="1:15">
      <c r="A9" s="2"/>
      <c r="B9" s="2"/>
      <c r="C9" s="2"/>
      <c r="D9" s="81">
        <v>1210000</v>
      </c>
      <c r="E9" s="2"/>
      <c r="F9" s="2"/>
      <c r="G9" s="2"/>
      <c r="H9" s="2"/>
      <c r="I9" s="11"/>
      <c r="J9" s="638" t="s">
        <v>1</v>
      </c>
      <c r="K9" s="638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20" t="s">
        <v>2</v>
      </c>
      <c r="B11" s="21" t="s">
        <v>20</v>
      </c>
      <c r="C11" s="22" t="s">
        <v>21</v>
      </c>
      <c r="D11" s="22" t="s">
        <v>62</v>
      </c>
      <c r="E11" s="20" t="s">
        <v>4</v>
      </c>
      <c r="F11" s="20" t="s">
        <v>284</v>
      </c>
      <c r="G11" s="20" t="s">
        <v>296</v>
      </c>
      <c r="H11" s="20" t="s">
        <v>70</v>
      </c>
      <c r="I11" s="166" t="s">
        <v>61</v>
      </c>
      <c r="J11" s="20" t="s">
        <v>405</v>
      </c>
      <c r="K11" s="20" t="s">
        <v>71</v>
      </c>
      <c r="L11" s="20" t="s">
        <v>22</v>
      </c>
      <c r="M11" s="20" t="s">
        <v>48</v>
      </c>
      <c r="N11" s="23"/>
      <c r="O11" s="23"/>
    </row>
    <row r="12" spans="1:15" s="36" customFormat="1" ht="13.5" customHeight="1">
      <c r="A12" s="34" t="s">
        <v>46</v>
      </c>
      <c r="B12" s="677" t="s">
        <v>42</v>
      </c>
      <c r="C12" s="678"/>
      <c r="D12" s="76" t="s">
        <v>43</v>
      </c>
      <c r="E12" s="34" t="s">
        <v>44</v>
      </c>
      <c r="F12" s="34" t="s">
        <v>74</v>
      </c>
      <c r="G12" s="34"/>
      <c r="H12" s="268" t="s">
        <v>47</v>
      </c>
      <c r="I12" s="34" t="s">
        <v>47</v>
      </c>
      <c r="J12" s="34" t="s">
        <v>45</v>
      </c>
      <c r="K12" s="34" t="s">
        <v>409</v>
      </c>
      <c r="L12" s="34" t="s">
        <v>76</v>
      </c>
      <c r="M12" s="34" t="s">
        <v>159</v>
      </c>
      <c r="N12" s="35"/>
      <c r="O12" s="35"/>
    </row>
    <row r="13" spans="1:15" s="5" customFormat="1" ht="42.75" customHeight="1">
      <c r="A13" s="373" t="s">
        <v>32</v>
      </c>
      <c r="B13" s="377" t="s">
        <v>435</v>
      </c>
      <c r="C13" s="378" t="s">
        <v>66</v>
      </c>
      <c r="D13" s="379"/>
      <c r="E13" s="376" t="s">
        <v>377</v>
      </c>
      <c r="F13" s="374" t="s">
        <v>248</v>
      </c>
      <c r="G13" s="375">
        <v>1</v>
      </c>
      <c r="H13" s="122">
        <v>4680000</v>
      </c>
      <c r="I13" s="123"/>
      <c r="J13" s="427">
        <v>6</v>
      </c>
      <c r="K13" s="124">
        <f>H13/26*J13*85%</f>
        <v>918000</v>
      </c>
      <c r="L13" s="121"/>
      <c r="M13" s="125" t="s">
        <v>437</v>
      </c>
      <c r="N13" s="23"/>
      <c r="O13" s="224"/>
    </row>
    <row r="14" spans="1:15" s="5" customFormat="1" ht="31.5" customHeight="1">
      <c r="A14" s="20"/>
      <c r="B14" s="675" t="s">
        <v>49</v>
      </c>
      <c r="C14" s="676"/>
      <c r="D14" s="22"/>
      <c r="E14" s="20"/>
      <c r="F14" s="154"/>
      <c r="G14" s="154">
        <f>SUM(G13:G13)</f>
        <v>1</v>
      </c>
      <c r="H14" s="329">
        <f>SUM(H13:H13)</f>
        <v>4680000</v>
      </c>
      <c r="I14" s="32" t="e">
        <f>SUM(#REF!)</f>
        <v>#REF!</v>
      </c>
      <c r="J14" s="330">
        <f>SUM(J13:J13)</f>
        <v>6</v>
      </c>
      <c r="K14" s="126">
        <f>SUM(K13:K13)</f>
        <v>918000</v>
      </c>
      <c r="L14" s="31"/>
      <c r="M14" s="31"/>
      <c r="N14" s="23"/>
      <c r="O14" s="224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41" t="s">
        <v>122</v>
      </c>
      <c r="C16" s="638" t="s">
        <v>442</v>
      </c>
      <c r="D16" s="638"/>
      <c r="E16" s="638"/>
      <c r="F16" s="638"/>
      <c r="G16" s="638"/>
      <c r="H16" s="638"/>
      <c r="I16" s="638"/>
      <c r="J16" s="638"/>
      <c r="K16" s="638"/>
      <c r="L16" s="638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679" t="s">
        <v>438</v>
      </c>
      <c r="L18" s="679"/>
      <c r="M18" s="679"/>
      <c r="N18" s="7"/>
    </row>
    <row r="19" spans="1:14" s="14" customFormat="1">
      <c r="A19" s="659" t="s">
        <v>13</v>
      </c>
      <c r="B19" s="659"/>
      <c r="C19" s="659"/>
      <c r="D19" s="659"/>
      <c r="E19" s="659"/>
      <c r="F19" s="659" t="s">
        <v>183</v>
      </c>
      <c r="G19" s="659"/>
      <c r="H19" s="659"/>
      <c r="I19" s="659"/>
      <c r="J19" s="659"/>
      <c r="K19" s="659" t="s">
        <v>14</v>
      </c>
      <c r="L19" s="659"/>
      <c r="M19" s="659"/>
      <c r="N19" s="33"/>
    </row>
    <row r="20" spans="1:14" s="5" customFormat="1" ht="22.5" customHeight="1">
      <c r="B20" s="4"/>
      <c r="I20" s="4"/>
      <c r="J20" s="4"/>
      <c r="K20" s="4"/>
      <c r="N20" s="7"/>
    </row>
    <row r="21" spans="1:14" ht="18.75" customHeight="1">
      <c r="A21" s="14"/>
      <c r="B21" s="14"/>
      <c r="C21" s="14"/>
      <c r="D21" s="14"/>
      <c r="E21" s="14"/>
      <c r="F21" s="14"/>
      <c r="G21" s="14"/>
      <c r="H21" s="14"/>
      <c r="I21" s="13"/>
      <c r="J21" s="13"/>
      <c r="K21" s="13"/>
      <c r="L21" s="14"/>
      <c r="M21" s="14"/>
      <c r="N21" s="10"/>
    </row>
    <row r="22" spans="1:14" ht="17.2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22.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s="158" customFormat="1">
      <c r="A24" s="659" t="s">
        <v>227</v>
      </c>
      <c r="B24" s="659"/>
      <c r="C24" s="659"/>
      <c r="D24" s="659"/>
      <c r="E24" s="659"/>
      <c r="F24" s="659" t="s">
        <v>123</v>
      </c>
      <c r="G24" s="659"/>
      <c r="H24" s="659"/>
      <c r="I24" s="659"/>
      <c r="J24" s="659"/>
      <c r="K24" s="659" t="s">
        <v>120</v>
      </c>
      <c r="L24" s="659"/>
      <c r="M24" s="659"/>
    </row>
    <row r="25" spans="1:14" ht="17.25">
      <c r="A25" s="1"/>
    </row>
  </sheetData>
  <mergeCells count="17">
    <mergeCell ref="A24:E24"/>
    <mergeCell ref="F24:J24"/>
    <mergeCell ref="K24:M24"/>
    <mergeCell ref="E2:M2"/>
    <mergeCell ref="J9:K9"/>
    <mergeCell ref="A19:E19"/>
    <mergeCell ref="C16:L16"/>
    <mergeCell ref="K18:M18"/>
    <mergeCell ref="K19:M19"/>
    <mergeCell ref="F19:J19"/>
    <mergeCell ref="A1:D1"/>
    <mergeCell ref="A2:D2"/>
    <mergeCell ref="E1:M1"/>
    <mergeCell ref="B14:C14"/>
    <mergeCell ref="B12:C12"/>
    <mergeCell ref="A4:M4"/>
    <mergeCell ref="A5:M5"/>
  </mergeCells>
  <phoneticPr fontId="17" type="noConversion"/>
  <pageMargins left="0.36" right="0.19" top="0.21" bottom="0.2" header="0.17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"/>
  <sheetViews>
    <sheetView workbookViewId="0">
      <selection activeCell="I16" sqref="I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5.125" style="44" customWidth="1"/>
    <col min="25" max="25" width="6.125" style="44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591" t="s">
        <v>79</v>
      </c>
      <c r="B1" s="591"/>
      <c r="C1" s="591"/>
      <c r="D1" s="591"/>
      <c r="E1" s="591"/>
      <c r="F1" s="591"/>
      <c r="G1" s="591"/>
      <c r="H1" s="591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58" t="s">
        <v>186</v>
      </c>
      <c r="B2" s="658"/>
      <c r="C2" s="658"/>
      <c r="D2" s="658"/>
      <c r="E2" s="658"/>
      <c r="F2" s="658"/>
      <c r="G2" s="658"/>
      <c r="H2" s="658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593"/>
      <c r="D3" s="593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45"/>
      <c r="AD3" s="4"/>
      <c r="AE3" s="593"/>
      <c r="AF3" s="593"/>
      <c r="AG3" s="595"/>
      <c r="AH3" s="595"/>
    </row>
    <row r="4" spans="1:37" ht="22.5" customHeight="1">
      <c r="A4" s="596" t="s">
        <v>191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596"/>
      <c r="M4" s="596"/>
      <c r="N4" s="596"/>
      <c r="O4" s="596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596" t="s">
        <v>420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596"/>
      <c r="O5" s="596"/>
      <c r="P5" s="596"/>
      <c r="Q5" s="596"/>
      <c r="R5" s="596"/>
      <c r="S5" s="596"/>
      <c r="T5" s="596"/>
      <c r="U5" s="596"/>
      <c r="V5" s="596"/>
      <c r="W5" s="596"/>
      <c r="X5" s="596"/>
      <c r="Y5" s="596"/>
      <c r="Z5" s="596"/>
      <c r="AA5" s="596"/>
      <c r="AB5" s="596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597"/>
      <c r="E6" s="597"/>
      <c r="F6" s="597"/>
      <c r="G6" s="597"/>
      <c r="H6" s="597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597"/>
      <c r="E7" s="597"/>
      <c r="F7" s="597"/>
      <c r="G7" s="597"/>
      <c r="H7" s="59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598"/>
      <c r="E8" s="598"/>
      <c r="F8" s="598"/>
      <c r="G8" s="598"/>
      <c r="H8" s="59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599" t="s">
        <v>2</v>
      </c>
      <c r="B10" s="599" t="s">
        <v>3</v>
      </c>
      <c r="C10" s="599"/>
      <c r="D10" s="600" t="s">
        <v>51</v>
      </c>
      <c r="E10" s="601" t="s">
        <v>237</v>
      </c>
      <c r="F10" s="603" t="s">
        <v>15</v>
      </c>
      <c r="G10" s="605" t="s">
        <v>130</v>
      </c>
      <c r="H10" s="601" t="s">
        <v>272</v>
      </c>
      <c r="I10" s="607" t="s">
        <v>180</v>
      </c>
      <c r="J10" s="607" t="s">
        <v>268</v>
      </c>
      <c r="K10" s="607" t="s">
        <v>269</v>
      </c>
      <c r="L10" s="607" t="s">
        <v>170</v>
      </c>
      <c r="M10" s="609"/>
      <c r="N10" s="601" t="s">
        <v>148</v>
      </c>
      <c r="O10" s="601" t="s">
        <v>149</v>
      </c>
      <c r="P10" s="605" t="s">
        <v>150</v>
      </c>
      <c r="Q10" s="611" t="s">
        <v>67</v>
      </c>
      <c r="R10" s="612"/>
      <c r="S10" s="612"/>
      <c r="T10" s="612"/>
      <c r="U10" s="613"/>
      <c r="V10" s="614" t="s">
        <v>168</v>
      </c>
      <c r="W10" s="615"/>
      <c r="X10" s="614" t="s">
        <v>169</v>
      </c>
      <c r="Y10" s="615"/>
      <c r="Z10" s="605" t="s">
        <v>154</v>
      </c>
      <c r="AA10" s="618" t="s">
        <v>5</v>
      </c>
      <c r="AB10" s="619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22"/>
      <c r="AJ10" s="87"/>
      <c r="AK10" s="79"/>
    </row>
    <row r="11" spans="1:37" s="43" customFormat="1" ht="41.25" customHeight="1">
      <c r="A11" s="599"/>
      <c r="B11" s="599"/>
      <c r="C11" s="599"/>
      <c r="D11" s="600"/>
      <c r="E11" s="602"/>
      <c r="F11" s="604"/>
      <c r="G11" s="606"/>
      <c r="H11" s="602"/>
      <c r="I11" s="608"/>
      <c r="J11" s="608"/>
      <c r="K11" s="608"/>
      <c r="L11" s="608"/>
      <c r="M11" s="610"/>
      <c r="N11" s="602"/>
      <c r="O11" s="602"/>
      <c r="P11" s="606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138" t="s">
        <v>85</v>
      </c>
      <c r="Y11" s="150" t="s">
        <v>170</v>
      </c>
      <c r="Z11" s="606"/>
      <c r="AA11" s="620"/>
      <c r="AB11" s="621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22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178</v>
      </c>
      <c r="AA12" s="623" t="s">
        <v>172</v>
      </c>
      <c r="AB12" s="624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104" customFormat="1" ht="36" customHeight="1">
      <c r="A13" s="129" t="s">
        <v>32</v>
      </c>
      <c r="B13" s="311"/>
      <c r="C13" s="130"/>
      <c r="D13" s="229" t="s">
        <v>377</v>
      </c>
      <c r="E13" s="312"/>
      <c r="F13" s="313"/>
      <c r="G13" s="314" t="s">
        <v>248</v>
      </c>
      <c r="H13" s="315">
        <v>1</v>
      </c>
      <c r="I13" s="131">
        <v>0</v>
      </c>
      <c r="J13" s="237"/>
      <c r="K13" s="131"/>
      <c r="L13" s="131">
        <f>ROUND(I13+K13,0)</f>
        <v>0</v>
      </c>
      <c r="M13" s="131">
        <v>7</v>
      </c>
      <c r="N13" s="131">
        <f>L13/24*M13</f>
        <v>0</v>
      </c>
      <c r="O13" s="131"/>
      <c r="P13" s="131">
        <f>L13-N13+O13</f>
        <v>0</v>
      </c>
      <c r="Q13" s="131">
        <f>L13*8%</f>
        <v>0</v>
      </c>
      <c r="R13" s="132">
        <f>L13*1.5%</f>
        <v>0</v>
      </c>
      <c r="S13" s="131">
        <f>L13*1%</f>
        <v>0</v>
      </c>
      <c r="T13" s="132"/>
      <c r="U13" s="132">
        <f>SUM(Q13:T13)</f>
        <v>0</v>
      </c>
      <c r="V13" s="132"/>
      <c r="W13" s="316"/>
      <c r="X13" s="316"/>
      <c r="Y13" s="316"/>
      <c r="Z13" s="131">
        <f>P13-U13+W13+Y13</f>
        <v>0</v>
      </c>
      <c r="AA13" s="133"/>
      <c r="AB13" s="317" t="s">
        <v>416</v>
      </c>
      <c r="AC13" s="255"/>
      <c r="AD13" s="117"/>
      <c r="AE13" s="144"/>
      <c r="AF13" s="269"/>
      <c r="AJ13" s="105"/>
    </row>
    <row r="14" spans="1:37" ht="22.5" customHeight="1">
      <c r="A14" s="88"/>
      <c r="B14" s="629" t="s">
        <v>11</v>
      </c>
      <c r="C14" s="630"/>
      <c r="D14" s="161"/>
      <c r="E14" s="161"/>
      <c r="F14" s="82"/>
      <c r="G14" s="82"/>
      <c r="H14" s="89">
        <v>2</v>
      </c>
      <c r="I14" s="80">
        <f>SUM(I13:I13)</f>
        <v>0</v>
      </c>
      <c r="J14" s="80">
        <f>SUM(J13:J13)</f>
        <v>0</v>
      </c>
      <c r="K14" s="80">
        <f>SUM(K13:K13)</f>
        <v>0</v>
      </c>
      <c r="L14" s="80">
        <f>SUM(L13:L13)</f>
        <v>0</v>
      </c>
      <c r="M14" s="80"/>
      <c r="N14" s="80">
        <f t="shared" ref="N14:Z14" si="0">SUM(N13:N13)</f>
        <v>0</v>
      </c>
      <c r="O14" s="80">
        <f t="shared" si="0"/>
        <v>0</v>
      </c>
      <c r="P14" s="80">
        <f t="shared" si="0"/>
        <v>0</v>
      </c>
      <c r="Q14" s="80">
        <f t="shared" si="0"/>
        <v>0</v>
      </c>
      <c r="R14" s="80">
        <f t="shared" si="0"/>
        <v>0</v>
      </c>
      <c r="S14" s="80">
        <f t="shared" si="0"/>
        <v>0</v>
      </c>
      <c r="T14" s="80">
        <f t="shared" si="0"/>
        <v>0</v>
      </c>
      <c r="U14" s="80">
        <f t="shared" si="0"/>
        <v>0</v>
      </c>
      <c r="V14" s="93">
        <f t="shared" si="0"/>
        <v>0</v>
      </c>
      <c r="W14" s="93">
        <f t="shared" si="0"/>
        <v>0</v>
      </c>
      <c r="X14" s="93">
        <f t="shared" si="0"/>
        <v>0</v>
      </c>
      <c r="Y14" s="93">
        <f t="shared" si="0"/>
        <v>0</v>
      </c>
      <c r="Z14" s="80">
        <f t="shared" si="0"/>
        <v>0</v>
      </c>
      <c r="AA14" s="90"/>
      <c r="AB14" s="91"/>
      <c r="AC14" s="92"/>
      <c r="AD14" s="71"/>
      <c r="AE14" s="60"/>
      <c r="AF14" s="60"/>
      <c r="AG14" s="42"/>
      <c r="AH14" s="42"/>
      <c r="AI14" s="42"/>
      <c r="AJ14" s="58"/>
      <c r="AK14" s="42"/>
    </row>
    <row r="15" spans="1:37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>
      <c r="A16" s="5"/>
      <c r="B16" s="631" t="s">
        <v>12</v>
      </c>
      <c r="C16" s="631"/>
      <c r="D16" s="17" t="s">
        <v>421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31"/>
      <c r="C17" s="631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97"/>
      <c r="AB17" s="597"/>
      <c r="AC17" s="50"/>
      <c r="AD17" s="632"/>
      <c r="AE17" s="633"/>
      <c r="AF17" s="633"/>
    </row>
    <row r="18" spans="1:38" ht="15.75" customHeight="1">
      <c r="A18" s="5"/>
      <c r="B18" s="633"/>
      <c r="C18" s="633"/>
      <c r="D18" s="7"/>
      <c r="E18" s="7"/>
      <c r="F18" s="207"/>
      <c r="G18" s="5"/>
      <c r="H18" s="5"/>
      <c r="S18" s="634" t="s">
        <v>417</v>
      </c>
      <c r="T18" s="634"/>
      <c r="U18" s="634"/>
      <c r="V18" s="634"/>
      <c r="W18" s="634"/>
      <c r="X18" s="634"/>
      <c r="Y18" s="634"/>
      <c r="Z18" s="634"/>
      <c r="AA18" s="634"/>
      <c r="AB18" s="634"/>
      <c r="AC18" s="635"/>
      <c r="AD18" s="633"/>
      <c r="AE18" s="633"/>
      <c r="AF18" s="633"/>
    </row>
    <row r="19" spans="1:38" ht="15.75" customHeight="1">
      <c r="A19" s="592" t="s">
        <v>13</v>
      </c>
      <c r="B19" s="592"/>
      <c r="C19" s="592"/>
      <c r="D19" s="592"/>
      <c r="E19" s="592"/>
      <c r="F19" s="592"/>
      <c r="G19" s="592"/>
      <c r="H19" s="592"/>
      <c r="I19" s="592" t="s">
        <v>183</v>
      </c>
      <c r="J19" s="592"/>
      <c r="K19" s="592"/>
      <c r="L19" s="592"/>
      <c r="M19" s="592"/>
      <c r="N19" s="592"/>
      <c r="O19" s="592"/>
      <c r="P19" s="592"/>
      <c r="Q19" s="592"/>
      <c r="R19" s="592"/>
      <c r="S19" s="637" t="s">
        <v>14</v>
      </c>
      <c r="T19" s="637"/>
      <c r="U19" s="637"/>
      <c r="V19" s="637"/>
      <c r="W19" s="637"/>
      <c r="X19" s="637"/>
      <c r="Y19" s="637"/>
      <c r="Z19" s="637"/>
      <c r="AA19" s="637"/>
      <c r="AB19" s="637"/>
      <c r="AC19" s="636"/>
      <c r="AD19" s="638"/>
      <c r="AE19" s="638"/>
      <c r="AF19" s="638"/>
    </row>
    <row r="20" spans="1:38" ht="15.75" customHeight="1">
      <c r="A20" s="5"/>
      <c r="B20" s="593"/>
      <c r="C20" s="593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593"/>
      <c r="AB20" s="593"/>
      <c r="AC20" s="4"/>
      <c r="AD20" s="633"/>
      <c r="AE20" s="633"/>
      <c r="AF20" s="633"/>
    </row>
    <row r="21" spans="1:38" ht="15.75" customHeight="1">
      <c r="A21" s="5"/>
      <c r="B21" s="633"/>
      <c r="C21" s="633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33"/>
      <c r="C23" s="633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93"/>
      <c r="AB23" s="593"/>
      <c r="AC23" s="4"/>
      <c r="AD23" s="632"/>
      <c r="AE23" s="633"/>
      <c r="AF23" s="633"/>
    </row>
    <row r="24" spans="1:38" ht="15.75" customHeight="1">
      <c r="A24" s="5"/>
      <c r="B24" s="633"/>
      <c r="C24" s="633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93"/>
      <c r="AB24" s="593"/>
      <c r="AC24" s="4"/>
      <c r="AD24" s="632"/>
      <c r="AE24" s="633"/>
      <c r="AF24" s="633"/>
    </row>
    <row r="25" spans="1:38" ht="15.75" customHeight="1">
      <c r="A25" s="5"/>
      <c r="B25" s="633"/>
      <c r="C25" s="633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93"/>
      <c r="AB25" s="593"/>
      <c r="AC25" s="4"/>
      <c r="AD25" s="632"/>
      <c r="AE25" s="633"/>
      <c r="AF25" s="633"/>
    </row>
    <row r="26" spans="1:38" ht="15.75" customHeight="1">
      <c r="A26" s="592" t="s">
        <v>227</v>
      </c>
      <c r="B26" s="592"/>
      <c r="C26" s="592"/>
      <c r="D26" s="592"/>
      <c r="E26" s="592"/>
      <c r="F26" s="592"/>
      <c r="G26" s="592"/>
      <c r="H26" s="592"/>
      <c r="I26" s="592" t="s">
        <v>123</v>
      </c>
      <c r="J26" s="592"/>
      <c r="K26" s="592"/>
      <c r="L26" s="592"/>
      <c r="M26" s="592"/>
      <c r="N26" s="592"/>
      <c r="O26" s="592"/>
      <c r="P26" s="592"/>
      <c r="Q26" s="592"/>
      <c r="R26" s="592"/>
      <c r="S26" s="592" t="s">
        <v>120</v>
      </c>
      <c r="T26" s="592"/>
      <c r="U26" s="592"/>
      <c r="V26" s="592"/>
      <c r="W26" s="592"/>
      <c r="X26" s="592"/>
      <c r="Y26" s="592"/>
      <c r="Z26" s="592"/>
      <c r="AA26" s="592"/>
      <c r="AB26" s="592"/>
      <c r="AC26" s="8"/>
      <c r="AD26" s="638"/>
      <c r="AE26" s="638"/>
      <c r="AF26" s="638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9"/>
      <c r="AB27" s="639"/>
      <c r="AC27" s="51"/>
      <c r="AD27" s="632"/>
      <c r="AE27" s="633"/>
      <c r="AF27" s="633"/>
    </row>
    <row r="28" spans="1:38">
      <c r="B28" s="30"/>
      <c r="C28" s="19"/>
      <c r="G28" s="30"/>
      <c r="H28" s="30"/>
      <c r="AA28" s="594"/>
      <c r="AB28" s="594"/>
      <c r="AC28" s="45"/>
      <c r="AD28" s="633"/>
      <c r="AE28" s="633"/>
      <c r="AF28" s="633"/>
    </row>
    <row r="29" spans="1:38">
      <c r="A29" s="5"/>
      <c r="B29" s="633"/>
      <c r="C29" s="633"/>
      <c r="AA29" s="594"/>
      <c r="AB29" s="594"/>
      <c r="AC29" s="45"/>
      <c r="AD29" s="633"/>
      <c r="AE29" s="633"/>
      <c r="AF29" s="633"/>
    </row>
    <row r="30" spans="1:38">
      <c r="A30" s="5"/>
      <c r="B30" s="633"/>
      <c r="C30" s="633"/>
      <c r="AA30" s="594"/>
      <c r="AB30" s="594"/>
      <c r="AC30" s="45"/>
      <c r="AD30" s="633"/>
      <c r="AE30" s="633"/>
      <c r="AF30" s="633"/>
    </row>
    <row r="31" spans="1:38">
      <c r="A31" s="5"/>
      <c r="B31" s="633"/>
      <c r="C31" s="633"/>
      <c r="AA31" s="594"/>
      <c r="AB31" s="594"/>
      <c r="AC31" s="45"/>
      <c r="AD31" s="633"/>
      <c r="AE31" s="633"/>
      <c r="AF31" s="633"/>
    </row>
    <row r="32" spans="1:38">
      <c r="A32" s="5"/>
      <c r="B32" s="633"/>
      <c r="C32" s="633"/>
      <c r="AA32" s="594"/>
      <c r="AB32" s="594"/>
      <c r="AC32" s="45"/>
      <c r="AD32" s="633"/>
      <c r="AE32" s="633"/>
      <c r="AF32" s="633"/>
    </row>
    <row r="33" spans="1:32">
      <c r="A33" s="5"/>
      <c r="B33" s="633"/>
      <c r="C33" s="633"/>
      <c r="AA33" s="594"/>
      <c r="AB33" s="594"/>
      <c r="AC33" s="45"/>
      <c r="AD33" s="633"/>
      <c r="AE33" s="633"/>
      <c r="AF33" s="633"/>
    </row>
    <row r="34" spans="1:32">
      <c r="A34" s="5"/>
      <c r="B34" s="633"/>
      <c r="C34" s="633"/>
      <c r="AA34" s="594"/>
      <c r="AB34" s="594"/>
      <c r="AC34" s="45"/>
      <c r="AD34" s="633"/>
      <c r="AE34" s="633"/>
      <c r="AF34" s="633"/>
    </row>
    <row r="35" spans="1:32">
      <c r="A35" s="5"/>
      <c r="B35" s="633"/>
      <c r="C35" s="633"/>
      <c r="AA35" s="594"/>
      <c r="AB35" s="594"/>
      <c r="AC35" s="45"/>
      <c r="AD35" s="633"/>
      <c r="AE35" s="633"/>
      <c r="AF35" s="633"/>
    </row>
    <row r="36" spans="1:32">
      <c r="A36" s="5"/>
      <c r="B36" s="633"/>
      <c r="C36" s="633"/>
      <c r="AA36" s="594"/>
      <c r="AB36" s="594"/>
      <c r="AC36" s="45"/>
      <c r="AD36" s="633"/>
      <c r="AE36" s="633"/>
      <c r="AF36" s="633"/>
    </row>
    <row r="37" spans="1:32">
      <c r="A37" s="5"/>
      <c r="B37" s="633"/>
      <c r="C37" s="633"/>
      <c r="AA37" s="594"/>
      <c r="AB37" s="594"/>
      <c r="AC37" s="45"/>
      <c r="AD37" s="633"/>
      <c r="AE37" s="633"/>
      <c r="AF37" s="633"/>
    </row>
    <row r="38" spans="1:32">
      <c r="A38" s="5"/>
      <c r="B38" s="633"/>
      <c r="C38" s="633"/>
      <c r="AA38" s="594"/>
      <c r="AB38" s="594"/>
      <c r="AC38" s="45"/>
      <c r="AD38" s="633"/>
      <c r="AE38" s="633"/>
      <c r="AF38" s="633"/>
    </row>
    <row r="39" spans="1:32">
      <c r="A39" s="5"/>
      <c r="B39" s="633"/>
      <c r="C39" s="633"/>
      <c r="AA39" s="594"/>
      <c r="AB39" s="594"/>
      <c r="AC39" s="45"/>
      <c r="AD39" s="633"/>
      <c r="AE39" s="633"/>
      <c r="AF39" s="633"/>
    </row>
    <row r="40" spans="1:32">
      <c r="A40" s="5"/>
      <c r="B40" s="633"/>
      <c r="C40" s="633"/>
      <c r="AA40" s="594"/>
      <c r="AB40" s="594"/>
      <c r="AC40" s="45"/>
      <c r="AD40" s="633"/>
      <c r="AE40" s="633"/>
      <c r="AF40" s="633"/>
    </row>
    <row r="41" spans="1:32">
      <c r="A41" s="5"/>
      <c r="B41" s="633"/>
      <c r="C41" s="633"/>
      <c r="AA41" s="594"/>
      <c r="AB41" s="594"/>
      <c r="AC41" s="45"/>
      <c r="AD41" s="633"/>
      <c r="AE41" s="633"/>
      <c r="AF41" s="633"/>
    </row>
    <row r="42" spans="1:32">
      <c r="A42" s="5"/>
      <c r="B42" s="633"/>
      <c r="C42" s="633"/>
      <c r="AA42" s="594"/>
      <c r="AB42" s="594"/>
      <c r="AC42" s="45"/>
      <c r="AD42" s="633"/>
      <c r="AE42" s="633"/>
      <c r="AF42" s="633"/>
    </row>
    <row r="43" spans="1:32">
      <c r="A43" s="5"/>
      <c r="B43" s="633"/>
      <c r="C43" s="633"/>
      <c r="AA43" s="594"/>
      <c r="AB43" s="594"/>
      <c r="AC43" s="45"/>
      <c r="AD43" s="633"/>
      <c r="AE43" s="633"/>
      <c r="AF43" s="633"/>
    </row>
    <row r="44" spans="1:32">
      <c r="A44" s="5"/>
      <c r="B44" s="633"/>
      <c r="C44" s="633"/>
      <c r="AA44" s="594"/>
      <c r="AB44" s="594"/>
      <c r="AC44" s="45"/>
      <c r="AD44" s="633"/>
      <c r="AE44" s="633"/>
      <c r="AF44" s="633"/>
    </row>
    <row r="45" spans="1:32">
      <c r="A45" s="5"/>
      <c r="B45" s="633"/>
      <c r="C45" s="633"/>
      <c r="AA45" s="594"/>
      <c r="AB45" s="594"/>
      <c r="AC45" s="45"/>
      <c r="AD45" s="633"/>
      <c r="AE45" s="633"/>
      <c r="AF45" s="633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Y10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74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74" customWidth="1"/>
    <col min="12" max="12" width="13.125" style="275" customWidth="1"/>
  </cols>
  <sheetData>
    <row r="1" spans="1:15">
      <c r="A1" s="593" t="s">
        <v>79</v>
      </c>
      <c r="B1" s="593"/>
      <c r="C1" s="593"/>
      <c r="D1" s="593"/>
      <c r="E1" s="593"/>
      <c r="F1" s="592" t="s">
        <v>297</v>
      </c>
      <c r="G1" s="592"/>
      <c r="H1" s="592"/>
      <c r="I1" s="592"/>
      <c r="J1" s="592"/>
      <c r="K1" s="592"/>
      <c r="L1" s="272"/>
    </row>
    <row r="2" spans="1:15">
      <c r="A2" s="592" t="s">
        <v>186</v>
      </c>
      <c r="B2" s="592"/>
      <c r="C2" s="592"/>
      <c r="D2" s="592"/>
      <c r="E2" s="592"/>
      <c r="F2" s="658" t="s">
        <v>0</v>
      </c>
      <c r="G2" s="658"/>
      <c r="H2" s="658"/>
      <c r="I2" s="658"/>
      <c r="J2" s="658"/>
      <c r="K2" s="658"/>
      <c r="L2" s="273"/>
    </row>
    <row r="3" spans="1:15" ht="24" customHeight="1"/>
    <row r="4" spans="1:15" ht="18.75">
      <c r="A4" s="596" t="s">
        <v>298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276"/>
    </row>
    <row r="5" spans="1:15" ht="18.75">
      <c r="A5" s="596" t="s">
        <v>343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276"/>
    </row>
    <row r="6" spans="1:15" ht="41.25" customHeight="1">
      <c r="A6" s="684" t="s">
        <v>340</v>
      </c>
      <c r="B6" s="685"/>
      <c r="C6" s="685"/>
      <c r="D6" s="685"/>
      <c r="E6" s="685"/>
      <c r="F6" s="685"/>
      <c r="G6" s="685"/>
      <c r="H6" s="685"/>
      <c r="I6" s="685"/>
      <c r="J6" s="685"/>
      <c r="K6" s="685"/>
      <c r="L6" s="276"/>
    </row>
    <row r="7" spans="1:15" ht="23.25" customHeight="1">
      <c r="A7" s="9"/>
    </row>
    <row r="8" spans="1:15" hidden="1">
      <c r="A8" s="9"/>
      <c r="H8" s="19"/>
    </row>
    <row r="9" spans="1:15" hidden="1">
      <c r="A9" s="9"/>
      <c r="H9" s="19"/>
    </row>
    <row r="10" spans="1:15" hidden="1">
      <c r="A10" s="9"/>
      <c r="H10" s="686"/>
      <c r="I10" s="686"/>
      <c r="J10" s="686"/>
      <c r="K10" s="686"/>
      <c r="L10" s="277"/>
    </row>
    <row r="11" spans="1:15" hidden="1">
      <c r="A11" s="9"/>
      <c r="O11">
        <f>1.5*540000</f>
        <v>810000</v>
      </c>
    </row>
    <row r="12" spans="1:15" s="38" customFormat="1" ht="22.5" customHeight="1">
      <c r="A12" s="665" t="s">
        <v>2</v>
      </c>
      <c r="B12" s="687" t="s">
        <v>20</v>
      </c>
      <c r="C12" s="688" t="s">
        <v>21</v>
      </c>
      <c r="D12" s="689" t="s">
        <v>62</v>
      </c>
      <c r="E12" s="691" t="s">
        <v>4</v>
      </c>
      <c r="F12" s="691" t="s">
        <v>300</v>
      </c>
      <c r="G12" s="681" t="s">
        <v>301</v>
      </c>
      <c r="H12" s="691" t="s">
        <v>180</v>
      </c>
      <c r="I12" s="691" t="s">
        <v>15</v>
      </c>
      <c r="J12" s="665" t="s">
        <v>5</v>
      </c>
      <c r="K12" s="665"/>
      <c r="L12" s="279"/>
      <c r="M12" s="683"/>
    </row>
    <row r="13" spans="1:15" s="38" customFormat="1" ht="29.25" customHeight="1">
      <c r="A13" s="665"/>
      <c r="B13" s="687"/>
      <c r="C13" s="688"/>
      <c r="D13" s="690"/>
      <c r="E13" s="691"/>
      <c r="F13" s="691"/>
      <c r="G13" s="682"/>
      <c r="H13" s="691"/>
      <c r="I13" s="691"/>
      <c r="J13" s="665"/>
      <c r="K13" s="665"/>
      <c r="L13" s="279"/>
      <c r="M13" s="683"/>
    </row>
    <row r="14" spans="1:15" s="291" customFormat="1" ht="53.25" customHeight="1">
      <c r="A14" s="280" t="s">
        <v>32</v>
      </c>
      <c r="B14" s="281"/>
      <c r="C14" s="282"/>
      <c r="D14" s="283"/>
      <c r="E14" s="284" t="s">
        <v>318</v>
      </c>
      <c r="F14" s="285"/>
      <c r="G14" s="285">
        <v>250000</v>
      </c>
      <c r="H14" s="286">
        <f>F14*G14</f>
        <v>0</v>
      </c>
      <c r="I14" s="287"/>
      <c r="J14" s="288"/>
      <c r="K14" s="337" t="s">
        <v>341</v>
      </c>
      <c r="L14" s="289"/>
      <c r="M14" s="290"/>
    </row>
    <row r="15" spans="1:15" s="310" customFormat="1" ht="22.5" customHeight="1">
      <c r="A15" s="271"/>
      <c r="B15" s="665" t="s">
        <v>11</v>
      </c>
      <c r="C15" s="665"/>
      <c r="D15" s="271"/>
      <c r="E15" s="305"/>
      <c r="F15" s="306">
        <f>SUM(F14:F14)</f>
        <v>0</v>
      </c>
      <c r="G15" s="306">
        <f>SUM(G14:G14)</f>
        <v>250000</v>
      </c>
      <c r="H15" s="307">
        <f>SUM(H14:H14)</f>
        <v>0</v>
      </c>
      <c r="I15" s="271"/>
      <c r="J15" s="278"/>
      <c r="K15" s="308"/>
      <c r="L15" s="309"/>
    </row>
    <row r="16" spans="1:15" ht="5.25" customHeight="1">
      <c r="A16" s="292"/>
      <c r="B16" s="292"/>
      <c r="C16" s="292"/>
      <c r="D16" s="292"/>
      <c r="E16" s="293"/>
      <c r="F16" s="9"/>
      <c r="G16" s="9"/>
      <c r="H16" s="13"/>
      <c r="I16" s="13"/>
      <c r="J16" s="9"/>
      <c r="K16" s="10"/>
      <c r="L16" s="294"/>
      <c r="M16" s="2"/>
    </row>
    <row r="17" spans="1:13" ht="13.5" customHeight="1">
      <c r="A17" s="292"/>
      <c r="B17" s="295"/>
      <c r="C17" s="292"/>
      <c r="D17" s="292"/>
      <c r="E17" s="293"/>
      <c r="F17" s="9"/>
      <c r="G17" s="9"/>
      <c r="H17" s="13"/>
      <c r="I17" s="13"/>
      <c r="J17" s="9"/>
      <c r="K17" s="10"/>
      <c r="L17" s="294"/>
      <c r="M17" s="2"/>
    </row>
    <row r="18" spans="1:13">
      <c r="A18" s="5"/>
      <c r="B18" s="17" t="s">
        <v>344</v>
      </c>
      <c r="C18" s="17"/>
      <c r="D18" s="17"/>
      <c r="E18" s="157"/>
      <c r="F18" s="17"/>
      <c r="G18" s="17"/>
      <c r="H18" s="70"/>
      <c r="I18" s="4"/>
      <c r="J18" s="8"/>
      <c r="K18" s="157"/>
      <c r="L18" s="296"/>
      <c r="M18" s="270"/>
    </row>
    <row r="19" spans="1:13">
      <c r="A19" s="5"/>
      <c r="B19" s="12" t="s">
        <v>181</v>
      </c>
      <c r="C19" s="12"/>
      <c r="D19" s="12"/>
      <c r="E19" s="157"/>
      <c r="F19" s="8"/>
      <c r="G19" s="8"/>
      <c r="H19" s="4"/>
      <c r="I19" s="4"/>
      <c r="J19" s="8"/>
      <c r="K19" s="157"/>
      <c r="L19" s="296"/>
      <c r="M19" s="5"/>
    </row>
    <row r="20" spans="1:13" s="14" customFormat="1">
      <c r="E20" s="33"/>
      <c r="F20" s="679" t="s">
        <v>342</v>
      </c>
      <c r="G20" s="679"/>
      <c r="H20" s="679"/>
      <c r="I20" s="679"/>
      <c r="J20" s="679"/>
      <c r="K20" s="679"/>
      <c r="L20" s="297"/>
    </row>
    <row r="21" spans="1:13" s="14" customFormat="1">
      <c r="A21" s="659" t="s">
        <v>13</v>
      </c>
      <c r="B21" s="659"/>
      <c r="C21" s="659"/>
      <c r="D21" s="9"/>
      <c r="E21" s="659" t="s">
        <v>183</v>
      </c>
      <c r="F21" s="659"/>
      <c r="G21" s="9"/>
      <c r="H21" s="659" t="s">
        <v>81</v>
      </c>
      <c r="I21" s="659"/>
      <c r="J21" s="659"/>
      <c r="K21" s="659"/>
      <c r="L21" s="298"/>
      <c r="M21" s="158"/>
    </row>
    <row r="22" spans="1:13" s="14" customFormat="1">
      <c r="A22" s="13"/>
      <c r="B22" s="13"/>
      <c r="C22" s="13"/>
      <c r="D22" s="13"/>
      <c r="E22" s="299"/>
      <c r="F22" s="13"/>
      <c r="G22" s="13"/>
      <c r="H22" s="13"/>
      <c r="I22" s="13"/>
      <c r="J22" s="13"/>
      <c r="K22" s="299"/>
      <c r="L22" s="300"/>
    </row>
    <row r="23" spans="1:13" s="14" customFormat="1">
      <c r="B23" s="13"/>
      <c r="E23" s="33"/>
      <c r="F23" s="13"/>
      <c r="G23" s="13"/>
      <c r="H23" s="13"/>
      <c r="I23" s="13"/>
      <c r="J23" s="13"/>
      <c r="K23" s="33"/>
      <c r="L23" s="301"/>
    </row>
    <row r="24" spans="1:13" s="14" customFormat="1">
      <c r="E24" s="33"/>
      <c r="F24" s="13"/>
      <c r="G24" s="13"/>
      <c r="H24" s="13"/>
      <c r="I24" s="13"/>
      <c r="J24" s="13"/>
      <c r="K24" s="33"/>
      <c r="L24" s="301"/>
    </row>
    <row r="25" spans="1:13" s="14" customFormat="1">
      <c r="E25" s="33"/>
      <c r="F25" s="13"/>
      <c r="G25" s="13"/>
      <c r="H25" s="13"/>
      <c r="I25" s="13"/>
      <c r="J25" s="13"/>
      <c r="K25" s="33"/>
      <c r="L25" s="301"/>
    </row>
    <row r="26" spans="1:13" s="14" customFormat="1">
      <c r="E26" s="33"/>
      <c r="F26" s="13"/>
      <c r="G26" s="13"/>
      <c r="H26" s="13"/>
      <c r="I26" s="13"/>
      <c r="J26" s="13"/>
      <c r="K26" s="33"/>
      <c r="L26" s="301"/>
    </row>
    <row r="27" spans="1:13" s="14" customFormat="1">
      <c r="A27" s="659" t="s">
        <v>299</v>
      </c>
      <c r="B27" s="659"/>
      <c r="C27" s="659"/>
      <c r="D27" s="9"/>
      <c r="E27" s="659" t="s">
        <v>123</v>
      </c>
      <c r="F27" s="659"/>
      <c r="G27" s="9"/>
      <c r="H27" s="659" t="s">
        <v>120</v>
      </c>
      <c r="I27" s="659"/>
      <c r="J27" s="659"/>
      <c r="K27" s="659"/>
      <c r="L27" s="298"/>
      <c r="M27" s="158"/>
    </row>
    <row r="28" spans="1:13">
      <c r="A28" s="680" t="str">
        <f ca="1">CELL("filename")</f>
        <v>E:\DULIEUMAYCU\Quynh chung\Quynh Exel\2023\Luong\Co huu\[Bang luong BC T09 - 2023.xlsx]BC</v>
      </c>
      <c r="B28" s="680"/>
      <c r="C28" s="680"/>
      <c r="D28" s="680"/>
      <c r="E28" s="680"/>
      <c r="F28" s="680"/>
      <c r="G28" s="6"/>
      <c r="H28" s="302"/>
      <c r="I28" s="302"/>
      <c r="J28" s="302"/>
      <c r="K28" s="303"/>
      <c r="L28" s="304"/>
      <c r="M28" s="6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CN  (2)</vt:lpstr>
      <vt:lpstr>GDQP</vt:lpstr>
      <vt:lpstr>ND 111</vt:lpstr>
      <vt:lpstr>Y tế</vt:lpstr>
      <vt:lpstr>CN </vt:lpstr>
      <vt:lpstr>BĐC T09-23</vt:lpstr>
      <vt:lpstr>BHXH</vt:lpstr>
      <vt:lpstr>Thu viec CN</vt:lpstr>
      <vt:lpstr>Moi</vt:lpstr>
      <vt:lpstr>Sheet1</vt:lpstr>
      <vt:lpstr>'BĐC T09-23'!Print_Titles</vt:lpstr>
      <vt:lpstr>BHXH!Print_Titles</vt:lpstr>
      <vt:lpstr>'CN '!Print_Titles</vt:lpstr>
      <vt:lpstr>'CN  (2)'!Print_Titles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2023-08-31T01:51:08Z</cp:lastPrinted>
  <dcterms:created xsi:type="dcterms:W3CDTF">2008-02-09T21:26:41Z</dcterms:created>
  <dcterms:modified xsi:type="dcterms:W3CDTF">2023-09-16T04:40:02Z</dcterms:modified>
</cp:coreProperties>
</file>