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ThinkPad T440s\Downloads\"/>
    </mc:Choice>
  </mc:AlternateContent>
  <bookViews>
    <workbookView xWindow="0" yWindow="0" windowWidth="24000" windowHeight="10920" tabRatio="813" firstSheet="4" activeTab="4"/>
  </bookViews>
  <sheets>
    <sheet name="Kangatang" sheetId="143" state="veryHidden" r:id="rId1"/>
    <sheet name="Don vi" sheetId="145" state="hidden" r:id="rId2"/>
    <sheet name="Thong ke" sheetId="144" state="hidden" r:id="rId3"/>
    <sheet name="CBQL" sheetId="148" state="hidden" r:id="rId4"/>
    <sheet name="Chi tiet" sheetId="142" r:id="rId5"/>
    <sheet name="P.KH-TC" sheetId="117" r:id="rId6"/>
    <sheet name="P.TS-ĐT" sheetId="118" r:id="rId7"/>
    <sheet name="TCHC" sheetId="140" r:id="rId8"/>
    <sheet name="P.TTGD-CTSV" sheetId="119" r:id="rId9"/>
    <sheet name="P.KT&amp;ĐBCL" sheetId="120" r:id="rId10"/>
    <sheet name="P.QLKH-HTQT" sheetId="121" r:id="rId11"/>
    <sheet name="P.QT-DV" sheetId="122" r:id="rId12"/>
    <sheet name="K.KHCB" sheetId="123" r:id="rId13"/>
    <sheet name="K.NG NGU" sheetId="146" r:id="rId14"/>
    <sheet name="K.LLCT" sheetId="124" r:id="rId15"/>
    <sheet name="K.CƠ KHÍ" sheetId="125" r:id="rId16"/>
    <sheet name="K.CNTT" sheetId="128" r:id="rId17"/>
    <sheet name="K.ĐỘNG LỰC" sheetId="129" r:id="rId18"/>
    <sheet name="K.Đ-ĐTỬ" sheetId="130" r:id="rId19"/>
    <sheet name="K.MAY-TT" sheetId="131" r:id="rId20"/>
    <sheet name="K.NHIỆT-LẠNH" sheetId="132" r:id="rId21"/>
    <sheet name="K.KINH TẾ" sheetId="133" r:id="rId22"/>
    <sheet name="K.XÂY DỰNG" sheetId="134" r:id="rId23"/>
    <sheet name="TT.THƯ VIỆN" sheetId="136" r:id="rId24"/>
    <sheet name="TT.ĐTLTT" sheetId="135" r:id="rId25"/>
    <sheet name="TT.Y TẾ" sheetId="138" r:id="rId26"/>
    <sheet name="TT.QHDN" sheetId="137" r:id="rId27"/>
    <sheet name="TT DHDL" sheetId="139" r:id="rId28"/>
    <sheet name="KONE" sheetId="141" state="hidden" r:id="rId29"/>
  </sheets>
  <externalReferences>
    <externalReference r:id="rId30"/>
    <externalReference r:id="rId31"/>
  </externalReferences>
  <definedNames>
    <definedName name="_xlnm._FilterDatabase" localSheetId="4" hidden="1">'Chi tiet'!$A$7:$BE$396</definedName>
    <definedName name="_xlnm._FilterDatabase" localSheetId="16" hidden="1">K.CNTT!$A$8:$AE$36</definedName>
    <definedName name="_xlnm._FilterDatabase" localSheetId="15" hidden="1">'K.CƠ KHÍ'!$A$8:$AB$35</definedName>
    <definedName name="_xlnm._FilterDatabase" localSheetId="18" hidden="1">'K.Đ-ĐTỬ'!$A$8:$AF$43</definedName>
    <definedName name="_xlnm._FilterDatabase" localSheetId="12" hidden="1">K.KHCB!$A$8:$AH$30</definedName>
    <definedName name="_xlnm._FilterDatabase" localSheetId="14" hidden="1">K.LLCT!$A$8:$AB$28</definedName>
    <definedName name="_xlnm._FilterDatabase" localSheetId="13" hidden="1">'K.NG NGU'!$A$8:$AH$22</definedName>
    <definedName name="_xlnm._FilterDatabase" localSheetId="5" hidden="1">'P.KH-TC'!$A$9:$AC$24</definedName>
    <definedName name="_xlnm._FilterDatabase" localSheetId="11" hidden="1">'P.QT-DV'!$A$8:$AL$43</definedName>
    <definedName name="_xlnm._FilterDatabase" localSheetId="8" hidden="1">'P.TTGD-CTSV'!$A$8:$AF$24</definedName>
    <definedName name="_xlnm.Print_Area" localSheetId="4">'Chi tiet'!$A$1:$AD$458</definedName>
    <definedName name="_xlnm.Print_Titles" localSheetId="3">CBQL!$3:$3</definedName>
    <definedName name="_xlnm.Print_Titles" localSheetId="4">'Chi tiet'!$4:$6</definedName>
  </definedNames>
  <calcPr calcId="162913"/>
</workbook>
</file>

<file path=xl/calcChain.xml><?xml version="1.0" encoding="utf-8"?>
<calcChain xmlns="http://schemas.openxmlformats.org/spreadsheetml/2006/main">
  <c r="O111" i="142" l="1"/>
  <c r="N111" i="142"/>
  <c r="O110" i="142"/>
  <c r="N110" i="142"/>
  <c r="O389" i="142"/>
  <c r="N389" i="142"/>
  <c r="O385" i="142"/>
  <c r="N385" i="142"/>
  <c r="O367" i="142"/>
  <c r="N367" i="142"/>
  <c r="O351" i="142"/>
  <c r="N351" i="142"/>
  <c r="O321" i="142"/>
  <c r="N321" i="142"/>
  <c r="O248" i="142"/>
  <c r="N248" i="142"/>
  <c r="O224" i="142"/>
  <c r="N224" i="142"/>
  <c r="O195" i="142"/>
  <c r="N195" i="142"/>
  <c r="N178" i="142"/>
  <c r="O178" i="142"/>
  <c r="O162" i="142"/>
  <c r="N162" i="142"/>
  <c r="O94" i="142"/>
  <c r="N94" i="142"/>
  <c r="O93" i="142"/>
  <c r="N93" i="142"/>
  <c r="O27" i="142"/>
  <c r="N27" i="142"/>
  <c r="O26" i="142"/>
  <c r="N26" i="142"/>
  <c r="X47" i="142"/>
  <c r="M37" i="142" l="1"/>
  <c r="Q390" i="142"/>
  <c r="Q106" i="142"/>
  <c r="P131" i="142"/>
  <c r="G37" i="142"/>
  <c r="L37" i="142"/>
  <c r="W56" i="142" l="1"/>
  <c r="X56" i="142"/>
  <c r="AD21" i="140"/>
  <c r="AE21" i="140"/>
  <c r="P21" i="140"/>
  <c r="Q21" i="140"/>
  <c r="N56" i="142"/>
  <c r="O56" i="142"/>
  <c r="W390" i="142" l="1"/>
  <c r="X390" i="142"/>
  <c r="W391" i="142"/>
  <c r="X391" i="142"/>
  <c r="W392" i="142"/>
  <c r="X392" i="142"/>
  <c r="N390" i="142"/>
  <c r="O390" i="142"/>
  <c r="AL368" i="142" l="1"/>
  <c r="A375" i="142"/>
  <c r="A376" i="142"/>
  <c r="A368" i="142"/>
  <c r="A369" i="142"/>
  <c r="A370" i="142"/>
  <c r="A371" i="142"/>
  <c r="A346" i="142" l="1"/>
  <c r="A347" i="142"/>
  <c r="A348" i="142"/>
  <c r="A38" i="142" l="1"/>
  <c r="AM19" i="118"/>
  <c r="X35" i="142" s="1"/>
  <c r="AL19" i="118"/>
  <c r="O35" i="142" s="1"/>
  <c r="Y19" i="118"/>
  <c r="W35" i="142" s="1"/>
  <c r="X19" i="118"/>
  <c r="N35" i="142" s="1"/>
  <c r="M92" i="142" l="1"/>
  <c r="M161" i="142"/>
  <c r="M160" i="142"/>
  <c r="M119" i="142"/>
  <c r="AH111" i="142" l="1"/>
  <c r="AL111" i="142"/>
  <c r="AL367" i="142"/>
  <c r="AM26" i="118" l="1"/>
  <c r="X42" i="142" s="1"/>
  <c r="AL26" i="118"/>
  <c r="O42" i="142" s="1"/>
  <c r="Y26" i="118"/>
  <c r="W42" i="142" s="1"/>
  <c r="X26" i="118"/>
  <c r="N42" i="142" s="1"/>
  <c r="A12" i="122"/>
  <c r="A11" i="122" s="1"/>
  <c r="A13" i="122" s="1"/>
  <c r="A14" i="122" s="1"/>
  <c r="A15" i="122" s="1"/>
  <c r="A16" i="122" s="1"/>
  <c r="A17" i="122" s="1"/>
  <c r="A18" i="122" s="1"/>
  <c r="A19" i="122" s="1"/>
  <c r="AC27" i="133"/>
  <c r="AB27" i="133"/>
  <c r="O27" i="133"/>
  <c r="N27" i="133"/>
  <c r="AD20" i="135"/>
  <c r="X376" i="142" s="1"/>
  <c r="AC20" i="135"/>
  <c r="O376" i="142" s="1"/>
  <c r="T20" i="135"/>
  <c r="W376" i="142" s="1"/>
  <c r="S20" i="135"/>
  <c r="N376" i="142" s="1"/>
  <c r="AD14" i="135"/>
  <c r="X370" i="142" s="1"/>
  <c r="AC14" i="135"/>
  <c r="O370" i="142" s="1"/>
  <c r="T14" i="135"/>
  <c r="W370" i="142" s="1"/>
  <c r="S14" i="135"/>
  <c r="N370" i="142" s="1"/>
  <c r="AD13" i="135"/>
  <c r="X369" i="142" s="1"/>
  <c r="AC13" i="135"/>
  <c r="O369" i="142" s="1"/>
  <c r="T13" i="135"/>
  <c r="W369" i="142" s="1"/>
  <c r="S13" i="135"/>
  <c r="N369" i="142" s="1"/>
  <c r="AD15" i="135"/>
  <c r="X371" i="142" s="1"/>
  <c r="AC15" i="135"/>
  <c r="O371" i="142" s="1"/>
  <c r="T15" i="135"/>
  <c r="W371" i="142" s="1"/>
  <c r="S15" i="135"/>
  <c r="N371" i="142" s="1"/>
  <c r="AD11" i="135"/>
  <c r="X367" i="142" s="1"/>
  <c r="AC11" i="135"/>
  <c r="T11" i="135"/>
  <c r="W367" i="142" s="1"/>
  <c r="P367" i="142" s="1"/>
  <c r="S11" i="135"/>
  <c r="AC16" i="139"/>
  <c r="AB16" i="139"/>
  <c r="Q16" i="139"/>
  <c r="P16" i="139"/>
  <c r="AB11" i="139"/>
  <c r="AC11" i="139"/>
  <c r="P11" i="139"/>
  <c r="Q11" i="139"/>
  <c r="L92" i="142" l="1"/>
  <c r="G92" i="142"/>
  <c r="A34" i="142"/>
  <c r="A35" i="142"/>
  <c r="A36" i="142"/>
  <c r="G38" i="142"/>
  <c r="G347" i="142"/>
  <c r="G396" i="142"/>
  <c r="A396" i="142"/>
  <c r="AD29" i="128" l="1"/>
  <c r="AC29" i="128"/>
  <c r="Q29" i="128"/>
  <c r="P29" i="128"/>
  <c r="N243" i="142" s="1"/>
  <c r="AG21" i="146"/>
  <c r="AF21" i="146"/>
  <c r="U21" i="146"/>
  <c r="T21" i="146"/>
  <c r="A25" i="140"/>
  <c r="A26" i="140" s="1"/>
  <c r="A27" i="140" s="1"/>
  <c r="A28" i="140" s="1"/>
  <c r="A29" i="140" s="1"/>
  <c r="A30" i="140" s="1"/>
  <c r="A31" i="140" s="1"/>
  <c r="A32" i="140" s="1"/>
  <c r="A33" i="140" s="1"/>
  <c r="A34" i="140" s="1"/>
  <c r="A35" i="140" s="1"/>
  <c r="A36" i="140" s="1"/>
  <c r="A37" i="140" s="1"/>
  <c r="AE35" i="140"/>
  <c r="X70" i="142" s="1"/>
  <c r="AD35" i="140"/>
  <c r="Q35" i="140"/>
  <c r="W70" i="142" s="1"/>
  <c r="P35" i="140"/>
  <c r="O70" i="142"/>
  <c r="N70" i="142"/>
  <c r="G70" i="142"/>
  <c r="A70" i="142"/>
  <c r="X243" i="142"/>
  <c r="W243" i="142"/>
  <c r="O243" i="142"/>
  <c r="G243" i="142"/>
  <c r="A243" i="142"/>
  <c r="P70" i="142" l="1"/>
  <c r="P243" i="142"/>
  <c r="AE243" i="142" s="1"/>
  <c r="AE70" i="142" l="1"/>
  <c r="U70" i="142"/>
  <c r="U243" i="142"/>
  <c r="X173" i="142"/>
  <c r="W173" i="142"/>
  <c r="O173" i="142"/>
  <c r="N173" i="142"/>
  <c r="G173" i="142"/>
  <c r="A173" i="142"/>
  <c r="AL28" i="142"/>
  <c r="AE173" i="142" l="1"/>
  <c r="A65" i="142"/>
  <c r="G65" i="142"/>
  <c r="Q173" i="142" l="1"/>
  <c r="U173" i="142" s="1"/>
  <c r="L349" i="142"/>
  <c r="L350" i="142"/>
  <c r="AF38" i="122" l="1"/>
  <c r="AC38" i="122"/>
  <c r="AB38" i="122"/>
  <c r="AA38" i="122"/>
  <c r="Z38" i="122"/>
  <c r="Y38" i="122"/>
  <c r="X38" i="122"/>
  <c r="W38" i="122"/>
  <c r="V38" i="122"/>
  <c r="U38" i="122"/>
  <c r="T38" i="122"/>
  <c r="S38" i="122"/>
  <c r="R38" i="122"/>
  <c r="E38" i="122"/>
  <c r="F38" i="122"/>
  <c r="G38" i="122"/>
  <c r="H38" i="122"/>
  <c r="I38" i="122"/>
  <c r="J38" i="122"/>
  <c r="K38" i="122"/>
  <c r="L38" i="122"/>
  <c r="M38" i="122"/>
  <c r="N38" i="122"/>
  <c r="O38" i="122"/>
  <c r="D38" i="122"/>
  <c r="P37" i="122" l="1"/>
  <c r="N136" i="142" s="1"/>
  <c r="Q37" i="122"/>
  <c r="W136" i="142" s="1"/>
  <c r="A134" i="142"/>
  <c r="A135" i="142"/>
  <c r="A136" i="142"/>
  <c r="AE37" i="122"/>
  <c r="AE38" i="122" s="1"/>
  <c r="AD37" i="122"/>
  <c r="A395" i="142"/>
  <c r="A394" i="142"/>
  <c r="A392" i="142"/>
  <c r="A391" i="142"/>
  <c r="A389" i="142"/>
  <c r="A386" i="142"/>
  <c r="A385" i="142"/>
  <c r="A382" i="142"/>
  <c r="A380" i="142"/>
  <c r="A379" i="142"/>
  <c r="A374" i="142"/>
  <c r="A373" i="142"/>
  <c r="A366" i="142"/>
  <c r="A362" i="142"/>
  <c r="A363" i="142"/>
  <c r="A361" i="142"/>
  <c r="A357" i="142"/>
  <c r="A358" i="142"/>
  <c r="A359" i="142"/>
  <c r="A356" i="142"/>
  <c r="A352" i="142"/>
  <c r="A353" i="142"/>
  <c r="A351" i="142"/>
  <c r="A332" i="142"/>
  <c r="A333" i="142"/>
  <c r="A334" i="142"/>
  <c r="A335" i="142"/>
  <c r="A336" i="142"/>
  <c r="A337" i="142"/>
  <c r="A338" i="142"/>
  <c r="A339" i="142"/>
  <c r="A340" i="142"/>
  <c r="A341" i="142"/>
  <c r="A342" i="142"/>
  <c r="A343" i="142"/>
  <c r="A344" i="142"/>
  <c r="A345" i="142"/>
  <c r="A331" i="142"/>
  <c r="A321" i="142"/>
  <c r="A322" i="142"/>
  <c r="A323" i="142"/>
  <c r="A324" i="142"/>
  <c r="A325" i="142"/>
  <c r="A326" i="142"/>
  <c r="A327" i="142"/>
  <c r="A328" i="142"/>
  <c r="A320" i="142"/>
  <c r="A310" i="142"/>
  <c r="A311" i="142"/>
  <c r="A312" i="142"/>
  <c r="A313" i="142"/>
  <c r="A314" i="142"/>
  <c r="A315" i="142"/>
  <c r="A316" i="142"/>
  <c r="A317" i="142"/>
  <c r="A309" i="142"/>
  <c r="A278" i="142"/>
  <c r="A279" i="142"/>
  <c r="A280" i="142"/>
  <c r="A281" i="142"/>
  <c r="A282" i="142"/>
  <c r="A283" i="142"/>
  <c r="A284" i="142"/>
  <c r="A285" i="142"/>
  <c r="A286" i="142"/>
  <c r="A287" i="142"/>
  <c r="A288" i="142"/>
  <c r="A289" i="142"/>
  <c r="A290" i="142"/>
  <c r="A291" i="142"/>
  <c r="A292" i="142"/>
  <c r="A293" i="142"/>
  <c r="A294" i="142"/>
  <c r="A295" i="142"/>
  <c r="A296" i="142"/>
  <c r="A297" i="142"/>
  <c r="A298" i="142"/>
  <c r="A299" i="142"/>
  <c r="A300" i="142"/>
  <c r="A301" i="142"/>
  <c r="A302" i="142"/>
  <c r="A303" i="142"/>
  <c r="A304" i="142"/>
  <c r="A305" i="142"/>
  <c r="A306" i="142"/>
  <c r="A277" i="142"/>
  <c r="A274" i="142"/>
  <c r="A248" i="142"/>
  <c r="A249" i="142"/>
  <c r="A250" i="142"/>
  <c r="A251" i="142"/>
  <c r="A252" i="142"/>
  <c r="A253" i="142"/>
  <c r="A254" i="142"/>
  <c r="A255" i="142"/>
  <c r="A256" i="142"/>
  <c r="A257" i="142"/>
  <c r="A258" i="142"/>
  <c r="A259" i="142"/>
  <c r="A260" i="142"/>
  <c r="A261" i="142"/>
  <c r="A262" i="142"/>
  <c r="A263" i="142"/>
  <c r="A264" i="142"/>
  <c r="A265" i="142"/>
  <c r="A266" i="142"/>
  <c r="A267" i="142"/>
  <c r="A268" i="142"/>
  <c r="A269" i="142"/>
  <c r="A270" i="142"/>
  <c r="A271" i="142"/>
  <c r="A272" i="142"/>
  <c r="A247" i="142"/>
  <c r="A225" i="142"/>
  <c r="A226" i="142"/>
  <c r="A227" i="142"/>
  <c r="A228" i="142"/>
  <c r="A229" i="142"/>
  <c r="A230" i="142"/>
  <c r="A231" i="142"/>
  <c r="A232" i="142"/>
  <c r="A233" i="142"/>
  <c r="A234" i="142"/>
  <c r="A235" i="142"/>
  <c r="A236" i="142"/>
  <c r="A237" i="142"/>
  <c r="A238" i="142"/>
  <c r="A239" i="142"/>
  <c r="A240" i="142"/>
  <c r="A241" i="142"/>
  <c r="A242" i="142"/>
  <c r="A244" i="142"/>
  <c r="A224" i="142"/>
  <c r="A195" i="142"/>
  <c r="A196" i="142"/>
  <c r="A197" i="142"/>
  <c r="A198" i="142"/>
  <c r="A199" i="142"/>
  <c r="A200" i="142"/>
  <c r="A201" i="142"/>
  <c r="A202" i="142"/>
  <c r="A203" i="142"/>
  <c r="A204" i="142"/>
  <c r="A205" i="142"/>
  <c r="A206" i="142"/>
  <c r="A207" i="142"/>
  <c r="A208" i="142"/>
  <c r="A209" i="142"/>
  <c r="A210" i="142"/>
  <c r="A211" i="142"/>
  <c r="A212" i="142"/>
  <c r="A213" i="142"/>
  <c r="A214" i="142"/>
  <c r="A215" i="142"/>
  <c r="A216" i="142"/>
  <c r="A217" i="142"/>
  <c r="A218" i="142"/>
  <c r="A219" i="142"/>
  <c r="A220" i="142"/>
  <c r="A221" i="142"/>
  <c r="A194" i="142"/>
  <c r="A178" i="142"/>
  <c r="A179" i="142"/>
  <c r="A180" i="142"/>
  <c r="A181" i="142"/>
  <c r="A182" i="142"/>
  <c r="A183" i="142"/>
  <c r="A184" i="142"/>
  <c r="A185" i="142"/>
  <c r="A186" i="142"/>
  <c r="A187" i="142"/>
  <c r="A188" i="142"/>
  <c r="A189" i="142"/>
  <c r="A190" i="142"/>
  <c r="A191" i="142"/>
  <c r="A177" i="142"/>
  <c r="A163" i="142"/>
  <c r="A164" i="142"/>
  <c r="A165" i="142"/>
  <c r="A166" i="142"/>
  <c r="A167" i="142"/>
  <c r="A168" i="142"/>
  <c r="A169" i="142"/>
  <c r="A170" i="142"/>
  <c r="A171" i="142"/>
  <c r="A172" i="142"/>
  <c r="A174" i="142"/>
  <c r="A162" i="142"/>
  <c r="A140" i="142"/>
  <c r="A141" i="142"/>
  <c r="A142" i="142"/>
  <c r="A143" i="142"/>
  <c r="A144" i="142"/>
  <c r="A145" i="142"/>
  <c r="A146" i="142"/>
  <c r="A147" i="142"/>
  <c r="A148" i="142"/>
  <c r="A149" i="142"/>
  <c r="A150" i="142"/>
  <c r="A151" i="142"/>
  <c r="A152" i="142"/>
  <c r="A153" i="142"/>
  <c r="A154" i="142"/>
  <c r="A155" i="142"/>
  <c r="A156" i="142"/>
  <c r="A157" i="142"/>
  <c r="A158" i="142"/>
  <c r="A159" i="142"/>
  <c r="A139" i="142"/>
  <c r="A121" i="142"/>
  <c r="A122" i="142"/>
  <c r="A123" i="142"/>
  <c r="A124" i="142"/>
  <c r="A125" i="142"/>
  <c r="A126" i="142"/>
  <c r="A127" i="142"/>
  <c r="A128" i="142"/>
  <c r="A129" i="142"/>
  <c r="A130" i="142"/>
  <c r="A131" i="142"/>
  <c r="A132" i="142"/>
  <c r="A133" i="142"/>
  <c r="A120" i="142"/>
  <c r="A110" i="142"/>
  <c r="A112" i="142"/>
  <c r="A113" i="142"/>
  <c r="A367" i="142"/>
  <c r="A114" i="142"/>
  <c r="A115" i="142"/>
  <c r="A116" i="142"/>
  <c r="A117" i="142"/>
  <c r="A118" i="142"/>
  <c r="A111" i="142"/>
  <c r="A109" i="142"/>
  <c r="A106" i="142"/>
  <c r="A105" i="142"/>
  <c r="A103" i="142"/>
  <c r="A100" i="142"/>
  <c r="A94" i="142"/>
  <c r="A95" i="142"/>
  <c r="A96" i="142"/>
  <c r="A97" i="142"/>
  <c r="A98" i="142"/>
  <c r="A390" i="142"/>
  <c r="A93" i="142"/>
  <c r="A90" i="142"/>
  <c r="A89" i="142"/>
  <c r="A88" i="142"/>
  <c r="A87" i="142"/>
  <c r="A86" i="142"/>
  <c r="A85" i="142"/>
  <c r="A84" i="142"/>
  <c r="A83" i="142"/>
  <c r="A76" i="142"/>
  <c r="A77" i="142"/>
  <c r="A78" i="142"/>
  <c r="A79" i="142"/>
  <c r="A80" i="142"/>
  <c r="A81" i="142"/>
  <c r="A75" i="142"/>
  <c r="A59" i="142"/>
  <c r="A60" i="142"/>
  <c r="A61" i="142"/>
  <c r="A62" i="142"/>
  <c r="A63" i="142"/>
  <c r="A64" i="142"/>
  <c r="A66" i="142"/>
  <c r="A67" i="142"/>
  <c r="A68" i="142"/>
  <c r="A69" i="142"/>
  <c r="A71" i="142"/>
  <c r="A72" i="142"/>
  <c r="A58" i="142"/>
  <c r="AD38" i="122" l="1"/>
  <c r="AH37" i="122"/>
  <c r="AG37" i="122"/>
  <c r="O136" i="142" s="1"/>
  <c r="X136" i="142"/>
  <c r="P136" i="142" s="1"/>
  <c r="G69" i="142" l="1"/>
  <c r="A46" i="142"/>
  <c r="A47" i="142"/>
  <c r="A48" i="142"/>
  <c r="A49" i="142"/>
  <c r="A50" i="142"/>
  <c r="A51" i="142"/>
  <c r="A52" i="142"/>
  <c r="A53" i="142"/>
  <c r="A54" i="142"/>
  <c r="A55" i="142"/>
  <c r="A56" i="142"/>
  <c r="A45" i="142"/>
  <c r="A40" i="142"/>
  <c r="A41" i="142"/>
  <c r="A42" i="142"/>
  <c r="A39" i="142"/>
  <c r="A27" i="142"/>
  <c r="A28" i="142"/>
  <c r="A29" i="142"/>
  <c r="A30" i="142"/>
  <c r="A31" i="142"/>
  <c r="A32" i="142"/>
  <c r="A33" i="142"/>
  <c r="A26" i="142"/>
  <c r="A21" i="142"/>
  <c r="A22" i="142"/>
  <c r="A23" i="142"/>
  <c r="A20" i="142"/>
  <c r="A15" i="142"/>
  <c r="A16" i="142"/>
  <c r="A17" i="142"/>
  <c r="A18" i="142"/>
  <c r="A14" i="142"/>
  <c r="A9" i="142"/>
  <c r="A10" i="142"/>
  <c r="A11" i="142"/>
  <c r="A8" i="142"/>
  <c r="A10" i="148" l="1"/>
  <c r="A7" i="148"/>
  <c r="A8" i="148" s="1"/>
  <c r="A6" i="148"/>
  <c r="P56" i="142" l="1"/>
  <c r="G376" i="142"/>
  <c r="AD18" i="135"/>
  <c r="X374" i="142" s="1"/>
  <c r="AC18" i="135"/>
  <c r="O374" i="142" s="1"/>
  <c r="T18" i="135"/>
  <c r="W374" i="142" s="1"/>
  <c r="S18" i="135"/>
  <c r="N374" i="142" s="1"/>
  <c r="Q341" i="142" l="1"/>
  <c r="M330" i="142" l="1"/>
  <c r="M329" i="142"/>
  <c r="AG12" i="122" l="1"/>
  <c r="AH12" i="122"/>
  <c r="P12" i="122"/>
  <c r="Q12" i="122"/>
  <c r="G1" i="144" l="1"/>
  <c r="A12" i="148"/>
  <c r="A13" i="148" s="1"/>
  <c r="A14" i="148" s="1"/>
  <c r="A16" i="148" s="1"/>
  <c r="A17" i="148" s="1"/>
  <c r="A18" i="148" s="1"/>
  <c r="E70" i="148" l="1"/>
  <c r="E68" i="148"/>
  <c r="E66" i="148"/>
  <c r="E64" i="148"/>
  <c r="E62" i="148"/>
  <c r="E60" i="148"/>
  <c r="E58" i="148"/>
  <c r="E57" i="148"/>
  <c r="E55" i="148"/>
  <c r="E54" i="148"/>
  <c r="E52" i="148"/>
  <c r="E50" i="148"/>
  <c r="E49" i="148"/>
  <c r="E48" i="148"/>
  <c r="E46" i="148"/>
  <c r="E45" i="148"/>
  <c r="E43" i="148"/>
  <c r="E42" i="148"/>
  <c r="E40" i="148"/>
  <c r="E39" i="148"/>
  <c r="E37" i="148"/>
  <c r="E36" i="148"/>
  <c r="E34" i="148"/>
  <c r="E32" i="148"/>
  <c r="E31" i="148"/>
  <c r="E26" i="148"/>
  <c r="E29" i="148"/>
  <c r="E28" i="148"/>
  <c r="E24" i="148"/>
  <c r="E23" i="148"/>
  <c r="E21" i="148"/>
  <c r="E20" i="148"/>
  <c r="E18" i="148"/>
  <c r="E17" i="148"/>
  <c r="E16" i="148"/>
  <c r="E14" i="148"/>
  <c r="E13" i="148"/>
  <c r="E12" i="148"/>
  <c r="E10" i="148"/>
  <c r="D38" i="129"/>
  <c r="E38" i="129"/>
  <c r="F38" i="129"/>
  <c r="G38" i="129"/>
  <c r="H38" i="129"/>
  <c r="I38" i="129"/>
  <c r="J38" i="129"/>
  <c r="K38" i="129"/>
  <c r="L38" i="129"/>
  <c r="A20" i="148" l="1"/>
  <c r="A21" i="148" s="1"/>
  <c r="A23" i="148" s="1"/>
  <c r="A24" i="148" s="1"/>
  <c r="A26" i="148" s="1"/>
  <c r="A28" i="148" s="1"/>
  <c r="A29" i="148" s="1"/>
  <c r="A31" i="148" s="1"/>
  <c r="A32" i="148" s="1"/>
  <c r="A34" i="148" s="1"/>
  <c r="A36" i="148" s="1"/>
  <c r="A37" i="148" s="1"/>
  <c r="A39" i="148" s="1"/>
  <c r="A40" i="148" s="1"/>
  <c r="A42" i="148" s="1"/>
  <c r="A43" i="148" s="1"/>
  <c r="A45" i="148" s="1"/>
  <c r="A46" i="148" s="1"/>
  <c r="A48" i="148" s="1"/>
  <c r="A49" i="148" s="1"/>
  <c r="A50" i="148" s="1"/>
  <c r="A52" i="148" s="1"/>
  <c r="A54" i="148" s="1"/>
  <c r="A55" i="148" s="1"/>
  <c r="A57" i="148" s="1"/>
  <c r="A58" i="148" s="1"/>
  <c r="A60" i="148" s="1"/>
  <c r="A62" i="148" s="1"/>
  <c r="A64" i="148" s="1"/>
  <c r="A66" i="148" s="1"/>
  <c r="A68" i="148" s="1"/>
  <c r="A70" i="148" s="1"/>
  <c r="F351" i="142"/>
  <c r="H23" i="144" s="1"/>
  <c r="E351" i="142"/>
  <c r="F161" i="142"/>
  <c r="E161" i="142"/>
  <c r="H14" i="144" l="1"/>
  <c r="F14" i="144"/>
  <c r="F23" i="144"/>
  <c r="AH163" i="142" l="1"/>
  <c r="BG161" i="142"/>
  <c r="BF161" i="142"/>
  <c r="BG137" i="142"/>
  <c r="BF137" i="142"/>
  <c r="AL164" i="142"/>
  <c r="AL141" i="142"/>
  <c r="AL140" i="142"/>
  <c r="AL163" i="142"/>
  <c r="F162" i="142" l="1"/>
  <c r="I14" i="144" s="1"/>
  <c r="E162" i="142"/>
  <c r="G14" i="144" s="1"/>
  <c r="AL162" i="142"/>
  <c r="N26" i="119"/>
  <c r="M393" i="142" l="1"/>
  <c r="P19" i="122" l="1"/>
  <c r="Q19" i="122"/>
  <c r="L138" i="142" l="1"/>
  <c r="L137" i="142" s="1"/>
  <c r="G272" i="142"/>
  <c r="G244" i="142"/>
  <c r="G19" i="132" l="1"/>
  <c r="W111" i="142" l="1"/>
  <c r="X111" i="142"/>
  <c r="P111" i="142" l="1"/>
  <c r="G273" i="142"/>
  <c r="AC30" i="128"/>
  <c r="O244" i="142" s="1"/>
  <c r="AD30" i="128"/>
  <c r="X244" i="142" s="1"/>
  <c r="P30" i="128"/>
  <c r="N244" i="142" s="1"/>
  <c r="Q30" i="128"/>
  <c r="W244" i="142" s="1"/>
  <c r="AA34" i="129"/>
  <c r="AB34" i="129"/>
  <c r="AA35" i="129"/>
  <c r="O272" i="142" s="1"/>
  <c r="AB35" i="129"/>
  <c r="X272" i="142" s="1"/>
  <c r="P34" i="129"/>
  <c r="Q34" i="129"/>
  <c r="P35" i="129"/>
  <c r="N272" i="142" s="1"/>
  <c r="Q35" i="129"/>
  <c r="W272" i="142" s="1"/>
  <c r="A22" i="122"/>
  <c r="A23" i="122" s="1"/>
  <c r="A24" i="122" s="1"/>
  <c r="A25" i="122" s="1"/>
  <c r="A26" i="122" s="1"/>
  <c r="A27" i="122" s="1"/>
  <c r="A28" i="122" s="1"/>
  <c r="A29" i="122" s="1"/>
  <c r="A30" i="122" s="1"/>
  <c r="A31" i="122" s="1"/>
  <c r="A32" i="122" s="1"/>
  <c r="A33" i="122" s="1"/>
  <c r="A34" i="122" s="1"/>
  <c r="A35" i="122" s="1"/>
  <c r="A36" i="122" s="1"/>
  <c r="A37" i="122" s="1"/>
  <c r="P244" i="142" l="1"/>
  <c r="Q244" i="142" s="1"/>
  <c r="U111" i="142"/>
  <c r="AE111" i="142"/>
  <c r="P272" i="142"/>
  <c r="Q272" i="142" l="1"/>
  <c r="U272" i="142" s="1"/>
  <c r="AE272" i="142"/>
  <c r="U244" i="142"/>
  <c r="AE244" i="142"/>
  <c r="L160" i="142"/>
  <c r="G160" i="142"/>
  <c r="C14" i="144" s="1"/>
  <c r="G138" i="142"/>
  <c r="G137" i="142"/>
  <c r="M138" i="142"/>
  <c r="M137" i="142"/>
  <c r="X25" i="146"/>
  <c r="AE23" i="146"/>
  <c r="AD23" i="146"/>
  <c r="AC23" i="146"/>
  <c r="AB23" i="146"/>
  <c r="AA23" i="146"/>
  <c r="Z23" i="146"/>
  <c r="Y23" i="146"/>
  <c r="X23" i="146"/>
  <c r="W23" i="146"/>
  <c r="V23" i="146"/>
  <c r="M23" i="146"/>
  <c r="L23" i="146"/>
  <c r="K23" i="146"/>
  <c r="J23" i="146"/>
  <c r="I23" i="146"/>
  <c r="H23" i="146"/>
  <c r="G23" i="146"/>
  <c r="F23" i="146"/>
  <c r="E23" i="146"/>
  <c r="D23" i="146"/>
  <c r="AG22" i="146"/>
  <c r="X174" i="142" s="1"/>
  <c r="AF22" i="146"/>
  <c r="O174" i="142" s="1"/>
  <c r="U22" i="146"/>
  <c r="W174" i="142" s="1"/>
  <c r="T22" i="146"/>
  <c r="N174" i="142" s="1"/>
  <c r="AG20" i="146"/>
  <c r="X172" i="142" s="1"/>
  <c r="AF20" i="146"/>
  <c r="O172" i="142" s="1"/>
  <c r="U20" i="146"/>
  <c r="W172" i="142" s="1"/>
  <c r="T20" i="146"/>
  <c r="N172" i="142" s="1"/>
  <c r="AG19" i="146"/>
  <c r="X171" i="142" s="1"/>
  <c r="AF19" i="146"/>
  <c r="O171" i="142" s="1"/>
  <c r="U19" i="146"/>
  <c r="W171" i="142" s="1"/>
  <c r="T19" i="146"/>
  <c r="N171" i="142" s="1"/>
  <c r="AG18" i="146"/>
  <c r="X170" i="142" s="1"/>
  <c r="AF18" i="146"/>
  <c r="O170" i="142" s="1"/>
  <c r="U18" i="146"/>
  <c r="W170" i="142" s="1"/>
  <c r="T18" i="146"/>
  <c r="N170" i="142" s="1"/>
  <c r="AG17" i="146"/>
  <c r="X169" i="142" s="1"/>
  <c r="AF17" i="146"/>
  <c r="O169" i="142" s="1"/>
  <c r="U17" i="146"/>
  <c r="W169" i="142" s="1"/>
  <c r="T17" i="146"/>
  <c r="N169" i="142" s="1"/>
  <c r="AG16" i="146"/>
  <c r="X168" i="142" s="1"/>
  <c r="AF16" i="146"/>
  <c r="O168" i="142" s="1"/>
  <c r="U16" i="146"/>
  <c r="W168" i="142" s="1"/>
  <c r="T16" i="146"/>
  <c r="N168" i="142" s="1"/>
  <c r="AG15" i="146"/>
  <c r="X167" i="142" s="1"/>
  <c r="AF15" i="146"/>
  <c r="O167" i="142" s="1"/>
  <c r="U15" i="146"/>
  <c r="W167" i="142" s="1"/>
  <c r="T15" i="146"/>
  <c r="N167" i="142" s="1"/>
  <c r="AG14" i="146"/>
  <c r="X166" i="142" s="1"/>
  <c r="AF14" i="146"/>
  <c r="O166" i="142" s="1"/>
  <c r="U14" i="146"/>
  <c r="W166" i="142" s="1"/>
  <c r="T14" i="146"/>
  <c r="N166" i="142" s="1"/>
  <c r="AG13" i="146"/>
  <c r="X165" i="142" s="1"/>
  <c r="AF13" i="146"/>
  <c r="O165" i="142" s="1"/>
  <c r="U13" i="146"/>
  <c r="W165" i="142" s="1"/>
  <c r="T13" i="146"/>
  <c r="N165" i="142" s="1"/>
  <c r="AG12" i="146"/>
  <c r="X164" i="142" s="1"/>
  <c r="AF12" i="146"/>
  <c r="O164" i="142" s="1"/>
  <c r="U12" i="146"/>
  <c r="W164" i="142" s="1"/>
  <c r="T12" i="146"/>
  <c r="N164" i="142" s="1"/>
  <c r="AG11" i="146"/>
  <c r="X163" i="142" s="1"/>
  <c r="AF11" i="146"/>
  <c r="O163" i="142" s="1"/>
  <c r="U11" i="146"/>
  <c r="W163" i="142" s="1"/>
  <c r="T11" i="146"/>
  <c r="N163" i="142" s="1"/>
  <c r="AG10" i="146"/>
  <c r="X162" i="142" s="1"/>
  <c r="AF10" i="146"/>
  <c r="U10" i="146"/>
  <c r="W162" i="142" s="1"/>
  <c r="T10" i="146"/>
  <c r="P162" i="142" l="1"/>
  <c r="P163" i="142"/>
  <c r="P164" i="142"/>
  <c r="P165" i="142"/>
  <c r="Q165" i="142" s="1"/>
  <c r="P166" i="142"/>
  <c r="Q166" i="142" s="1"/>
  <c r="P167" i="142"/>
  <c r="Q167" i="142" s="1"/>
  <c r="P168" i="142"/>
  <c r="Q168" i="142" s="1"/>
  <c r="P169" i="142"/>
  <c r="P170" i="142"/>
  <c r="Q170" i="142" s="1"/>
  <c r="P171" i="142"/>
  <c r="Q171" i="142" s="1"/>
  <c r="P172" i="142"/>
  <c r="Q172" i="142" s="1"/>
  <c r="P174" i="142"/>
  <c r="Q174" i="142" s="1"/>
  <c r="E14" i="144"/>
  <c r="D14" i="144"/>
  <c r="AI162" i="142"/>
  <c r="AI161" i="142"/>
  <c r="R341" i="142"/>
  <c r="AI163" i="142" l="1"/>
  <c r="M108" i="142"/>
  <c r="M82" i="142"/>
  <c r="M44" i="142"/>
  <c r="AE56" i="142" l="1"/>
  <c r="AL353" i="142"/>
  <c r="AL352" i="142"/>
  <c r="E352" i="142" l="1"/>
  <c r="G23" i="144" s="1"/>
  <c r="F352" i="142"/>
  <c r="I23" i="144" s="1"/>
  <c r="M223" i="142" l="1"/>
  <c r="M222" i="142"/>
  <c r="AE25" i="119" l="1"/>
  <c r="X90" i="142" s="1"/>
  <c r="AD25" i="119"/>
  <c r="O90" i="142" s="1"/>
  <c r="Q25" i="119"/>
  <c r="W90" i="142" s="1"/>
  <c r="P25" i="119"/>
  <c r="N90" i="142" s="1"/>
  <c r="M26" i="119"/>
  <c r="O26" i="119"/>
  <c r="D26" i="119"/>
  <c r="E26" i="119"/>
  <c r="F26" i="119"/>
  <c r="G26" i="119"/>
  <c r="H26" i="119"/>
  <c r="I26" i="119"/>
  <c r="J26" i="119"/>
  <c r="K26" i="119"/>
  <c r="P90" i="142" l="1"/>
  <c r="Q90" i="142" s="1"/>
  <c r="R27" i="118"/>
  <c r="S27" i="118"/>
  <c r="T27" i="118"/>
  <c r="U27" i="118"/>
  <c r="L99" i="142" l="1"/>
  <c r="G91" i="142" s="1"/>
  <c r="G140" i="142" l="1"/>
  <c r="D32" i="148" s="1"/>
  <c r="G143" i="142"/>
  <c r="G145" i="142"/>
  <c r="G300" i="142"/>
  <c r="AL22" i="118" l="1"/>
  <c r="O38" i="142" s="1"/>
  <c r="AM22" i="118"/>
  <c r="X38" i="142" s="1"/>
  <c r="X22" i="118"/>
  <c r="N38" i="142" s="1"/>
  <c r="Y22" i="118"/>
  <c r="W38" i="142" s="1"/>
  <c r="D27" i="118"/>
  <c r="E27" i="118"/>
  <c r="F27" i="118"/>
  <c r="G27" i="118"/>
  <c r="H27" i="118"/>
  <c r="I27" i="118"/>
  <c r="J27" i="118"/>
  <c r="K27" i="118"/>
  <c r="L27" i="118"/>
  <c r="M27" i="118"/>
  <c r="N27" i="118"/>
  <c r="O27" i="118"/>
  <c r="P27" i="118"/>
  <c r="Q27" i="118"/>
  <c r="P38" i="142" l="1"/>
  <c r="AE38" i="142" s="1"/>
  <c r="P42" i="142"/>
  <c r="G135" i="142"/>
  <c r="AG35" i="122"/>
  <c r="AH35" i="122"/>
  <c r="AG36" i="122"/>
  <c r="O135" i="142" s="1"/>
  <c r="AH36" i="122"/>
  <c r="X135" i="142" s="1"/>
  <c r="P35" i="122"/>
  <c r="Q35" i="122"/>
  <c r="P36" i="122"/>
  <c r="N135" i="142" s="1"/>
  <c r="Q36" i="122"/>
  <c r="W135" i="142" s="1"/>
  <c r="Q38" i="142" l="1"/>
  <c r="P135" i="142"/>
  <c r="U135" i="142" s="1"/>
  <c r="G224" i="142"/>
  <c r="D42" i="148" s="1"/>
  <c r="U38" i="142" l="1"/>
  <c r="AE135" i="142"/>
  <c r="L119" i="142"/>
  <c r="M107" i="142" s="1"/>
  <c r="L57" i="142" l="1"/>
  <c r="M43" i="142" s="1"/>
  <c r="G395" i="142" l="1"/>
  <c r="G394" i="142"/>
  <c r="G392" i="142"/>
  <c r="G391" i="142"/>
  <c r="G389" i="142"/>
  <c r="D70" i="148" s="1"/>
  <c r="G386" i="142"/>
  <c r="G385" i="142"/>
  <c r="D68" i="148" s="1"/>
  <c r="G382" i="142"/>
  <c r="G380" i="142"/>
  <c r="G379" i="142"/>
  <c r="D66" i="148" s="1"/>
  <c r="G374" i="142"/>
  <c r="G373" i="142"/>
  <c r="G368" i="142"/>
  <c r="G366" i="142"/>
  <c r="D64" i="148" s="1"/>
  <c r="G362" i="142"/>
  <c r="G363" i="142"/>
  <c r="G361" i="142"/>
  <c r="G357" i="142"/>
  <c r="G358" i="142"/>
  <c r="G359" i="142"/>
  <c r="G356" i="142"/>
  <c r="D62" i="148" s="1"/>
  <c r="G353" i="142"/>
  <c r="G352" i="142"/>
  <c r="G351" i="142"/>
  <c r="D60" i="148" s="1"/>
  <c r="G332" i="142"/>
  <c r="D58" i="148" s="1"/>
  <c r="G333" i="142"/>
  <c r="G334" i="142"/>
  <c r="G335" i="142"/>
  <c r="G336" i="142"/>
  <c r="G337" i="142"/>
  <c r="G338" i="142"/>
  <c r="G339" i="142"/>
  <c r="G340" i="142"/>
  <c r="G341" i="142"/>
  <c r="G342" i="142"/>
  <c r="G343" i="142"/>
  <c r="G344" i="142"/>
  <c r="G345" i="142"/>
  <c r="G346" i="142"/>
  <c r="G348" i="142"/>
  <c r="G331" i="142"/>
  <c r="D57" i="148" s="1"/>
  <c r="G321" i="142"/>
  <c r="D55" i="148" s="1"/>
  <c r="G322" i="142"/>
  <c r="G323" i="142"/>
  <c r="G324" i="142"/>
  <c r="G325" i="142"/>
  <c r="G326" i="142"/>
  <c r="G327" i="142"/>
  <c r="G328" i="142"/>
  <c r="G320" i="142"/>
  <c r="D54" i="148" s="1"/>
  <c r="G310" i="142"/>
  <c r="G311" i="142"/>
  <c r="G312" i="142"/>
  <c r="G313" i="142"/>
  <c r="G314" i="142"/>
  <c r="G315" i="142"/>
  <c r="G316" i="142"/>
  <c r="G317" i="142"/>
  <c r="G309" i="142"/>
  <c r="D52" i="148" s="1"/>
  <c r="G278" i="142"/>
  <c r="D49" i="148" s="1"/>
  <c r="G279" i="142"/>
  <c r="D50" i="148" s="1"/>
  <c r="G280" i="142"/>
  <c r="G281" i="142"/>
  <c r="G282" i="142"/>
  <c r="G283" i="142"/>
  <c r="G284" i="142"/>
  <c r="G285" i="142"/>
  <c r="G286" i="142"/>
  <c r="G287" i="142"/>
  <c r="G288" i="142"/>
  <c r="G289" i="142"/>
  <c r="G290" i="142"/>
  <c r="G291" i="142"/>
  <c r="G292" i="142"/>
  <c r="G293" i="142"/>
  <c r="G294" i="142"/>
  <c r="G295" i="142"/>
  <c r="G296" i="142"/>
  <c r="G297" i="142"/>
  <c r="G298" i="142"/>
  <c r="G299" i="142"/>
  <c r="G301" i="142"/>
  <c r="G302" i="142"/>
  <c r="G303" i="142"/>
  <c r="G304" i="142"/>
  <c r="G305" i="142"/>
  <c r="G306" i="142"/>
  <c r="G277" i="142"/>
  <c r="D48" i="148" s="1"/>
  <c r="G274" i="142"/>
  <c r="G248" i="142"/>
  <c r="D46" i="148" s="1"/>
  <c r="G249" i="142"/>
  <c r="G250" i="142"/>
  <c r="G251" i="142"/>
  <c r="G252" i="142"/>
  <c r="G253" i="142"/>
  <c r="G254" i="142"/>
  <c r="G255" i="142"/>
  <c r="G256" i="142"/>
  <c r="G257" i="142"/>
  <c r="G258" i="142"/>
  <c r="G259" i="142"/>
  <c r="G260" i="142"/>
  <c r="G261" i="142"/>
  <c r="G262" i="142"/>
  <c r="G263" i="142"/>
  <c r="G264" i="142"/>
  <c r="G265" i="142"/>
  <c r="G266" i="142"/>
  <c r="G267" i="142"/>
  <c r="G268" i="142"/>
  <c r="G269" i="142"/>
  <c r="G270" i="142"/>
  <c r="G271" i="142"/>
  <c r="G247" i="142"/>
  <c r="D45" i="148" s="1"/>
  <c r="G225" i="142"/>
  <c r="D43" i="148" s="1"/>
  <c r="G226" i="142"/>
  <c r="G227" i="142"/>
  <c r="G228" i="142"/>
  <c r="G229" i="142"/>
  <c r="G230" i="142"/>
  <c r="G231" i="142"/>
  <c r="G232" i="142"/>
  <c r="G233" i="142"/>
  <c r="G234" i="142"/>
  <c r="G235" i="142"/>
  <c r="G236" i="142"/>
  <c r="G237" i="142"/>
  <c r="G238" i="142"/>
  <c r="G239" i="142"/>
  <c r="G240" i="142"/>
  <c r="G241" i="142"/>
  <c r="G242" i="142"/>
  <c r="G216" i="142"/>
  <c r="G217" i="142"/>
  <c r="G218" i="142"/>
  <c r="G219" i="142"/>
  <c r="G220" i="142"/>
  <c r="G221" i="142"/>
  <c r="G210" i="142"/>
  <c r="G211" i="142"/>
  <c r="G212" i="142"/>
  <c r="G213" i="142"/>
  <c r="G214" i="142"/>
  <c r="G215" i="142"/>
  <c r="G205" i="142"/>
  <c r="G206" i="142"/>
  <c r="G207" i="142"/>
  <c r="G208" i="142"/>
  <c r="G209" i="142"/>
  <c r="G202" i="142"/>
  <c r="G203" i="142"/>
  <c r="G204" i="142"/>
  <c r="G195" i="142"/>
  <c r="D40" i="148" s="1"/>
  <c r="G196" i="142"/>
  <c r="G197" i="142"/>
  <c r="G198" i="142"/>
  <c r="G199" i="142"/>
  <c r="G200" i="142"/>
  <c r="G201" i="142"/>
  <c r="G194" i="142"/>
  <c r="D39" i="148" s="1"/>
  <c r="G178" i="142"/>
  <c r="D37" i="148" s="1"/>
  <c r="G179" i="142"/>
  <c r="G180" i="142"/>
  <c r="G181" i="142"/>
  <c r="G182" i="142"/>
  <c r="G183" i="142"/>
  <c r="G184" i="142"/>
  <c r="G185" i="142"/>
  <c r="G186" i="142"/>
  <c r="G187" i="142"/>
  <c r="G188" i="142"/>
  <c r="G189" i="142"/>
  <c r="G190" i="142"/>
  <c r="G191" i="142"/>
  <c r="G177" i="142"/>
  <c r="D36" i="148" s="1"/>
  <c r="G141" i="142"/>
  <c r="G142" i="142"/>
  <c r="G144" i="142"/>
  <c r="G146" i="142"/>
  <c r="G147" i="142"/>
  <c r="G148" i="142"/>
  <c r="G149" i="142"/>
  <c r="G150" i="142"/>
  <c r="G151" i="142"/>
  <c r="G152" i="142"/>
  <c r="G153" i="142"/>
  <c r="G154" i="142"/>
  <c r="G162" i="142"/>
  <c r="D34" i="148" s="1"/>
  <c r="G163" i="142"/>
  <c r="G164" i="142"/>
  <c r="G165" i="142"/>
  <c r="G166" i="142"/>
  <c r="G167" i="142"/>
  <c r="G168" i="142"/>
  <c r="G169" i="142"/>
  <c r="G170" i="142"/>
  <c r="G171" i="142"/>
  <c r="G172" i="142"/>
  <c r="G155" i="142"/>
  <c r="G156" i="142"/>
  <c r="G157" i="142"/>
  <c r="G158" i="142"/>
  <c r="G159" i="142"/>
  <c r="G174" i="142"/>
  <c r="G139" i="142"/>
  <c r="D31" i="148" s="1"/>
  <c r="G121" i="142"/>
  <c r="G122" i="142"/>
  <c r="G123" i="142"/>
  <c r="G124" i="142"/>
  <c r="G125" i="142"/>
  <c r="G126" i="142"/>
  <c r="G127" i="142"/>
  <c r="G375" i="142"/>
  <c r="G128" i="142"/>
  <c r="G129" i="142"/>
  <c r="G130" i="142"/>
  <c r="G131" i="142"/>
  <c r="G132" i="142"/>
  <c r="G133" i="142"/>
  <c r="G134" i="142"/>
  <c r="G120" i="142"/>
  <c r="G110" i="142"/>
  <c r="D29" i="148" s="1"/>
  <c r="G112" i="142"/>
  <c r="G113" i="142"/>
  <c r="G367" i="142"/>
  <c r="G114" i="142"/>
  <c r="G115" i="142"/>
  <c r="G116" i="142"/>
  <c r="G371" i="142"/>
  <c r="G369" i="142"/>
  <c r="G117" i="142"/>
  <c r="G118" i="142"/>
  <c r="G370" i="142"/>
  <c r="G109" i="142"/>
  <c r="D28" i="148" s="1"/>
  <c r="G106" i="142"/>
  <c r="G105" i="142"/>
  <c r="G103" i="142"/>
  <c r="D26" i="148" s="1"/>
  <c r="G100" i="142"/>
  <c r="G94" i="142"/>
  <c r="D24" i="148" s="1"/>
  <c r="G95" i="142"/>
  <c r="G96" i="142"/>
  <c r="G97" i="142"/>
  <c r="G98" i="142"/>
  <c r="G390" i="142"/>
  <c r="G93" i="142"/>
  <c r="D23" i="148" s="1"/>
  <c r="G83" i="142"/>
  <c r="G84" i="142"/>
  <c r="G85" i="142"/>
  <c r="G86" i="142"/>
  <c r="G87" i="142"/>
  <c r="G88" i="142"/>
  <c r="G89" i="142"/>
  <c r="G76" i="142"/>
  <c r="D21" i="148" s="1"/>
  <c r="G77" i="142"/>
  <c r="G78" i="142"/>
  <c r="G79" i="142"/>
  <c r="G80" i="142"/>
  <c r="G36" i="142"/>
  <c r="G81" i="142"/>
  <c r="G75" i="142"/>
  <c r="D20" i="148" s="1"/>
  <c r="G90" i="142"/>
  <c r="G59" i="142"/>
  <c r="G60" i="142"/>
  <c r="G61" i="142"/>
  <c r="G62" i="142"/>
  <c r="G63" i="142"/>
  <c r="G64" i="142"/>
  <c r="G66" i="142"/>
  <c r="G136" i="142"/>
  <c r="G67" i="142"/>
  <c r="G68" i="142"/>
  <c r="G71" i="142"/>
  <c r="G72" i="142"/>
  <c r="G58" i="142"/>
  <c r="G46" i="142"/>
  <c r="D17" i="148" s="1"/>
  <c r="G47" i="142"/>
  <c r="D18" i="148" s="1"/>
  <c r="G48" i="142"/>
  <c r="G49" i="142"/>
  <c r="G50" i="142"/>
  <c r="G51" i="142"/>
  <c r="G52" i="142"/>
  <c r="G53" i="142"/>
  <c r="G54" i="142"/>
  <c r="G55" i="142"/>
  <c r="G45" i="142"/>
  <c r="D16" i="148" s="1"/>
  <c r="G40" i="142"/>
  <c r="G41" i="142"/>
  <c r="G42" i="142"/>
  <c r="G39" i="142"/>
  <c r="G27" i="142"/>
  <c r="D13" i="148" s="1"/>
  <c r="D14" i="148"/>
  <c r="G28" i="142"/>
  <c r="G29" i="142"/>
  <c r="G30" i="142"/>
  <c r="G31" i="142"/>
  <c r="G32" i="142"/>
  <c r="G33" i="142"/>
  <c r="G34" i="142"/>
  <c r="G35" i="142"/>
  <c r="G26" i="142"/>
  <c r="D12" i="148" s="1"/>
  <c r="G21" i="142"/>
  <c r="G23" i="142"/>
  <c r="G20" i="142"/>
  <c r="G15" i="142"/>
  <c r="G16" i="142"/>
  <c r="G17" i="142"/>
  <c r="G18" i="142"/>
  <c r="G14" i="142"/>
  <c r="D10" i="148" s="1"/>
  <c r="D40" i="130" l="1"/>
  <c r="E40" i="130"/>
  <c r="F40" i="130"/>
  <c r="G40" i="130"/>
  <c r="H40" i="130"/>
  <c r="I40" i="130"/>
  <c r="J40" i="130"/>
  <c r="M74" i="142" l="1"/>
  <c r="F385" i="142" l="1"/>
  <c r="E385" i="142"/>
  <c r="F332" i="142"/>
  <c r="E332" i="142"/>
  <c r="F320" i="142"/>
  <c r="E320" i="142"/>
  <c r="F309" i="142"/>
  <c r="E309" i="142"/>
  <c r="F277" i="142"/>
  <c r="E277" i="142"/>
  <c r="F224" i="142"/>
  <c r="E224" i="142"/>
  <c r="F194" i="142"/>
  <c r="E194" i="142"/>
  <c r="F177" i="142"/>
  <c r="E177" i="142"/>
  <c r="F102" i="142"/>
  <c r="E102" i="142"/>
  <c r="F15" i="144" l="1"/>
  <c r="H17" i="144"/>
  <c r="H20" i="144"/>
  <c r="F17" i="144"/>
  <c r="H15" i="144"/>
  <c r="F11" i="144"/>
  <c r="F16" i="144"/>
  <c r="F21" i="144"/>
  <c r="F27" i="144"/>
  <c r="F20" i="144"/>
  <c r="H11" i="144"/>
  <c r="H16" i="144"/>
  <c r="H21" i="144"/>
  <c r="H27" i="144"/>
  <c r="H22" i="144"/>
  <c r="F22" i="144"/>
  <c r="F19" i="144"/>
  <c r="H19" i="144"/>
  <c r="T385" i="142"/>
  <c r="L27" i="144" s="1"/>
  <c r="S385" i="142"/>
  <c r="J27" i="144" s="1"/>
  <c r="M38" i="129" l="1"/>
  <c r="N38" i="129"/>
  <c r="O38" i="129"/>
  <c r="O10" i="136"/>
  <c r="N356" i="142" s="1"/>
  <c r="O11" i="136"/>
  <c r="N357" i="142" s="1"/>
  <c r="O12" i="136"/>
  <c r="N358" i="142" s="1"/>
  <c r="O13" i="136"/>
  <c r="N359" i="142" s="1"/>
  <c r="O14" i="136"/>
  <c r="O15" i="136"/>
  <c r="N361" i="142" s="1"/>
  <c r="O16" i="136"/>
  <c r="N362" i="142" s="1"/>
  <c r="O17" i="136"/>
  <c r="N363" i="142" s="1"/>
  <c r="AF30" i="123" l="1"/>
  <c r="AG30" i="123"/>
  <c r="T30" i="123"/>
  <c r="U30" i="123"/>
  <c r="AE174" i="142" l="1"/>
  <c r="U174" i="142"/>
  <c r="K29" i="145" l="1"/>
  <c r="I29" i="145"/>
  <c r="G29" i="145"/>
  <c r="E29" i="145"/>
  <c r="Q26" i="145"/>
  <c r="P26" i="145"/>
  <c r="O26" i="145"/>
  <c r="N26" i="145"/>
  <c r="M26" i="145"/>
  <c r="K26" i="145"/>
  <c r="I26" i="145"/>
  <c r="G26" i="145"/>
  <c r="E26" i="145"/>
  <c r="G86" i="145"/>
  <c r="G85" i="145"/>
  <c r="G84" i="145"/>
  <c r="G83" i="145"/>
  <c r="G82" i="145"/>
  <c r="E86" i="145"/>
  <c r="E85" i="145"/>
  <c r="E84" i="145"/>
  <c r="E83" i="145"/>
  <c r="E82" i="145"/>
  <c r="AE82" i="145"/>
  <c r="R82" i="145"/>
  <c r="J22" i="145" l="1"/>
  <c r="K24" i="145"/>
  <c r="K23" i="145"/>
  <c r="I24" i="145"/>
  <c r="I23" i="145"/>
  <c r="G24" i="145"/>
  <c r="G23" i="145"/>
  <c r="E24" i="145"/>
  <c r="E23" i="145"/>
  <c r="J19" i="145"/>
  <c r="K20" i="145"/>
  <c r="I20" i="145"/>
  <c r="G20" i="145"/>
  <c r="E20" i="145"/>
  <c r="J16" i="145"/>
  <c r="K17" i="145"/>
  <c r="I17" i="145"/>
  <c r="G17" i="145"/>
  <c r="E17" i="145"/>
  <c r="J13" i="145"/>
  <c r="K14" i="145"/>
  <c r="I14" i="145"/>
  <c r="G14" i="145"/>
  <c r="E14" i="145"/>
  <c r="J10" i="145"/>
  <c r="K11" i="145"/>
  <c r="I11" i="145"/>
  <c r="G11" i="145"/>
  <c r="E11" i="145"/>
  <c r="J7" i="145"/>
  <c r="K8" i="145"/>
  <c r="I8" i="145"/>
  <c r="G8" i="145"/>
  <c r="E8" i="145"/>
  <c r="AE8" i="145"/>
  <c r="AE78" i="145" s="1"/>
  <c r="AK73" i="145"/>
  <c r="AI73" i="145"/>
  <c r="AG73" i="145"/>
  <c r="T78" i="145"/>
  <c r="U78" i="145" s="1"/>
  <c r="R78" i="145"/>
  <c r="X73" i="145"/>
  <c r="G81" i="145" s="1"/>
  <c r="V73" i="145"/>
  <c r="G80" i="145" s="1"/>
  <c r="T73" i="145"/>
  <c r="G79" i="145" s="1"/>
  <c r="R73" i="145"/>
  <c r="G78" i="145" l="1"/>
  <c r="T82" i="145"/>
  <c r="U82" i="145" s="1"/>
  <c r="G22" i="145"/>
  <c r="K22" i="145"/>
  <c r="I22" i="145"/>
  <c r="E22" i="145"/>
  <c r="AL394" i="142"/>
  <c r="AL393" i="142"/>
  <c r="D71" i="145" s="1"/>
  <c r="AL387" i="142"/>
  <c r="AL386" i="142"/>
  <c r="D68" i="145" s="1"/>
  <c r="AL381" i="142"/>
  <c r="D66" i="145" s="1"/>
  <c r="AL380" i="142"/>
  <c r="D65" i="145" s="1"/>
  <c r="AH394" i="142"/>
  <c r="AH387" i="142"/>
  <c r="AH381" i="142"/>
  <c r="D63" i="145"/>
  <c r="D72" i="145" l="1"/>
  <c r="E386" i="142"/>
  <c r="G27" i="144" s="1"/>
  <c r="F386" i="142"/>
  <c r="I27" i="144" s="1"/>
  <c r="D62" i="145"/>
  <c r="AL366" i="142"/>
  <c r="D69" i="145"/>
  <c r="S386" i="142"/>
  <c r="K27" i="144" s="1"/>
  <c r="T386" i="142"/>
  <c r="M27" i="144" s="1"/>
  <c r="AL392" i="142"/>
  <c r="AL385" i="142"/>
  <c r="AL379" i="142"/>
  <c r="AL359" i="142" l="1"/>
  <c r="D60" i="145" s="1"/>
  <c r="AL358" i="142"/>
  <c r="D59" i="145" s="1"/>
  <c r="AH359" i="142"/>
  <c r="D57" i="145"/>
  <c r="D56" i="145"/>
  <c r="AH352" i="142"/>
  <c r="AL333" i="142"/>
  <c r="AL332" i="142"/>
  <c r="D53" i="145" s="1"/>
  <c r="AH333" i="142"/>
  <c r="AL322" i="142"/>
  <c r="AH322" i="142"/>
  <c r="AL321" i="142"/>
  <c r="D50" i="145" s="1"/>
  <c r="AL311" i="142"/>
  <c r="AL310" i="142"/>
  <c r="D47" i="145" s="1"/>
  <c r="AH311" i="142"/>
  <c r="AL279" i="142"/>
  <c r="AL278" i="142"/>
  <c r="D44" i="145" s="1"/>
  <c r="AH279" i="142"/>
  <c r="D54" i="145" l="1"/>
  <c r="F333" i="142"/>
  <c r="I22" i="144" s="1"/>
  <c r="E333" i="142"/>
  <c r="G22" i="144" s="1"/>
  <c r="D51" i="145"/>
  <c r="F321" i="142"/>
  <c r="I21" i="144" s="1"/>
  <c r="E321" i="142"/>
  <c r="G21" i="144" s="1"/>
  <c r="D45" i="145"/>
  <c r="E278" i="142"/>
  <c r="G19" i="144" s="1"/>
  <c r="F278" i="142"/>
  <c r="I19" i="144" s="1"/>
  <c r="D48" i="145"/>
  <c r="F310" i="142"/>
  <c r="I20" i="144" s="1"/>
  <c r="E310" i="142"/>
  <c r="G20" i="144" s="1"/>
  <c r="AL320" i="142"/>
  <c r="AL357" i="142"/>
  <c r="AL351" i="142"/>
  <c r="AL331" i="142"/>
  <c r="AL309" i="142"/>
  <c r="AL277" i="142"/>
  <c r="AL249" i="142"/>
  <c r="D42" i="145" s="1"/>
  <c r="AL248" i="142"/>
  <c r="D41" i="145" s="1"/>
  <c r="AH249" i="142"/>
  <c r="AL226" i="142"/>
  <c r="AL225" i="142"/>
  <c r="D38" i="145" s="1"/>
  <c r="AH226" i="142"/>
  <c r="AL196" i="142"/>
  <c r="AL195" i="142"/>
  <c r="D35" i="145" s="1"/>
  <c r="AH196" i="142"/>
  <c r="AL179" i="142"/>
  <c r="AL178" i="142"/>
  <c r="D32" i="145" s="1"/>
  <c r="AH179" i="142"/>
  <c r="D29" i="145"/>
  <c r="D30" i="145"/>
  <c r="AH141" i="142"/>
  <c r="AL110" i="142"/>
  <c r="D27" i="145"/>
  <c r="AL105" i="142"/>
  <c r="AL104" i="142"/>
  <c r="D23" i="145" s="1"/>
  <c r="AH105" i="142"/>
  <c r="AL95" i="142"/>
  <c r="AL94" i="142"/>
  <c r="D21" i="145" s="1"/>
  <c r="AH95" i="142"/>
  <c r="AL77" i="142"/>
  <c r="D18" i="145" s="1"/>
  <c r="AL76" i="142"/>
  <c r="D17" i="145" s="1"/>
  <c r="AH77" i="142"/>
  <c r="AL47" i="142"/>
  <c r="D15" i="145" s="1"/>
  <c r="AL46" i="142"/>
  <c r="D14" i="145" s="1"/>
  <c r="AH47" i="142"/>
  <c r="AH15" i="142"/>
  <c r="D12" i="145"/>
  <c r="AL27" i="142"/>
  <c r="AL26" i="142" s="1"/>
  <c r="D26" i="145" l="1"/>
  <c r="AL109" i="142"/>
  <c r="D33" i="145"/>
  <c r="E178" i="142"/>
  <c r="G15" i="144" s="1"/>
  <c r="F178" i="142"/>
  <c r="I15" i="144" s="1"/>
  <c r="D39" i="145"/>
  <c r="F225" i="142"/>
  <c r="I17" i="144" s="1"/>
  <c r="E225" i="142"/>
  <c r="G17" i="144" s="1"/>
  <c r="D24" i="145"/>
  <c r="F103" i="142"/>
  <c r="I11" i="144" s="1"/>
  <c r="E103" i="142"/>
  <c r="G11" i="144" s="1"/>
  <c r="D36" i="145"/>
  <c r="E195" i="142"/>
  <c r="G16" i="144" s="1"/>
  <c r="F195" i="142"/>
  <c r="I16" i="144" s="1"/>
  <c r="D11" i="145"/>
  <c r="AL139" i="142"/>
  <c r="AL247" i="142"/>
  <c r="AL224" i="142"/>
  <c r="AL194" i="142"/>
  <c r="AL177" i="142"/>
  <c r="AL103" i="142"/>
  <c r="AL93" i="142"/>
  <c r="D20" i="145" s="1"/>
  <c r="AL75" i="142"/>
  <c r="AL45" i="142"/>
  <c r="AL15" i="142" l="1"/>
  <c r="D9" i="145" s="1"/>
  <c r="AL14" i="142"/>
  <c r="D8" i="145" s="1"/>
  <c r="AL13" i="142" l="1"/>
  <c r="M355" i="142"/>
  <c r="AC16" i="135" l="1"/>
  <c r="AD16" i="135"/>
  <c r="AC17" i="135"/>
  <c r="O373" i="142" s="1"/>
  <c r="AD17" i="135"/>
  <c r="X373" i="142" s="1"/>
  <c r="AC19" i="135"/>
  <c r="O375" i="142" s="1"/>
  <c r="AD19" i="135"/>
  <c r="X375" i="142" s="1"/>
  <c r="S16" i="135"/>
  <c r="T16" i="135"/>
  <c r="S17" i="135"/>
  <c r="N373" i="142" s="1"/>
  <c r="T17" i="135"/>
  <c r="W373" i="142" s="1"/>
  <c r="S19" i="135"/>
  <c r="N375" i="142" s="1"/>
  <c r="T19" i="135"/>
  <c r="W375" i="142" s="1"/>
  <c r="P376" i="142" l="1"/>
  <c r="Q376" i="142" s="1"/>
  <c r="AB15" i="133"/>
  <c r="O336" i="142" s="1"/>
  <c r="AC15" i="133"/>
  <c r="X336" i="142" s="1"/>
  <c r="AB16" i="133"/>
  <c r="O337" i="142" s="1"/>
  <c r="AC16" i="133"/>
  <c r="X337" i="142" s="1"/>
  <c r="AB17" i="133"/>
  <c r="O338" i="142" s="1"/>
  <c r="AC17" i="133"/>
  <c r="X338" i="142" s="1"/>
  <c r="N15" i="133"/>
  <c r="O15" i="133"/>
  <c r="N16" i="133"/>
  <c r="O16" i="133"/>
  <c r="N17" i="133"/>
  <c r="O17" i="133"/>
  <c r="AE376" i="142" l="1"/>
  <c r="U376" i="142"/>
  <c r="X11" i="118"/>
  <c r="Y11" i="118"/>
  <c r="W27" i="142" s="1"/>
  <c r="X12" i="118"/>
  <c r="N28" i="142" s="1"/>
  <c r="Y12" i="118"/>
  <c r="W28" i="142" s="1"/>
  <c r="X13" i="118"/>
  <c r="N29" i="142" s="1"/>
  <c r="Y13" i="118"/>
  <c r="W29" i="142" s="1"/>
  <c r="X14" i="118"/>
  <c r="N30" i="142" s="1"/>
  <c r="Y14" i="118"/>
  <c r="W30" i="142" s="1"/>
  <c r="X15" i="118"/>
  <c r="N31" i="142" s="1"/>
  <c r="Y15" i="118"/>
  <c r="W31" i="142" s="1"/>
  <c r="X16" i="118"/>
  <c r="N32" i="142" s="1"/>
  <c r="Y16" i="118"/>
  <c r="W32" i="142" s="1"/>
  <c r="X17" i="118"/>
  <c r="N33" i="142" s="1"/>
  <c r="Y17" i="118"/>
  <c r="W33" i="142" s="1"/>
  <c r="X18" i="118"/>
  <c r="N34" i="142" s="1"/>
  <c r="Y18" i="118"/>
  <c r="W34" i="142" s="1"/>
  <c r="X20" i="118"/>
  <c r="N36" i="142" s="1"/>
  <c r="Y20" i="118"/>
  <c r="W36" i="142" s="1"/>
  <c r="X21" i="118"/>
  <c r="Y21" i="118"/>
  <c r="X23" i="118"/>
  <c r="N39" i="142" s="1"/>
  <c r="Y23" i="118"/>
  <c r="W39" i="142" s="1"/>
  <c r="X24" i="118"/>
  <c r="N40" i="142" s="1"/>
  <c r="Y24" i="118"/>
  <c r="W40" i="142" s="1"/>
  <c r="X25" i="118"/>
  <c r="N41" i="142" s="1"/>
  <c r="Y25" i="118"/>
  <c r="W41" i="142" s="1"/>
  <c r="Y10" i="118"/>
  <c r="W26" i="142" s="1"/>
  <c r="X10" i="118"/>
  <c r="AA27" i="118"/>
  <c r="AB27" i="118"/>
  <c r="AC27" i="118"/>
  <c r="AD27" i="118"/>
  <c r="AE27" i="118"/>
  <c r="AF27" i="118"/>
  <c r="AG27" i="118"/>
  <c r="AH27" i="118"/>
  <c r="AI27" i="118"/>
  <c r="AJ27" i="118"/>
  <c r="AK27" i="118"/>
  <c r="Z27" i="118"/>
  <c r="V27" i="118"/>
  <c r="W27" i="118"/>
  <c r="BF387" i="142" l="1"/>
  <c r="BG387" i="142"/>
  <c r="BG383" i="142"/>
  <c r="BF383" i="142"/>
  <c r="BG377" i="142"/>
  <c r="BF377" i="142"/>
  <c r="BG364" i="142"/>
  <c r="BF364" i="142"/>
  <c r="BG354" i="142"/>
  <c r="BF354" i="142"/>
  <c r="BG349" i="142"/>
  <c r="BF349" i="142"/>
  <c r="BG329" i="142"/>
  <c r="BF329" i="142"/>
  <c r="BG318" i="142"/>
  <c r="BF318" i="142"/>
  <c r="BG307" i="142"/>
  <c r="BF307" i="142"/>
  <c r="BG275" i="142"/>
  <c r="BF275" i="142"/>
  <c r="BG245" i="142"/>
  <c r="BF245" i="142"/>
  <c r="BG222" i="142"/>
  <c r="BF222" i="142"/>
  <c r="BG192" i="142"/>
  <c r="BF192" i="142"/>
  <c r="BG175" i="142"/>
  <c r="BF175" i="142"/>
  <c r="BG107" i="142"/>
  <c r="BF107" i="142"/>
  <c r="BG101" i="142"/>
  <c r="BF101" i="142"/>
  <c r="BG91" i="142"/>
  <c r="BF91" i="142"/>
  <c r="BG73" i="142"/>
  <c r="BF73" i="142"/>
  <c r="BG43" i="142"/>
  <c r="BF43" i="142"/>
  <c r="BG24" i="142"/>
  <c r="BF24" i="142"/>
  <c r="BF12" i="142"/>
  <c r="BG12" i="142"/>
  <c r="BG7" i="142"/>
  <c r="BF7" i="142"/>
  <c r="BG8" i="142"/>
  <c r="G355" i="142" l="1"/>
  <c r="L355" i="142"/>
  <c r="AB26" i="133"/>
  <c r="AC26" i="133"/>
  <c r="AB19" i="133"/>
  <c r="O340" i="142" s="1"/>
  <c r="AC19" i="133"/>
  <c r="X340" i="142" s="1"/>
  <c r="AB18" i="133"/>
  <c r="O339" i="142" s="1"/>
  <c r="AC18" i="133"/>
  <c r="X339" i="142" s="1"/>
  <c r="N26" i="133"/>
  <c r="O26" i="133"/>
  <c r="N19" i="133"/>
  <c r="N340" i="142" s="1"/>
  <c r="O19" i="133"/>
  <c r="W340" i="142" s="1"/>
  <c r="N18" i="133"/>
  <c r="N339" i="142" s="1"/>
  <c r="O18" i="133"/>
  <c r="W339" i="142" s="1"/>
  <c r="L330" i="142"/>
  <c r="G330" i="142"/>
  <c r="G329" i="142"/>
  <c r="L329" i="142"/>
  <c r="AD11" i="130"/>
  <c r="AE11" i="130"/>
  <c r="AD12" i="130"/>
  <c r="AE12" i="130"/>
  <c r="AD13" i="130"/>
  <c r="AE13" i="130"/>
  <c r="AD15" i="130"/>
  <c r="AE15" i="130"/>
  <c r="AD16" i="130"/>
  <c r="AE16" i="130"/>
  <c r="AD17" i="130"/>
  <c r="AE17" i="130"/>
  <c r="AD18" i="130"/>
  <c r="AE18" i="130"/>
  <c r="AD19" i="130"/>
  <c r="AE19" i="130"/>
  <c r="AD20" i="130"/>
  <c r="AE20" i="130"/>
  <c r="AD21" i="130"/>
  <c r="AE21" i="130"/>
  <c r="AD22" i="130"/>
  <c r="AE22" i="130"/>
  <c r="AD23" i="130"/>
  <c r="AE23" i="130"/>
  <c r="AD24" i="130"/>
  <c r="AE24" i="130"/>
  <c r="AD25" i="130"/>
  <c r="AE25" i="130"/>
  <c r="AD26" i="130"/>
  <c r="AE26" i="130"/>
  <c r="AD27" i="130"/>
  <c r="AE27" i="130"/>
  <c r="AD28" i="130"/>
  <c r="AE28" i="130"/>
  <c r="AD29" i="130"/>
  <c r="AE29" i="130"/>
  <c r="AD30" i="130"/>
  <c r="AE30" i="130"/>
  <c r="AD31" i="130"/>
  <c r="AE31" i="130"/>
  <c r="AD32" i="130"/>
  <c r="AE32" i="130"/>
  <c r="AD33" i="130"/>
  <c r="AE33" i="130"/>
  <c r="AD34" i="130"/>
  <c r="AE34" i="130"/>
  <c r="AD36" i="130"/>
  <c r="AE36" i="130"/>
  <c r="AD37" i="130"/>
  <c r="AE37" i="130"/>
  <c r="AD38" i="130"/>
  <c r="AE38" i="130"/>
  <c r="X305" i="142" s="1"/>
  <c r="AD39" i="130"/>
  <c r="O306" i="142" s="1"/>
  <c r="AE39" i="130"/>
  <c r="X306" i="142" s="1"/>
  <c r="AD14" i="130"/>
  <c r="O281" i="142" s="1"/>
  <c r="AE14" i="130"/>
  <c r="X281" i="142" s="1"/>
  <c r="AD35" i="130"/>
  <c r="O302" i="142" s="1"/>
  <c r="AE35" i="130"/>
  <c r="X302" i="142" s="1"/>
  <c r="AE10" i="130"/>
  <c r="AD10" i="130"/>
  <c r="P11" i="130"/>
  <c r="Q11" i="130"/>
  <c r="P12" i="130"/>
  <c r="Q12" i="130"/>
  <c r="P13" i="130"/>
  <c r="Q13" i="130"/>
  <c r="P15" i="130"/>
  <c r="Q15" i="130"/>
  <c r="P16" i="130"/>
  <c r="Q16" i="130"/>
  <c r="P17" i="130"/>
  <c r="Q17" i="130"/>
  <c r="P18" i="130"/>
  <c r="Q18" i="130"/>
  <c r="P19" i="130"/>
  <c r="Q19" i="130"/>
  <c r="P20" i="130"/>
  <c r="Q20" i="130"/>
  <c r="P21" i="130"/>
  <c r="Q21" i="130"/>
  <c r="P22" i="130"/>
  <c r="Q22" i="130"/>
  <c r="P23" i="130"/>
  <c r="Q23" i="130"/>
  <c r="P24" i="130"/>
  <c r="Q24" i="130"/>
  <c r="P25" i="130"/>
  <c r="Q25" i="130"/>
  <c r="P26" i="130"/>
  <c r="Q26" i="130"/>
  <c r="P27" i="130"/>
  <c r="Q27" i="130"/>
  <c r="P28" i="130"/>
  <c r="Q28" i="130"/>
  <c r="P29" i="130"/>
  <c r="Q29" i="130"/>
  <c r="P30" i="130"/>
  <c r="Q30" i="130"/>
  <c r="P31" i="130"/>
  <c r="Q31" i="130"/>
  <c r="P32" i="130"/>
  <c r="Q32" i="130"/>
  <c r="P33" i="130"/>
  <c r="Q33" i="130"/>
  <c r="P34" i="130"/>
  <c r="Q34" i="130"/>
  <c r="P36" i="130"/>
  <c r="Q36" i="130"/>
  <c r="P37" i="130"/>
  <c r="Q37" i="130"/>
  <c r="P38" i="130"/>
  <c r="Q38" i="130"/>
  <c r="W305" i="142" s="1"/>
  <c r="P39" i="130"/>
  <c r="N306" i="142" s="1"/>
  <c r="Q39" i="130"/>
  <c r="W306" i="142" s="1"/>
  <c r="P14" i="130"/>
  <c r="N281" i="142" s="1"/>
  <c r="Q14" i="130"/>
  <c r="W281" i="142" s="1"/>
  <c r="P35" i="130"/>
  <c r="N302" i="142" s="1"/>
  <c r="Q35" i="130"/>
  <c r="W302" i="142" s="1"/>
  <c r="Q10" i="130"/>
  <c r="P10" i="130"/>
  <c r="AA31" i="129"/>
  <c r="AB31" i="129"/>
  <c r="AA32" i="129"/>
  <c r="AB32" i="129"/>
  <c r="AA33" i="129"/>
  <c r="O270" i="142" s="1"/>
  <c r="AB33" i="129"/>
  <c r="X270" i="142" s="1"/>
  <c r="O271" i="142"/>
  <c r="X271" i="142"/>
  <c r="P32" i="129"/>
  <c r="Q32" i="129"/>
  <c r="P33" i="129"/>
  <c r="N270" i="142" s="1"/>
  <c r="Q33" i="129"/>
  <c r="W270" i="142" s="1"/>
  <c r="N271" i="142"/>
  <c r="W271" i="142"/>
  <c r="Z35" i="125"/>
  <c r="AA35" i="125"/>
  <c r="Z36" i="125"/>
  <c r="O220" i="142" s="1"/>
  <c r="AA36" i="125"/>
  <c r="X220" i="142" s="1"/>
  <c r="Z37" i="125"/>
  <c r="O221" i="142" s="1"/>
  <c r="AA37" i="125"/>
  <c r="X221" i="142" s="1"/>
  <c r="N36" i="125"/>
  <c r="N220" i="142" s="1"/>
  <c r="O36" i="125"/>
  <c r="W220" i="142" s="1"/>
  <c r="P220" i="142" s="1"/>
  <c r="Q220" i="142" s="1"/>
  <c r="N37" i="125"/>
  <c r="N221" i="142" s="1"/>
  <c r="O37" i="125"/>
  <c r="W221" i="142" s="1"/>
  <c r="M102" i="142"/>
  <c r="AL11" i="118"/>
  <c r="AM11" i="118"/>
  <c r="AL12" i="118"/>
  <c r="O28" i="142" s="1"/>
  <c r="AM12" i="118"/>
  <c r="AL13" i="118"/>
  <c r="O29" i="142" s="1"/>
  <c r="AM13" i="118"/>
  <c r="AL14" i="118"/>
  <c r="O30" i="142" s="1"/>
  <c r="AM14" i="118"/>
  <c r="AL15" i="118"/>
  <c r="O31" i="142" s="1"/>
  <c r="AM15" i="118"/>
  <c r="AL16" i="118"/>
  <c r="O32" i="142" s="1"/>
  <c r="AM16" i="118"/>
  <c r="AL17" i="118"/>
  <c r="O33" i="142" s="1"/>
  <c r="AM17" i="118"/>
  <c r="AL18" i="118"/>
  <c r="O34" i="142" s="1"/>
  <c r="AM18" i="118"/>
  <c r="AL20" i="118"/>
  <c r="O36" i="142" s="1"/>
  <c r="AM20" i="118"/>
  <c r="AL21" i="118"/>
  <c r="AM21" i="118"/>
  <c r="AL23" i="118"/>
  <c r="O39" i="142" s="1"/>
  <c r="AM23" i="118"/>
  <c r="X39" i="142" s="1"/>
  <c r="P39" i="142" s="1"/>
  <c r="Q39" i="142" s="1"/>
  <c r="AL24" i="118"/>
  <c r="O40" i="142" s="1"/>
  <c r="AM24" i="118"/>
  <c r="AL25" i="118"/>
  <c r="O41" i="142" s="1"/>
  <c r="AM25" i="118"/>
  <c r="AM10" i="118"/>
  <c r="X26" i="142" s="1"/>
  <c r="P26" i="142" s="1"/>
  <c r="AL10" i="118"/>
  <c r="P221" i="142" l="1"/>
  <c r="Q221" i="142" s="1"/>
  <c r="O348" i="142"/>
  <c r="O347" i="142"/>
  <c r="X348" i="142"/>
  <c r="X347" i="142"/>
  <c r="W348" i="142"/>
  <c r="W347" i="142"/>
  <c r="N348" i="142"/>
  <c r="N347" i="142"/>
  <c r="X40" i="142"/>
  <c r="P40" i="142" s="1"/>
  <c r="X34" i="142"/>
  <c r="P34" i="142" s="1"/>
  <c r="Q34" i="142" s="1"/>
  <c r="X32" i="142"/>
  <c r="P32" i="142" s="1"/>
  <c r="Q32" i="142" s="1"/>
  <c r="X30" i="142"/>
  <c r="P30" i="142" s="1"/>
  <c r="Q30" i="142" s="1"/>
  <c r="X28" i="142"/>
  <c r="P28" i="142" s="1"/>
  <c r="X41" i="142"/>
  <c r="P41" i="142" s="1"/>
  <c r="Q41" i="142" s="1"/>
  <c r="P37" i="142" s="1"/>
  <c r="P35" i="142"/>
  <c r="X36" i="142"/>
  <c r="X33" i="142"/>
  <c r="P33" i="142" s="1"/>
  <c r="Q33" i="142" s="1"/>
  <c r="U33" i="142" s="1"/>
  <c r="X31" i="142"/>
  <c r="P31" i="142" s="1"/>
  <c r="Q31" i="142" s="1"/>
  <c r="X29" i="142"/>
  <c r="P29" i="142" s="1"/>
  <c r="Q29" i="142" s="1"/>
  <c r="X27" i="142"/>
  <c r="P339" i="142"/>
  <c r="P340" i="142"/>
  <c r="F14" i="148"/>
  <c r="P270" i="142"/>
  <c r="Q270" i="142" s="1"/>
  <c r="P306" i="142"/>
  <c r="Q306" i="142" s="1"/>
  <c r="P281" i="142"/>
  <c r="Q281" i="142" s="1"/>
  <c r="Q305" i="142"/>
  <c r="P302" i="142"/>
  <c r="Q302" i="142" s="1"/>
  <c r="P271" i="142"/>
  <c r="D52" i="145"/>
  <c r="L52" i="145" s="1"/>
  <c r="AI332" i="142"/>
  <c r="AI331" i="142"/>
  <c r="V391" i="142"/>
  <c r="V389" i="142"/>
  <c r="V386" i="142"/>
  <c r="V380" i="142"/>
  <c r="V363" i="142"/>
  <c r="V342" i="142"/>
  <c r="V324" i="142"/>
  <c r="V292" i="142"/>
  <c r="V265" i="142"/>
  <c r="V240" i="142"/>
  <c r="V239" i="142"/>
  <c r="V228" i="142"/>
  <c r="V216" i="142"/>
  <c r="V210" i="142"/>
  <c r="V206" i="142"/>
  <c r="V190" i="142"/>
  <c r="V188" i="142"/>
  <c r="V158" i="142"/>
  <c r="V151" i="142"/>
  <c r="V132" i="142"/>
  <c r="V116" i="142"/>
  <c r="V106" i="142"/>
  <c r="V26" i="142"/>
  <c r="V96" i="142"/>
  <c r="V93" i="142"/>
  <c r="V83" i="142"/>
  <c r="V80" i="142"/>
  <c r="V76" i="142"/>
  <c r="V75" i="142"/>
  <c r="V63" i="142"/>
  <c r="V90" i="142"/>
  <c r="V51" i="142"/>
  <c r="V47" i="142"/>
  <c r="V32" i="142"/>
  <c r="V31" i="142"/>
  <c r="V242" i="142"/>
  <c r="V166" i="142"/>
  <c r="F13" i="148" l="1"/>
  <c r="P27" i="142"/>
  <c r="R37" i="142"/>
  <c r="Q37" i="142"/>
  <c r="P348" i="142"/>
  <c r="P347" i="142"/>
  <c r="U306" i="142"/>
  <c r="U339" i="142"/>
  <c r="AE339" i="142"/>
  <c r="U340" i="142"/>
  <c r="AE340" i="142"/>
  <c r="Q271" i="142"/>
  <c r="U271" i="142" s="1"/>
  <c r="AE271" i="142"/>
  <c r="AH54" i="145"/>
  <c r="AF54" i="145"/>
  <c r="AL52" i="145"/>
  <c r="U54" i="145"/>
  <c r="Y52" i="145"/>
  <c r="S54" i="145"/>
  <c r="AI333" i="142"/>
  <c r="U281" i="142"/>
  <c r="AE281" i="142"/>
  <c r="U302" i="142"/>
  <c r="AE302" i="142"/>
  <c r="U221" i="142"/>
  <c r="AE221" i="142"/>
  <c r="AE347" i="142" l="1"/>
  <c r="Q347" i="142"/>
  <c r="U347" i="142" s="1"/>
  <c r="D31" i="128"/>
  <c r="E31" i="128"/>
  <c r="F31" i="128"/>
  <c r="G31" i="128"/>
  <c r="H31" i="128"/>
  <c r="R31" i="128"/>
  <c r="S31" i="128"/>
  <c r="T31" i="128"/>
  <c r="U31" i="128"/>
  <c r="V31" i="128"/>
  <c r="Q12" i="139" l="1"/>
  <c r="Q13" i="139"/>
  <c r="Q14" i="139"/>
  <c r="Q15" i="139"/>
  <c r="Q17" i="139"/>
  <c r="W396" i="142" s="1"/>
  <c r="P12" i="139"/>
  <c r="P13" i="139"/>
  <c r="P14" i="139"/>
  <c r="P15" i="139"/>
  <c r="P17" i="139"/>
  <c r="N396" i="142" s="1"/>
  <c r="P12" i="119" l="1"/>
  <c r="Q12" i="119"/>
  <c r="P13" i="119"/>
  <c r="Q13" i="119"/>
  <c r="W31" i="128" l="1"/>
  <c r="K40" i="130" l="1"/>
  <c r="P10" i="119" l="1"/>
  <c r="AD22" i="119" l="1"/>
  <c r="AE22" i="119"/>
  <c r="AD24" i="119"/>
  <c r="O89" i="142" s="1"/>
  <c r="AE24" i="119"/>
  <c r="X89" i="142" s="1"/>
  <c r="AD23" i="119"/>
  <c r="AE23" i="119"/>
  <c r="P22" i="119"/>
  <c r="Q22" i="119"/>
  <c r="P24" i="119"/>
  <c r="Q24" i="119"/>
  <c r="W89" i="142" s="1"/>
  <c r="P23" i="119"/>
  <c r="Q23" i="119"/>
  <c r="N89" i="142"/>
  <c r="W13" i="121"/>
  <c r="X106" i="142" s="1"/>
  <c r="V13" i="121"/>
  <c r="M13" i="121"/>
  <c r="L13" i="121"/>
  <c r="P89" i="142" l="1"/>
  <c r="Q89" i="142" s="1"/>
  <c r="AC12" i="135"/>
  <c r="O368" i="142" s="1"/>
  <c r="AD12" i="135"/>
  <c r="X368" i="142" s="1"/>
  <c r="S12" i="135"/>
  <c r="N368" i="142" s="1"/>
  <c r="T12" i="135"/>
  <c r="W368" i="142" s="1"/>
  <c r="AC10" i="135"/>
  <c r="O366" i="142" s="1"/>
  <c r="AD10" i="135"/>
  <c r="X366" i="142" s="1"/>
  <c r="T10" i="135"/>
  <c r="W366" i="142" s="1"/>
  <c r="S10" i="135"/>
  <c r="N366" i="142" s="1"/>
  <c r="P374" i="142" l="1"/>
  <c r="P368" i="142"/>
  <c r="Q368" i="142" s="1"/>
  <c r="P373" i="142"/>
  <c r="Q373" i="142" s="1"/>
  <c r="P366" i="142"/>
  <c r="U89" i="142"/>
  <c r="AE89" i="142"/>
  <c r="R19" i="132"/>
  <c r="S19" i="132"/>
  <c r="L31" i="128" l="1"/>
  <c r="M31" i="128"/>
  <c r="L82" i="142" l="1"/>
  <c r="M73" i="142" s="1"/>
  <c r="L26" i="119"/>
  <c r="P18" i="119"/>
  <c r="F75" i="142" l="1"/>
  <c r="E75" i="142"/>
  <c r="I18" i="145"/>
  <c r="I16" i="145" s="1"/>
  <c r="E18" i="145"/>
  <c r="E16" i="145" s="1"/>
  <c r="K18" i="145"/>
  <c r="K16" i="145" s="1"/>
  <c r="G18" i="145"/>
  <c r="G16" i="145" s="1"/>
  <c r="M365" i="142"/>
  <c r="G365" i="142"/>
  <c r="L365" i="142"/>
  <c r="G393" i="142"/>
  <c r="L393" i="142"/>
  <c r="N338" i="142"/>
  <c r="W338" i="142"/>
  <c r="P338" i="142" s="1"/>
  <c r="Q338" i="142" s="1"/>
  <c r="E390" i="142" l="1"/>
  <c r="E391" i="142" s="1"/>
  <c r="F390" i="142"/>
  <c r="F391" i="142" s="1"/>
  <c r="F9" i="144"/>
  <c r="E76" i="142"/>
  <c r="G9" i="144" s="1"/>
  <c r="F76" i="142"/>
  <c r="I9" i="144" s="1"/>
  <c r="H9" i="144"/>
  <c r="M387" i="142"/>
  <c r="U348" i="142"/>
  <c r="Y38" i="140"/>
  <c r="Z38" i="140"/>
  <c r="AA38" i="140"/>
  <c r="AG33" i="122"/>
  <c r="O132" i="142" s="1"/>
  <c r="AH33" i="122"/>
  <c r="X132" i="142" s="1"/>
  <c r="AG34" i="122"/>
  <c r="O133" i="142" s="1"/>
  <c r="AH34" i="122"/>
  <c r="X133" i="142" s="1"/>
  <c r="O134" i="142"/>
  <c r="X134" i="142"/>
  <c r="P33" i="122"/>
  <c r="N132" i="142" s="1"/>
  <c r="Q33" i="122"/>
  <c r="W132" i="142" s="1"/>
  <c r="P132" i="142" s="1"/>
  <c r="Q132" i="142" s="1"/>
  <c r="P34" i="122"/>
  <c r="N133" i="142" s="1"/>
  <c r="Q34" i="122"/>
  <c r="W133" i="142" s="1"/>
  <c r="N134" i="142"/>
  <c r="W134" i="142"/>
  <c r="P134" i="142" s="1"/>
  <c r="Q134" i="142" s="1"/>
  <c r="Q18" i="120"/>
  <c r="R18" i="120"/>
  <c r="S18" i="120"/>
  <c r="P18" i="120"/>
  <c r="E18" i="120"/>
  <c r="F18" i="120"/>
  <c r="G18" i="120"/>
  <c r="H18" i="120"/>
  <c r="I18" i="120"/>
  <c r="J18" i="120"/>
  <c r="D18" i="120"/>
  <c r="AB15" i="139"/>
  <c r="O394" i="142" s="1"/>
  <c r="AC15" i="139"/>
  <c r="X394" i="142" s="1"/>
  <c r="AB17" i="139"/>
  <c r="AC17" i="139"/>
  <c r="N394" i="142"/>
  <c r="N395" i="142"/>
  <c r="W395" i="142"/>
  <c r="R40" i="130"/>
  <c r="S40" i="130"/>
  <c r="T40" i="130"/>
  <c r="U40" i="130"/>
  <c r="V40" i="130"/>
  <c r="W40" i="130"/>
  <c r="X40" i="130"/>
  <c r="Y40" i="130"/>
  <c r="Z40" i="130"/>
  <c r="N19" i="117"/>
  <c r="N23" i="142" s="1"/>
  <c r="O19" i="117"/>
  <c r="W23" i="142" s="1"/>
  <c r="Z18" i="117"/>
  <c r="O22" i="142" s="1"/>
  <c r="AA18" i="117"/>
  <c r="X22" i="142" s="1"/>
  <c r="Z19" i="117"/>
  <c r="O23" i="142" s="1"/>
  <c r="AA19" i="117"/>
  <c r="X23" i="142" s="1"/>
  <c r="O18" i="117"/>
  <c r="W22" i="142" s="1"/>
  <c r="N18" i="117"/>
  <c r="N22" i="142" s="1"/>
  <c r="L273" i="142"/>
  <c r="W26" i="119"/>
  <c r="X26" i="119"/>
  <c r="S38" i="140"/>
  <c r="T38" i="140"/>
  <c r="U38" i="140"/>
  <c r="V38" i="140"/>
  <c r="W38" i="140"/>
  <c r="X38" i="140"/>
  <c r="R38" i="140"/>
  <c r="E38" i="140"/>
  <c r="F38" i="140"/>
  <c r="G38" i="140"/>
  <c r="H38" i="140"/>
  <c r="I38" i="140"/>
  <c r="J38" i="140"/>
  <c r="K38" i="140"/>
  <c r="L38" i="140"/>
  <c r="M38" i="140"/>
  <c r="N38" i="140"/>
  <c r="O38" i="140"/>
  <c r="D38" i="140"/>
  <c r="M360" i="142"/>
  <c r="V28" i="133"/>
  <c r="Y28" i="133"/>
  <c r="Z28" i="133"/>
  <c r="J28" i="133"/>
  <c r="K28" i="133"/>
  <c r="L28" i="133"/>
  <c r="M28" i="133"/>
  <c r="P19" i="132"/>
  <c r="Q19" i="132"/>
  <c r="G7" i="142"/>
  <c r="L7" i="142"/>
  <c r="M7" i="142"/>
  <c r="P7" i="142"/>
  <c r="Q7" i="142"/>
  <c r="R7" i="142"/>
  <c r="U8" i="142"/>
  <c r="G5" i="148" s="1"/>
  <c r="U9" i="142"/>
  <c r="G6" i="148" s="1"/>
  <c r="U10" i="142"/>
  <c r="G7" i="148" s="1"/>
  <c r="U11" i="142"/>
  <c r="G8" i="148" s="1"/>
  <c r="G13" i="142"/>
  <c r="L13" i="142"/>
  <c r="M13" i="142"/>
  <c r="G19" i="142"/>
  <c r="L19" i="142"/>
  <c r="E13" i="142" s="1"/>
  <c r="M19" i="142"/>
  <c r="H22" i="142"/>
  <c r="G22" i="142" s="1"/>
  <c r="G25" i="142"/>
  <c r="L25" i="142"/>
  <c r="M25" i="142"/>
  <c r="G44" i="142"/>
  <c r="L44" i="142"/>
  <c r="G57" i="142"/>
  <c r="M57" i="142"/>
  <c r="O57" i="142"/>
  <c r="G74" i="142"/>
  <c r="L74" i="142"/>
  <c r="G82" i="142"/>
  <c r="G99" i="142"/>
  <c r="M99" i="142"/>
  <c r="N99" i="142"/>
  <c r="O99" i="142"/>
  <c r="G102" i="142"/>
  <c r="L102" i="142"/>
  <c r="U102" i="142"/>
  <c r="G104" i="142"/>
  <c r="L104" i="142"/>
  <c r="M101" i="142" s="1"/>
  <c r="M104" i="142"/>
  <c r="G108" i="142"/>
  <c r="L108" i="142"/>
  <c r="G119" i="142"/>
  <c r="G175" i="142"/>
  <c r="L175" i="142"/>
  <c r="M175" i="142"/>
  <c r="G176" i="142"/>
  <c r="L176" i="142"/>
  <c r="M176" i="142"/>
  <c r="G192" i="142"/>
  <c r="L192" i="142"/>
  <c r="M192" i="142"/>
  <c r="G193" i="142"/>
  <c r="L193" i="142"/>
  <c r="M193" i="142"/>
  <c r="G222" i="142"/>
  <c r="L222" i="142"/>
  <c r="G223" i="142"/>
  <c r="L223" i="142"/>
  <c r="G246" i="142"/>
  <c r="L246" i="142"/>
  <c r="M273" i="142"/>
  <c r="G275" i="142"/>
  <c r="L275" i="142"/>
  <c r="M275" i="142"/>
  <c r="G276" i="142"/>
  <c r="L276" i="142"/>
  <c r="M276" i="142"/>
  <c r="G307" i="142"/>
  <c r="L307" i="142"/>
  <c r="M307" i="142"/>
  <c r="G308" i="142"/>
  <c r="L308" i="142"/>
  <c r="M308" i="142"/>
  <c r="G318" i="142"/>
  <c r="L318" i="142"/>
  <c r="M318" i="142"/>
  <c r="G319" i="142"/>
  <c r="L319" i="142"/>
  <c r="M319" i="142"/>
  <c r="G349" i="142"/>
  <c r="M349" i="142"/>
  <c r="G350" i="142"/>
  <c r="M350" i="142"/>
  <c r="G360" i="142"/>
  <c r="L360" i="142"/>
  <c r="AI367" i="142" s="1"/>
  <c r="N360" i="142"/>
  <c r="O360" i="142"/>
  <c r="W360" i="142"/>
  <c r="X360" i="142"/>
  <c r="G372" i="142"/>
  <c r="L372" i="142"/>
  <c r="M372" i="142"/>
  <c r="G378" i="142"/>
  <c r="L378" i="142"/>
  <c r="M378" i="142"/>
  <c r="G381" i="142"/>
  <c r="L381" i="142"/>
  <c r="M381" i="142"/>
  <c r="G383" i="142"/>
  <c r="L383" i="142"/>
  <c r="M383" i="142"/>
  <c r="G384" i="142"/>
  <c r="L384" i="142"/>
  <c r="M384" i="142"/>
  <c r="G388" i="142"/>
  <c r="L388" i="142"/>
  <c r="M388" i="142"/>
  <c r="V11" i="132"/>
  <c r="W11" i="132"/>
  <c r="X321" i="142" s="1"/>
  <c r="V12" i="132"/>
  <c r="O322" i="142" s="1"/>
  <c r="W12" i="132"/>
  <c r="X322" i="142" s="1"/>
  <c r="V13" i="132"/>
  <c r="O323" i="142" s="1"/>
  <c r="W13" i="132"/>
  <c r="X323" i="142" s="1"/>
  <c r="V14" i="132"/>
  <c r="O324" i="142" s="1"/>
  <c r="W14" i="132"/>
  <c r="X324" i="142" s="1"/>
  <c r="V15" i="132"/>
  <c r="O325" i="142" s="1"/>
  <c r="W15" i="132"/>
  <c r="X325" i="142" s="1"/>
  <c r="V16" i="132"/>
  <c r="O326" i="142" s="1"/>
  <c r="W16" i="132"/>
  <c r="X326" i="142" s="1"/>
  <c r="V17" i="132"/>
  <c r="O327" i="142" s="1"/>
  <c r="W17" i="132"/>
  <c r="X327" i="142" s="1"/>
  <c r="V18" i="132"/>
  <c r="O328" i="142" s="1"/>
  <c r="W18" i="132"/>
  <c r="X328" i="142" s="1"/>
  <c r="W10" i="132"/>
  <c r="X320" i="142" s="1"/>
  <c r="W10" i="131"/>
  <c r="X309" i="142" s="1"/>
  <c r="V10" i="132"/>
  <c r="O320" i="142" s="1"/>
  <c r="V10" i="131"/>
  <c r="O309" i="142" s="1"/>
  <c r="L11" i="132"/>
  <c r="M11" i="132"/>
  <c r="W321" i="142" s="1"/>
  <c r="P321" i="142" s="1"/>
  <c r="L12" i="132"/>
  <c r="N322" i="142" s="1"/>
  <c r="M12" i="132"/>
  <c r="W322" i="142" s="1"/>
  <c r="L13" i="132"/>
  <c r="N323" i="142" s="1"/>
  <c r="M13" i="132"/>
  <c r="W323" i="142" s="1"/>
  <c r="L14" i="132"/>
  <c r="N324" i="142" s="1"/>
  <c r="M14" i="132"/>
  <c r="W324" i="142" s="1"/>
  <c r="L15" i="132"/>
  <c r="N325" i="142" s="1"/>
  <c r="M15" i="132"/>
  <c r="W325" i="142" s="1"/>
  <c r="L16" i="132"/>
  <c r="N326" i="142" s="1"/>
  <c r="M16" i="132"/>
  <c r="W326" i="142" s="1"/>
  <c r="L17" i="132"/>
  <c r="N327" i="142" s="1"/>
  <c r="M17" i="132"/>
  <c r="W327" i="142" s="1"/>
  <c r="P327" i="142" s="1"/>
  <c r="Q327" i="142" s="1"/>
  <c r="L18" i="132"/>
  <c r="N328" i="142" s="1"/>
  <c r="M18" i="132"/>
  <c r="W328" i="142" s="1"/>
  <c r="M10" i="132"/>
  <c r="W320" i="142" s="1"/>
  <c r="M10" i="131"/>
  <c r="W309" i="142" s="1"/>
  <c r="L10" i="132"/>
  <c r="N320" i="142" s="1"/>
  <c r="L10" i="131"/>
  <c r="N309" i="142" s="1"/>
  <c r="Z11" i="120"/>
  <c r="AA11" i="120"/>
  <c r="X94" i="142" s="1"/>
  <c r="Z12" i="120"/>
  <c r="O95" i="142" s="1"/>
  <c r="AA12" i="120"/>
  <c r="X95" i="142" s="1"/>
  <c r="Z13" i="120"/>
  <c r="O96" i="142" s="1"/>
  <c r="AA13" i="120"/>
  <c r="X96" i="142" s="1"/>
  <c r="Z14" i="120"/>
  <c r="O97" i="142" s="1"/>
  <c r="AA14" i="120"/>
  <c r="X97" i="142" s="1"/>
  <c r="N11" i="120"/>
  <c r="O11" i="120"/>
  <c r="W94" i="142" s="1"/>
  <c r="P94" i="142" s="1"/>
  <c r="O87" i="142"/>
  <c r="X87" i="142"/>
  <c r="O88" i="142"/>
  <c r="X88" i="142"/>
  <c r="W87" i="142"/>
  <c r="W88" i="142"/>
  <c r="N87" i="142"/>
  <c r="N88" i="142"/>
  <c r="AD37" i="140"/>
  <c r="O72" i="142" s="1"/>
  <c r="AE37" i="140"/>
  <c r="X72" i="142" s="1"/>
  <c r="AD36" i="140"/>
  <c r="O71" i="142" s="1"/>
  <c r="AE33" i="140"/>
  <c r="X68" i="142" s="1"/>
  <c r="AD32" i="140"/>
  <c r="O67" i="142" s="1"/>
  <c r="AE34" i="140"/>
  <c r="AD34" i="140"/>
  <c r="AE31" i="140"/>
  <c r="X66" i="142" s="1"/>
  <c r="AD30" i="140"/>
  <c r="O65" i="142" s="1"/>
  <c r="AE29" i="140"/>
  <c r="X64" i="142" s="1"/>
  <c r="AD28" i="140"/>
  <c r="O63" i="142" s="1"/>
  <c r="AD27" i="140"/>
  <c r="O62" i="142" s="1"/>
  <c r="AD26" i="140"/>
  <c r="O61" i="142" s="1"/>
  <c r="AE26" i="140"/>
  <c r="X61" i="142" s="1"/>
  <c r="AE25" i="140"/>
  <c r="X60" i="142" s="1"/>
  <c r="AE23" i="140"/>
  <c r="X58" i="142" s="1"/>
  <c r="AE20" i="140"/>
  <c r="X55" i="142" s="1"/>
  <c r="AE19" i="140"/>
  <c r="X54" i="142" s="1"/>
  <c r="AE17" i="140"/>
  <c r="X52" i="142" s="1"/>
  <c r="AE16" i="140"/>
  <c r="X51" i="142" s="1"/>
  <c r="AD14" i="140"/>
  <c r="O49" i="142" s="1"/>
  <c r="AE13" i="140"/>
  <c r="X48" i="142" s="1"/>
  <c r="AD12" i="140"/>
  <c r="O47" i="142" s="1"/>
  <c r="AE11" i="140"/>
  <c r="X46" i="142" s="1"/>
  <c r="AD10" i="140"/>
  <c r="O45" i="142" s="1"/>
  <c r="Q37" i="140"/>
  <c r="W72" i="142" s="1"/>
  <c r="Q33" i="140"/>
  <c r="W68" i="142" s="1"/>
  <c r="P34" i="140"/>
  <c r="Q31" i="140"/>
  <c r="W66" i="142" s="1"/>
  <c r="Q28" i="140"/>
  <c r="W63" i="142" s="1"/>
  <c r="P27" i="140"/>
  <c r="N62" i="142" s="1"/>
  <c r="P25" i="140"/>
  <c r="N60" i="142" s="1"/>
  <c r="P20" i="140"/>
  <c r="N55" i="142" s="1"/>
  <c r="Q17" i="140"/>
  <c r="W52" i="142" s="1"/>
  <c r="Q15" i="140"/>
  <c r="W50" i="142" s="1"/>
  <c r="P12" i="140"/>
  <c r="N47" i="142" s="1"/>
  <c r="AA40" i="130"/>
  <c r="AB40" i="130"/>
  <c r="AC40" i="130"/>
  <c r="W12" i="121"/>
  <c r="X105" i="142" s="1"/>
  <c r="V12" i="121"/>
  <c r="O105" i="142" s="1"/>
  <c r="M12" i="121"/>
  <c r="W105" i="142" s="1"/>
  <c r="L12" i="121"/>
  <c r="N105" i="142" s="1"/>
  <c r="Y26" i="119"/>
  <c r="Z26" i="119"/>
  <c r="AA26" i="119"/>
  <c r="AB12" i="139"/>
  <c r="O391" i="142" s="1"/>
  <c r="AC12" i="139"/>
  <c r="AB13" i="139"/>
  <c r="O392" i="142" s="1"/>
  <c r="AC13" i="139"/>
  <c r="AB14" i="139"/>
  <c r="AC14" i="139"/>
  <c r="AC10" i="139"/>
  <c r="X389" i="142" s="1"/>
  <c r="AB10" i="139"/>
  <c r="N391" i="142"/>
  <c r="N392" i="142"/>
  <c r="P392" i="142"/>
  <c r="W394" i="142"/>
  <c r="Q10" i="139"/>
  <c r="W389" i="142" s="1"/>
  <c r="P10" i="139"/>
  <c r="S11" i="137"/>
  <c r="X386" i="142" s="1"/>
  <c r="R11" i="137"/>
  <c r="O386" i="142" s="1"/>
  <c r="S10" i="137"/>
  <c r="X385" i="142" s="1"/>
  <c r="R10" i="137"/>
  <c r="J11" i="137"/>
  <c r="N386" i="142" s="1"/>
  <c r="K11" i="137"/>
  <c r="W386" i="142" s="1"/>
  <c r="K10" i="137"/>
  <c r="W385" i="142" s="1"/>
  <c r="P385" i="142" s="1"/>
  <c r="J10" i="137"/>
  <c r="W13" i="138"/>
  <c r="X382" i="142" s="1"/>
  <c r="V13" i="138"/>
  <c r="O382" i="142" s="1"/>
  <c r="W12" i="138"/>
  <c r="V12" i="138"/>
  <c r="W11" i="138"/>
  <c r="X380" i="142" s="1"/>
  <c r="V11" i="138"/>
  <c r="O380" i="142" s="1"/>
  <c r="W10" i="138"/>
  <c r="X379" i="142" s="1"/>
  <c r="V10" i="138"/>
  <c r="O379" i="142" s="1"/>
  <c r="L11" i="138"/>
  <c r="N380" i="142" s="1"/>
  <c r="M11" i="138"/>
  <c r="W380" i="142" s="1"/>
  <c r="L12" i="138"/>
  <c r="M12" i="138"/>
  <c r="L13" i="138"/>
  <c r="N382" i="142" s="1"/>
  <c r="M13" i="138"/>
  <c r="W382" i="142" s="1"/>
  <c r="M10" i="138"/>
  <c r="W379" i="142" s="1"/>
  <c r="Q379" i="142" s="1"/>
  <c r="L10" i="138"/>
  <c r="N379" i="142" s="1"/>
  <c r="Z17" i="136"/>
  <c r="X363" i="142" s="1"/>
  <c r="Y17" i="136"/>
  <c r="O363" i="142" s="1"/>
  <c r="Z16" i="136"/>
  <c r="X362" i="142" s="1"/>
  <c r="Y16" i="136"/>
  <c r="O362" i="142" s="1"/>
  <c r="Z15" i="136"/>
  <c r="X361" i="142" s="1"/>
  <c r="Y15" i="136"/>
  <c r="O361" i="142" s="1"/>
  <c r="Z14" i="136"/>
  <c r="Y14" i="136"/>
  <c r="Z13" i="136"/>
  <c r="X359" i="142" s="1"/>
  <c r="Y13" i="136"/>
  <c r="O359" i="142" s="1"/>
  <c r="Z12" i="136"/>
  <c r="X358" i="142" s="1"/>
  <c r="Y12" i="136"/>
  <c r="O358" i="142" s="1"/>
  <c r="Z11" i="136"/>
  <c r="X357" i="142" s="1"/>
  <c r="Y11" i="136"/>
  <c r="O357" i="142" s="1"/>
  <c r="Z10" i="136"/>
  <c r="X356" i="142" s="1"/>
  <c r="Y10" i="136"/>
  <c r="O356" i="142" s="1"/>
  <c r="P11" i="136"/>
  <c r="W357" i="142" s="1"/>
  <c r="P357" i="142" s="1"/>
  <c r="Q357" i="142" s="1"/>
  <c r="P12" i="136"/>
  <c r="W358" i="142" s="1"/>
  <c r="P13" i="136"/>
  <c r="W359" i="142" s="1"/>
  <c r="P14" i="136"/>
  <c r="P15" i="136"/>
  <c r="W361" i="142" s="1"/>
  <c r="P16" i="136"/>
  <c r="W362" i="142" s="1"/>
  <c r="P17" i="136"/>
  <c r="W363" i="142" s="1"/>
  <c r="P10" i="136"/>
  <c r="W356" i="142" s="1"/>
  <c r="W11" i="134"/>
  <c r="X352" i="142" s="1"/>
  <c r="V11" i="134"/>
  <c r="O352" i="142" s="1"/>
  <c r="W12" i="134"/>
  <c r="X353" i="142" s="1"/>
  <c r="V12" i="134"/>
  <c r="O353" i="142" s="1"/>
  <c r="W10" i="134"/>
  <c r="X351" i="142" s="1"/>
  <c r="V10" i="134"/>
  <c r="L12" i="134"/>
  <c r="N353" i="142" s="1"/>
  <c r="M12" i="134"/>
  <c r="W353" i="142" s="1"/>
  <c r="L11" i="134"/>
  <c r="N352" i="142" s="1"/>
  <c r="M11" i="134"/>
  <c r="W352" i="142" s="1"/>
  <c r="M10" i="134"/>
  <c r="W351" i="142" s="1"/>
  <c r="L10" i="134"/>
  <c r="AC12" i="133"/>
  <c r="X333" i="142" s="1"/>
  <c r="AB12" i="133"/>
  <c r="O333" i="142" s="1"/>
  <c r="AC25" i="133"/>
  <c r="X346" i="142" s="1"/>
  <c r="AB25" i="133"/>
  <c r="O346" i="142" s="1"/>
  <c r="AC24" i="133"/>
  <c r="X345" i="142" s="1"/>
  <c r="AB24" i="133"/>
  <c r="O345" i="142" s="1"/>
  <c r="AC14" i="133"/>
  <c r="X335" i="142" s="1"/>
  <c r="AB14" i="133"/>
  <c r="O335" i="142" s="1"/>
  <c r="AC23" i="133"/>
  <c r="X344" i="142" s="1"/>
  <c r="AB23" i="133"/>
  <c r="O344" i="142" s="1"/>
  <c r="AC22" i="133"/>
  <c r="X343" i="142" s="1"/>
  <c r="AB22" i="133"/>
  <c r="O343" i="142" s="1"/>
  <c r="AC21" i="133"/>
  <c r="X342" i="142" s="1"/>
  <c r="AB21" i="133"/>
  <c r="O342" i="142" s="1"/>
  <c r="AC11" i="133"/>
  <c r="X332" i="142" s="1"/>
  <c r="AB11" i="133"/>
  <c r="O332" i="142" s="1"/>
  <c r="AC20" i="133"/>
  <c r="X341" i="142" s="1"/>
  <c r="AB20" i="133"/>
  <c r="O341" i="142" s="1"/>
  <c r="AC13" i="133"/>
  <c r="X334" i="142" s="1"/>
  <c r="AB13" i="133"/>
  <c r="O334" i="142" s="1"/>
  <c r="AC10" i="133"/>
  <c r="X331" i="142" s="1"/>
  <c r="AB10" i="133"/>
  <c r="O331" i="142" s="1"/>
  <c r="N13" i="133"/>
  <c r="N334" i="142" s="1"/>
  <c r="O13" i="133"/>
  <c r="W334" i="142" s="1"/>
  <c r="N336" i="142"/>
  <c r="W336" i="142"/>
  <c r="P336" i="142" s="1"/>
  <c r="Q336" i="142" s="1"/>
  <c r="N337" i="142"/>
  <c r="W337" i="142"/>
  <c r="P337" i="142" s="1"/>
  <c r="Q337" i="142" s="1"/>
  <c r="N20" i="133"/>
  <c r="N341" i="142" s="1"/>
  <c r="O20" i="133"/>
  <c r="W341" i="142" s="1"/>
  <c r="N11" i="133"/>
  <c r="N332" i="142" s="1"/>
  <c r="O11" i="133"/>
  <c r="W332" i="142" s="1"/>
  <c r="N21" i="133"/>
  <c r="N342" i="142" s="1"/>
  <c r="O21" i="133"/>
  <c r="W342" i="142" s="1"/>
  <c r="N22" i="133"/>
  <c r="N343" i="142" s="1"/>
  <c r="O22" i="133"/>
  <c r="W343" i="142" s="1"/>
  <c r="N23" i="133"/>
  <c r="N344" i="142" s="1"/>
  <c r="O23" i="133"/>
  <c r="W344" i="142" s="1"/>
  <c r="N14" i="133"/>
  <c r="N335" i="142" s="1"/>
  <c r="O14" i="133"/>
  <c r="W335" i="142" s="1"/>
  <c r="N24" i="133"/>
  <c r="N345" i="142" s="1"/>
  <c r="O24" i="133"/>
  <c r="W345" i="142" s="1"/>
  <c r="N25" i="133"/>
  <c r="N346" i="142" s="1"/>
  <c r="O25" i="133"/>
  <c r="W346" i="142" s="1"/>
  <c r="N12" i="133"/>
  <c r="N333" i="142" s="1"/>
  <c r="O12" i="133"/>
  <c r="W333" i="142" s="1"/>
  <c r="O10" i="133"/>
  <c r="W331" i="142" s="1"/>
  <c r="N10" i="133"/>
  <c r="N331" i="142" s="1"/>
  <c r="W21" i="131"/>
  <c r="V21" i="131"/>
  <c r="W20" i="131"/>
  <c r="V20" i="131"/>
  <c r="W19" i="131"/>
  <c r="V19" i="131"/>
  <c r="W18" i="131"/>
  <c r="X317" i="142" s="1"/>
  <c r="V18" i="131"/>
  <c r="O317" i="142" s="1"/>
  <c r="W17" i="131"/>
  <c r="X316" i="142" s="1"/>
  <c r="V17" i="131"/>
  <c r="O316" i="142" s="1"/>
  <c r="W16" i="131"/>
  <c r="X315" i="142" s="1"/>
  <c r="V16" i="131"/>
  <c r="O315" i="142" s="1"/>
  <c r="W15" i="131"/>
  <c r="X314" i="142" s="1"/>
  <c r="V15" i="131"/>
  <c r="O314" i="142" s="1"/>
  <c r="W14" i="131"/>
  <c r="X313" i="142" s="1"/>
  <c r="V14" i="131"/>
  <c r="O313" i="142" s="1"/>
  <c r="W13" i="131"/>
  <c r="X312" i="142" s="1"/>
  <c r="V13" i="131"/>
  <c r="O312" i="142" s="1"/>
  <c r="W12" i="131"/>
  <c r="X311" i="142" s="1"/>
  <c r="V12" i="131"/>
  <c r="O311" i="142" s="1"/>
  <c r="W11" i="131"/>
  <c r="X310" i="142" s="1"/>
  <c r="V11" i="131"/>
  <c r="O310" i="142" s="1"/>
  <c r="L11" i="131"/>
  <c r="N310" i="142" s="1"/>
  <c r="M11" i="131"/>
  <c r="W310" i="142" s="1"/>
  <c r="L12" i="131"/>
  <c r="N311" i="142" s="1"/>
  <c r="M12" i="131"/>
  <c r="W311" i="142" s="1"/>
  <c r="L13" i="131"/>
  <c r="N312" i="142" s="1"/>
  <c r="M13" i="131"/>
  <c r="W312" i="142" s="1"/>
  <c r="L14" i="131"/>
  <c r="N313" i="142" s="1"/>
  <c r="M14" i="131"/>
  <c r="W313" i="142" s="1"/>
  <c r="L15" i="131"/>
  <c r="N314" i="142" s="1"/>
  <c r="M15" i="131"/>
  <c r="W314" i="142" s="1"/>
  <c r="L16" i="131"/>
  <c r="N315" i="142" s="1"/>
  <c r="M16" i="131"/>
  <c r="W315" i="142" s="1"/>
  <c r="L17" i="131"/>
  <c r="N316" i="142" s="1"/>
  <c r="M17" i="131"/>
  <c r="W316" i="142" s="1"/>
  <c r="L18" i="131"/>
  <c r="N317" i="142" s="1"/>
  <c r="M18" i="131"/>
  <c r="W317" i="142" s="1"/>
  <c r="L19" i="131"/>
  <c r="M19" i="131"/>
  <c r="L20" i="131"/>
  <c r="M20" i="131"/>
  <c r="L21" i="131"/>
  <c r="M21" i="131"/>
  <c r="P11" i="129"/>
  <c r="Q11" i="129"/>
  <c r="W248" i="142" s="1"/>
  <c r="P12" i="129"/>
  <c r="N249" i="142" s="1"/>
  <c r="Q12" i="129"/>
  <c r="W249" i="142" s="1"/>
  <c r="P13" i="129"/>
  <c r="N250" i="142" s="1"/>
  <c r="Q13" i="129"/>
  <c r="W250" i="142" s="1"/>
  <c r="P14" i="129"/>
  <c r="N251" i="142" s="1"/>
  <c r="Q14" i="129"/>
  <c r="W251" i="142" s="1"/>
  <c r="P15" i="129"/>
  <c r="N252" i="142" s="1"/>
  <c r="Q15" i="129"/>
  <c r="W252" i="142" s="1"/>
  <c r="P16" i="129"/>
  <c r="N253" i="142" s="1"/>
  <c r="Q16" i="129"/>
  <c r="W253" i="142" s="1"/>
  <c r="P17" i="129"/>
  <c r="N254" i="142" s="1"/>
  <c r="Q17" i="129"/>
  <c r="W254" i="142" s="1"/>
  <c r="P18" i="129"/>
  <c r="N255" i="142" s="1"/>
  <c r="Q18" i="129"/>
  <c r="W255" i="142" s="1"/>
  <c r="P19" i="129"/>
  <c r="N256" i="142" s="1"/>
  <c r="Q19" i="129"/>
  <c r="W256" i="142" s="1"/>
  <c r="P20" i="129"/>
  <c r="N257" i="142" s="1"/>
  <c r="Q20" i="129"/>
  <c r="W257" i="142" s="1"/>
  <c r="P21" i="129"/>
  <c r="N258" i="142" s="1"/>
  <c r="Q21" i="129"/>
  <c r="W258" i="142" s="1"/>
  <c r="P22" i="129"/>
  <c r="N259" i="142" s="1"/>
  <c r="Q22" i="129"/>
  <c r="W259" i="142" s="1"/>
  <c r="P23" i="129"/>
  <c r="N260" i="142" s="1"/>
  <c r="Q23" i="129"/>
  <c r="W260" i="142" s="1"/>
  <c r="P24" i="129"/>
  <c r="N261" i="142" s="1"/>
  <c r="Q24" i="129"/>
  <c r="W261" i="142" s="1"/>
  <c r="P25" i="129"/>
  <c r="N262" i="142" s="1"/>
  <c r="Q25" i="129"/>
  <c r="W262" i="142" s="1"/>
  <c r="P26" i="129"/>
  <c r="N263" i="142" s="1"/>
  <c r="Q26" i="129"/>
  <c r="W263" i="142" s="1"/>
  <c r="P27" i="129"/>
  <c r="N264" i="142" s="1"/>
  <c r="Q27" i="129"/>
  <c r="W264" i="142" s="1"/>
  <c r="P28" i="129"/>
  <c r="N265" i="142" s="1"/>
  <c r="Q28" i="129"/>
  <c r="W265" i="142" s="1"/>
  <c r="P29" i="129"/>
  <c r="N266" i="142" s="1"/>
  <c r="Q29" i="129"/>
  <c r="W266" i="142" s="1"/>
  <c r="P30" i="129"/>
  <c r="N267" i="142" s="1"/>
  <c r="Q30" i="129"/>
  <c r="W267" i="142" s="1"/>
  <c r="P31" i="129"/>
  <c r="N268" i="142" s="1"/>
  <c r="Q31" i="129"/>
  <c r="W268" i="142" s="1"/>
  <c r="N269" i="142"/>
  <c r="W269" i="142"/>
  <c r="P36" i="129"/>
  <c r="Q36" i="129"/>
  <c r="P37" i="129"/>
  <c r="N274" i="142" s="1"/>
  <c r="Q37" i="129"/>
  <c r="W274" i="142" s="1"/>
  <c r="O305" i="142"/>
  <c r="X304" i="142"/>
  <c r="O304" i="142"/>
  <c r="X303" i="142"/>
  <c r="O303" i="142"/>
  <c r="X301" i="142"/>
  <c r="O301" i="142"/>
  <c r="X300" i="142"/>
  <c r="O300" i="142"/>
  <c r="X299" i="142"/>
  <c r="O299" i="142"/>
  <c r="X298" i="142"/>
  <c r="O298" i="142"/>
  <c r="X297" i="142"/>
  <c r="O297" i="142"/>
  <c r="X296" i="142"/>
  <c r="O296" i="142"/>
  <c r="X295" i="142"/>
  <c r="O295" i="142"/>
  <c r="X294" i="142"/>
  <c r="O294" i="142"/>
  <c r="X293" i="142"/>
  <c r="O293" i="142"/>
  <c r="X292" i="142"/>
  <c r="O292" i="142"/>
  <c r="X291" i="142"/>
  <c r="O291" i="142"/>
  <c r="X290" i="142"/>
  <c r="O290" i="142"/>
  <c r="X289" i="142"/>
  <c r="O289" i="142"/>
  <c r="X288" i="142"/>
  <c r="O288" i="142"/>
  <c r="X287" i="142"/>
  <c r="O287" i="142"/>
  <c r="X286" i="142"/>
  <c r="O286" i="142"/>
  <c r="X285" i="142"/>
  <c r="O285" i="142"/>
  <c r="X284" i="142"/>
  <c r="O284" i="142"/>
  <c r="X283" i="142"/>
  <c r="O283" i="142"/>
  <c r="X282" i="142"/>
  <c r="O282" i="142"/>
  <c r="X280" i="142"/>
  <c r="O280" i="142"/>
  <c r="X279" i="142"/>
  <c r="O279" i="142"/>
  <c r="X278" i="142"/>
  <c r="O278" i="142"/>
  <c r="X277" i="142"/>
  <c r="O277" i="142"/>
  <c r="N278" i="142"/>
  <c r="W278" i="142"/>
  <c r="N279" i="142"/>
  <c r="W279" i="142"/>
  <c r="N280" i="142"/>
  <c r="W280" i="142"/>
  <c r="N282" i="142"/>
  <c r="W282" i="142"/>
  <c r="N283" i="142"/>
  <c r="W283" i="142"/>
  <c r="N284" i="142"/>
  <c r="W284" i="142"/>
  <c r="N285" i="142"/>
  <c r="W285" i="142"/>
  <c r="N286" i="142"/>
  <c r="W286" i="142"/>
  <c r="N287" i="142"/>
  <c r="W287" i="142"/>
  <c r="N288" i="142"/>
  <c r="W288" i="142"/>
  <c r="N289" i="142"/>
  <c r="W289" i="142"/>
  <c r="N290" i="142"/>
  <c r="W290" i="142"/>
  <c r="N291" i="142"/>
  <c r="W291" i="142"/>
  <c r="N292" i="142"/>
  <c r="W292" i="142"/>
  <c r="N293" i="142"/>
  <c r="W293" i="142"/>
  <c r="N294" i="142"/>
  <c r="W294" i="142"/>
  <c r="N295" i="142"/>
  <c r="W295" i="142"/>
  <c r="N296" i="142"/>
  <c r="W296" i="142"/>
  <c r="N297" i="142"/>
  <c r="W297" i="142"/>
  <c r="N298" i="142"/>
  <c r="W298" i="142"/>
  <c r="N299" i="142"/>
  <c r="W299" i="142"/>
  <c r="N300" i="142"/>
  <c r="W300" i="142"/>
  <c r="N301" i="142"/>
  <c r="W301" i="142"/>
  <c r="N303" i="142"/>
  <c r="W303" i="142"/>
  <c r="N304" i="142"/>
  <c r="W304" i="142"/>
  <c r="N305" i="142"/>
  <c r="W277" i="142"/>
  <c r="N277" i="142"/>
  <c r="AA11" i="129"/>
  <c r="AB11" i="129"/>
  <c r="X248" i="142" s="1"/>
  <c r="AA12" i="129"/>
  <c r="O249" i="142" s="1"/>
  <c r="AB12" i="129"/>
  <c r="X249" i="142" s="1"/>
  <c r="AA13" i="129"/>
  <c r="O250" i="142" s="1"/>
  <c r="AB13" i="129"/>
  <c r="X250" i="142" s="1"/>
  <c r="AA14" i="129"/>
  <c r="O251" i="142" s="1"/>
  <c r="AB14" i="129"/>
  <c r="X251" i="142" s="1"/>
  <c r="AA15" i="129"/>
  <c r="O252" i="142" s="1"/>
  <c r="AB15" i="129"/>
  <c r="X252" i="142" s="1"/>
  <c r="AA16" i="129"/>
  <c r="O253" i="142" s="1"/>
  <c r="AB16" i="129"/>
  <c r="X253" i="142" s="1"/>
  <c r="AA17" i="129"/>
  <c r="O254" i="142" s="1"/>
  <c r="AB17" i="129"/>
  <c r="X254" i="142" s="1"/>
  <c r="AA18" i="129"/>
  <c r="O255" i="142" s="1"/>
  <c r="AB18" i="129"/>
  <c r="X255" i="142" s="1"/>
  <c r="AA19" i="129"/>
  <c r="O256" i="142" s="1"/>
  <c r="AB19" i="129"/>
  <c r="X256" i="142" s="1"/>
  <c r="AA20" i="129"/>
  <c r="O257" i="142" s="1"/>
  <c r="AB20" i="129"/>
  <c r="X257" i="142" s="1"/>
  <c r="AA21" i="129"/>
  <c r="O258" i="142" s="1"/>
  <c r="AB21" i="129"/>
  <c r="X258" i="142" s="1"/>
  <c r="AA22" i="129"/>
  <c r="O259" i="142" s="1"/>
  <c r="AB22" i="129"/>
  <c r="X259" i="142" s="1"/>
  <c r="AA23" i="129"/>
  <c r="O260" i="142" s="1"/>
  <c r="AB23" i="129"/>
  <c r="X260" i="142" s="1"/>
  <c r="AA24" i="129"/>
  <c r="O261" i="142" s="1"/>
  <c r="AB24" i="129"/>
  <c r="X261" i="142" s="1"/>
  <c r="AA25" i="129"/>
  <c r="O262" i="142" s="1"/>
  <c r="AB25" i="129"/>
  <c r="X262" i="142" s="1"/>
  <c r="AA26" i="129"/>
  <c r="O263" i="142" s="1"/>
  <c r="AB26" i="129"/>
  <c r="X263" i="142" s="1"/>
  <c r="AA27" i="129"/>
  <c r="O264" i="142" s="1"/>
  <c r="AB27" i="129"/>
  <c r="X264" i="142" s="1"/>
  <c r="AA28" i="129"/>
  <c r="O265" i="142" s="1"/>
  <c r="AB28" i="129"/>
  <c r="X265" i="142" s="1"/>
  <c r="AA29" i="129"/>
  <c r="O266" i="142" s="1"/>
  <c r="AB29" i="129"/>
  <c r="X266" i="142" s="1"/>
  <c r="AA30" i="129"/>
  <c r="O267" i="142" s="1"/>
  <c r="AB30" i="129"/>
  <c r="X267" i="142" s="1"/>
  <c r="O268" i="142"/>
  <c r="X268" i="142"/>
  <c r="O269" i="142"/>
  <c r="X269" i="142"/>
  <c r="AA36" i="129"/>
  <c r="AB36" i="129"/>
  <c r="AA37" i="129"/>
  <c r="O274" i="142" s="1"/>
  <c r="AB37" i="129"/>
  <c r="X274" i="142" s="1"/>
  <c r="AB10" i="129"/>
  <c r="X247" i="142" s="1"/>
  <c r="AA10" i="129"/>
  <c r="O247" i="142" s="1"/>
  <c r="Q10" i="129"/>
  <c r="W247" i="142" s="1"/>
  <c r="P10" i="129"/>
  <c r="N247" i="142" s="1"/>
  <c r="AC12" i="128"/>
  <c r="O226" i="142" s="1"/>
  <c r="AD12" i="128"/>
  <c r="X226" i="142" s="1"/>
  <c r="AC13" i="128"/>
  <c r="O227" i="142" s="1"/>
  <c r="AD13" i="128"/>
  <c r="X227" i="142" s="1"/>
  <c r="AC11" i="128"/>
  <c r="O225" i="142" s="1"/>
  <c r="AD11" i="128"/>
  <c r="X225" i="142" s="1"/>
  <c r="AC14" i="128"/>
  <c r="O228" i="142" s="1"/>
  <c r="AD14" i="128"/>
  <c r="X228" i="142" s="1"/>
  <c r="AC15" i="128"/>
  <c r="O229" i="142" s="1"/>
  <c r="AD15" i="128"/>
  <c r="X229" i="142" s="1"/>
  <c r="AC10" i="128"/>
  <c r="AD10" i="128"/>
  <c r="X224" i="142" s="1"/>
  <c r="AC16" i="128"/>
  <c r="O230" i="142" s="1"/>
  <c r="AD16" i="128"/>
  <c r="X230" i="142" s="1"/>
  <c r="AC17" i="128"/>
  <c r="O231" i="142" s="1"/>
  <c r="AD17" i="128"/>
  <c r="X231" i="142" s="1"/>
  <c r="AC18" i="128"/>
  <c r="O232" i="142" s="1"/>
  <c r="AD18" i="128"/>
  <c r="X232" i="142" s="1"/>
  <c r="AC19" i="128"/>
  <c r="O233" i="142" s="1"/>
  <c r="AD19" i="128"/>
  <c r="X233" i="142" s="1"/>
  <c r="AC20" i="128"/>
  <c r="O234" i="142" s="1"/>
  <c r="AD20" i="128"/>
  <c r="X234" i="142" s="1"/>
  <c r="AC21" i="128"/>
  <c r="O235" i="142" s="1"/>
  <c r="AD21" i="128"/>
  <c r="X235" i="142" s="1"/>
  <c r="AC22" i="128"/>
  <c r="O236" i="142" s="1"/>
  <c r="AD22" i="128"/>
  <c r="X236" i="142" s="1"/>
  <c r="AC23" i="128"/>
  <c r="O237" i="142" s="1"/>
  <c r="AD23" i="128"/>
  <c r="X237" i="142" s="1"/>
  <c r="AC24" i="128"/>
  <c r="O238" i="142" s="1"/>
  <c r="AD24" i="128"/>
  <c r="X238" i="142" s="1"/>
  <c r="AC25" i="128"/>
  <c r="O239" i="142" s="1"/>
  <c r="AD25" i="128"/>
  <c r="X239" i="142" s="1"/>
  <c r="AC26" i="128"/>
  <c r="O240" i="142" s="1"/>
  <c r="AD26" i="128"/>
  <c r="X240" i="142" s="1"/>
  <c r="AC27" i="128"/>
  <c r="O241" i="142" s="1"/>
  <c r="AD27" i="128"/>
  <c r="X241" i="142" s="1"/>
  <c r="AC28" i="128"/>
  <c r="O242" i="142" s="1"/>
  <c r="AD28" i="128"/>
  <c r="X242" i="142" s="1"/>
  <c r="P12" i="128"/>
  <c r="N226" i="142" s="1"/>
  <c r="Q12" i="128"/>
  <c r="W226" i="142" s="1"/>
  <c r="P13" i="128"/>
  <c r="N227" i="142" s="1"/>
  <c r="Q13" i="128"/>
  <c r="W227" i="142" s="1"/>
  <c r="P11" i="128"/>
  <c r="N225" i="142" s="1"/>
  <c r="Q11" i="128"/>
  <c r="W225" i="142" s="1"/>
  <c r="P14" i="128"/>
  <c r="N228" i="142" s="1"/>
  <c r="Q14" i="128"/>
  <c r="W228" i="142" s="1"/>
  <c r="P15" i="128"/>
  <c r="N229" i="142" s="1"/>
  <c r="Q15" i="128"/>
  <c r="W229" i="142" s="1"/>
  <c r="P10" i="128"/>
  <c r="Q10" i="128"/>
  <c r="W224" i="142" s="1"/>
  <c r="P16" i="128"/>
  <c r="N230" i="142" s="1"/>
  <c r="Q16" i="128"/>
  <c r="W230" i="142" s="1"/>
  <c r="P17" i="128"/>
  <c r="N231" i="142" s="1"/>
  <c r="Q17" i="128"/>
  <c r="W231" i="142" s="1"/>
  <c r="P18" i="128"/>
  <c r="N232" i="142" s="1"/>
  <c r="Q18" i="128"/>
  <c r="W232" i="142" s="1"/>
  <c r="P19" i="128"/>
  <c r="N233" i="142" s="1"/>
  <c r="Q19" i="128"/>
  <c r="W233" i="142" s="1"/>
  <c r="P20" i="128"/>
  <c r="N234" i="142" s="1"/>
  <c r="Q20" i="128"/>
  <c r="W234" i="142" s="1"/>
  <c r="P21" i="128"/>
  <c r="N235" i="142" s="1"/>
  <c r="Q21" i="128"/>
  <c r="W235" i="142" s="1"/>
  <c r="P22" i="128"/>
  <c r="N236" i="142" s="1"/>
  <c r="Q22" i="128"/>
  <c r="W236" i="142" s="1"/>
  <c r="P23" i="128"/>
  <c r="N237" i="142" s="1"/>
  <c r="Q23" i="128"/>
  <c r="W237" i="142" s="1"/>
  <c r="P24" i="128"/>
  <c r="N238" i="142" s="1"/>
  <c r="Q24" i="128"/>
  <c r="W238" i="142" s="1"/>
  <c r="P25" i="128"/>
  <c r="N239" i="142" s="1"/>
  <c r="Q25" i="128"/>
  <c r="W239" i="142" s="1"/>
  <c r="P26" i="128"/>
  <c r="N240" i="142" s="1"/>
  <c r="Q26" i="128"/>
  <c r="W240" i="142" s="1"/>
  <c r="P27" i="128"/>
  <c r="N241" i="142" s="1"/>
  <c r="Q27" i="128"/>
  <c r="W241" i="142" s="1"/>
  <c r="P28" i="128"/>
  <c r="N242" i="142" s="1"/>
  <c r="Q28" i="128"/>
  <c r="W242" i="142" s="1"/>
  <c r="X219" i="142"/>
  <c r="O219" i="142"/>
  <c r="AA34" i="125"/>
  <c r="X218" i="142" s="1"/>
  <c r="Z34" i="125"/>
  <c r="O218" i="142" s="1"/>
  <c r="AA33" i="125"/>
  <c r="X217" i="142" s="1"/>
  <c r="Z33" i="125"/>
  <c r="O217" i="142" s="1"/>
  <c r="AA32" i="125"/>
  <c r="X216" i="142" s="1"/>
  <c r="Z32" i="125"/>
  <c r="O216" i="142" s="1"/>
  <c r="AA31" i="125"/>
  <c r="X215" i="142" s="1"/>
  <c r="Z31" i="125"/>
  <c r="O215" i="142" s="1"/>
  <c r="AA30" i="125"/>
  <c r="X214" i="142" s="1"/>
  <c r="Z30" i="125"/>
  <c r="O214" i="142" s="1"/>
  <c r="AA29" i="125"/>
  <c r="X213" i="142" s="1"/>
  <c r="Z29" i="125"/>
  <c r="O213" i="142" s="1"/>
  <c r="AA28" i="125"/>
  <c r="X212" i="142" s="1"/>
  <c r="Z28" i="125"/>
  <c r="O212" i="142" s="1"/>
  <c r="AA27" i="125"/>
  <c r="X211" i="142" s="1"/>
  <c r="Z27" i="125"/>
  <c r="O211" i="142" s="1"/>
  <c r="AA26" i="125"/>
  <c r="X210" i="142" s="1"/>
  <c r="Z26" i="125"/>
  <c r="O210" i="142" s="1"/>
  <c r="AA25" i="125"/>
  <c r="X209" i="142" s="1"/>
  <c r="Z25" i="125"/>
  <c r="O209" i="142" s="1"/>
  <c r="AA24" i="125"/>
  <c r="X208" i="142" s="1"/>
  <c r="Z24" i="125"/>
  <c r="O208" i="142" s="1"/>
  <c r="AA23" i="125"/>
  <c r="X207" i="142" s="1"/>
  <c r="Z23" i="125"/>
  <c r="O207" i="142" s="1"/>
  <c r="AA22" i="125"/>
  <c r="X206" i="142" s="1"/>
  <c r="Z22" i="125"/>
  <c r="O206" i="142" s="1"/>
  <c r="AA21" i="125"/>
  <c r="X205" i="142" s="1"/>
  <c r="Z21" i="125"/>
  <c r="O205" i="142" s="1"/>
  <c r="AA20" i="125"/>
  <c r="X204" i="142" s="1"/>
  <c r="Z20" i="125"/>
  <c r="O204" i="142" s="1"/>
  <c r="AA19" i="125"/>
  <c r="X203" i="142" s="1"/>
  <c r="Z19" i="125"/>
  <c r="O203" i="142" s="1"/>
  <c r="AA18" i="125"/>
  <c r="X202" i="142" s="1"/>
  <c r="Z18" i="125"/>
  <c r="O202" i="142" s="1"/>
  <c r="AA17" i="125"/>
  <c r="X201" i="142" s="1"/>
  <c r="Z17" i="125"/>
  <c r="O201" i="142" s="1"/>
  <c r="AA16" i="125"/>
  <c r="X200" i="142" s="1"/>
  <c r="Z16" i="125"/>
  <c r="O200" i="142" s="1"/>
  <c r="AA15" i="125"/>
  <c r="X199" i="142" s="1"/>
  <c r="Z15" i="125"/>
  <c r="O199" i="142" s="1"/>
  <c r="AA14" i="125"/>
  <c r="X198" i="142" s="1"/>
  <c r="Z14" i="125"/>
  <c r="O198" i="142" s="1"/>
  <c r="AA13" i="125"/>
  <c r="X197" i="142" s="1"/>
  <c r="Z13" i="125"/>
  <c r="O197" i="142" s="1"/>
  <c r="AA12" i="125"/>
  <c r="X196" i="142" s="1"/>
  <c r="Z12" i="125"/>
  <c r="O196" i="142" s="1"/>
  <c r="AA11" i="125"/>
  <c r="X195" i="142" s="1"/>
  <c r="Z11" i="125"/>
  <c r="AA10" i="125"/>
  <c r="X194" i="142" s="1"/>
  <c r="Z10" i="125"/>
  <c r="O194" i="142" s="1"/>
  <c r="N11" i="125"/>
  <c r="O11" i="125"/>
  <c r="W195" i="142" s="1"/>
  <c r="N12" i="125"/>
  <c r="N196" i="142" s="1"/>
  <c r="O12" i="125"/>
  <c r="W196" i="142" s="1"/>
  <c r="N13" i="125"/>
  <c r="N197" i="142" s="1"/>
  <c r="O13" i="125"/>
  <c r="W197" i="142" s="1"/>
  <c r="N14" i="125"/>
  <c r="N198" i="142" s="1"/>
  <c r="O14" i="125"/>
  <c r="W198" i="142" s="1"/>
  <c r="N15" i="125"/>
  <c r="N199" i="142" s="1"/>
  <c r="O15" i="125"/>
  <c r="W199" i="142" s="1"/>
  <c r="N16" i="125"/>
  <c r="N200" i="142" s="1"/>
  <c r="O16" i="125"/>
  <c r="W200" i="142" s="1"/>
  <c r="N17" i="125"/>
  <c r="N201" i="142" s="1"/>
  <c r="O17" i="125"/>
  <c r="W201" i="142" s="1"/>
  <c r="N18" i="125"/>
  <c r="N202" i="142" s="1"/>
  <c r="O18" i="125"/>
  <c r="W202" i="142" s="1"/>
  <c r="N19" i="125"/>
  <c r="N203" i="142" s="1"/>
  <c r="O19" i="125"/>
  <c r="W203" i="142" s="1"/>
  <c r="N20" i="125"/>
  <c r="N204" i="142" s="1"/>
  <c r="O20" i="125"/>
  <c r="W204" i="142" s="1"/>
  <c r="N21" i="125"/>
  <c r="N205" i="142" s="1"/>
  <c r="O21" i="125"/>
  <c r="W205" i="142" s="1"/>
  <c r="N22" i="125"/>
  <c r="N206" i="142" s="1"/>
  <c r="O22" i="125"/>
  <c r="W206" i="142" s="1"/>
  <c r="N23" i="125"/>
  <c r="N207" i="142" s="1"/>
  <c r="O23" i="125"/>
  <c r="W207" i="142" s="1"/>
  <c r="N24" i="125"/>
  <c r="N208" i="142" s="1"/>
  <c r="O24" i="125"/>
  <c r="W208" i="142" s="1"/>
  <c r="N25" i="125"/>
  <c r="N209" i="142" s="1"/>
  <c r="O25" i="125"/>
  <c r="W209" i="142" s="1"/>
  <c r="N26" i="125"/>
  <c r="N210" i="142" s="1"/>
  <c r="O26" i="125"/>
  <c r="W210" i="142" s="1"/>
  <c r="N27" i="125"/>
  <c r="N211" i="142" s="1"/>
  <c r="O27" i="125"/>
  <c r="W211" i="142" s="1"/>
  <c r="N28" i="125"/>
  <c r="N212" i="142" s="1"/>
  <c r="O28" i="125"/>
  <c r="W212" i="142" s="1"/>
  <c r="N29" i="125"/>
  <c r="N213" i="142" s="1"/>
  <c r="O29" i="125"/>
  <c r="W213" i="142" s="1"/>
  <c r="N30" i="125"/>
  <c r="N214" i="142" s="1"/>
  <c r="O30" i="125"/>
  <c r="W214" i="142" s="1"/>
  <c r="N31" i="125"/>
  <c r="N215" i="142" s="1"/>
  <c r="O31" i="125"/>
  <c r="W215" i="142" s="1"/>
  <c r="N32" i="125"/>
  <c r="N216" i="142" s="1"/>
  <c r="O32" i="125"/>
  <c r="W216" i="142" s="1"/>
  <c r="N33" i="125"/>
  <c r="N217" i="142" s="1"/>
  <c r="O33" i="125"/>
  <c r="W217" i="142" s="1"/>
  <c r="N34" i="125"/>
  <c r="N218" i="142" s="1"/>
  <c r="O34" i="125"/>
  <c r="W218" i="142" s="1"/>
  <c r="N35" i="125"/>
  <c r="N219" i="142" s="1"/>
  <c r="O35" i="125"/>
  <c r="W219" i="142" s="1"/>
  <c r="O10" i="125"/>
  <c r="W194" i="142" s="1"/>
  <c r="Q194" i="142" s="1"/>
  <c r="N10" i="125"/>
  <c r="N194" i="142" s="1"/>
  <c r="Z10" i="124"/>
  <c r="O177" i="142" s="1"/>
  <c r="AA10" i="124"/>
  <c r="X177" i="142" s="1"/>
  <c r="Z12" i="124"/>
  <c r="O179" i="142" s="1"/>
  <c r="AA12" i="124"/>
  <c r="X179" i="142" s="1"/>
  <c r="Z13" i="124"/>
  <c r="O180" i="142" s="1"/>
  <c r="AA13" i="124"/>
  <c r="X180" i="142" s="1"/>
  <c r="Z14" i="124"/>
  <c r="O181" i="142" s="1"/>
  <c r="AA14" i="124"/>
  <c r="X181" i="142" s="1"/>
  <c r="Z15" i="124"/>
  <c r="O182" i="142" s="1"/>
  <c r="AA15" i="124"/>
  <c r="X182" i="142" s="1"/>
  <c r="Z16" i="124"/>
  <c r="O183" i="142" s="1"/>
  <c r="AA16" i="124"/>
  <c r="X183" i="142" s="1"/>
  <c r="Z17" i="124"/>
  <c r="O184" i="142" s="1"/>
  <c r="AA17" i="124"/>
  <c r="X184" i="142" s="1"/>
  <c r="Z18" i="124"/>
  <c r="O185" i="142" s="1"/>
  <c r="AA18" i="124"/>
  <c r="X185" i="142" s="1"/>
  <c r="Z19" i="124"/>
  <c r="O186" i="142" s="1"/>
  <c r="AA19" i="124"/>
  <c r="X186" i="142" s="1"/>
  <c r="Z20" i="124"/>
  <c r="O187" i="142" s="1"/>
  <c r="AA20" i="124"/>
  <c r="X187" i="142" s="1"/>
  <c r="Z21" i="124"/>
  <c r="O188" i="142" s="1"/>
  <c r="AA21" i="124"/>
  <c r="X188" i="142" s="1"/>
  <c r="Z22" i="124"/>
  <c r="O189" i="142" s="1"/>
  <c r="AA22" i="124"/>
  <c r="X189" i="142" s="1"/>
  <c r="Z23" i="124"/>
  <c r="O190" i="142" s="1"/>
  <c r="AA23" i="124"/>
  <c r="X190" i="142" s="1"/>
  <c r="Z24" i="124"/>
  <c r="O191" i="142" s="1"/>
  <c r="AA24" i="124"/>
  <c r="X191" i="142" s="1"/>
  <c r="AA11" i="124"/>
  <c r="X178" i="142" s="1"/>
  <c r="Z11" i="124"/>
  <c r="N10" i="124"/>
  <c r="N177" i="142" s="1"/>
  <c r="O10" i="124"/>
  <c r="W177" i="142" s="1"/>
  <c r="N12" i="124"/>
  <c r="N179" i="142" s="1"/>
  <c r="O12" i="124"/>
  <c r="W179" i="142" s="1"/>
  <c r="N13" i="124"/>
  <c r="N180" i="142" s="1"/>
  <c r="O13" i="124"/>
  <c r="W180" i="142" s="1"/>
  <c r="N14" i="124"/>
  <c r="N181" i="142" s="1"/>
  <c r="O14" i="124"/>
  <c r="W181" i="142" s="1"/>
  <c r="N15" i="124"/>
  <c r="N182" i="142" s="1"/>
  <c r="O15" i="124"/>
  <c r="W182" i="142" s="1"/>
  <c r="N16" i="124"/>
  <c r="N183" i="142" s="1"/>
  <c r="O16" i="124"/>
  <c r="W183" i="142" s="1"/>
  <c r="N17" i="124"/>
  <c r="N184" i="142" s="1"/>
  <c r="O17" i="124"/>
  <c r="W184" i="142" s="1"/>
  <c r="N18" i="124"/>
  <c r="N185" i="142" s="1"/>
  <c r="O18" i="124"/>
  <c r="W185" i="142" s="1"/>
  <c r="N19" i="124"/>
  <c r="N186" i="142" s="1"/>
  <c r="O19" i="124"/>
  <c r="W186" i="142" s="1"/>
  <c r="N20" i="124"/>
  <c r="N187" i="142" s="1"/>
  <c r="O20" i="124"/>
  <c r="W187" i="142" s="1"/>
  <c r="N21" i="124"/>
  <c r="N188" i="142" s="1"/>
  <c r="O21" i="124"/>
  <c r="W188" i="142" s="1"/>
  <c r="N22" i="124"/>
  <c r="N189" i="142" s="1"/>
  <c r="O22" i="124"/>
  <c r="W189" i="142" s="1"/>
  <c r="N23" i="124"/>
  <c r="N190" i="142" s="1"/>
  <c r="O23" i="124"/>
  <c r="W190" i="142" s="1"/>
  <c r="N24" i="124"/>
  <c r="N191" i="142" s="1"/>
  <c r="O24" i="124"/>
  <c r="W191" i="142" s="1"/>
  <c r="O11" i="124"/>
  <c r="W178" i="142" s="1"/>
  <c r="N11" i="124"/>
  <c r="AF11" i="123"/>
  <c r="O140" i="142" s="1"/>
  <c r="AG11" i="123"/>
  <c r="X140" i="142" s="1"/>
  <c r="AF12" i="123"/>
  <c r="O141" i="142" s="1"/>
  <c r="AG12" i="123"/>
  <c r="X141" i="142" s="1"/>
  <c r="AF13" i="123"/>
  <c r="O142" i="142" s="1"/>
  <c r="AG13" i="123"/>
  <c r="X142" i="142" s="1"/>
  <c r="AF14" i="123"/>
  <c r="O143" i="142" s="1"/>
  <c r="AG14" i="123"/>
  <c r="X143" i="142" s="1"/>
  <c r="AF15" i="123"/>
  <c r="O144" i="142" s="1"/>
  <c r="AG15" i="123"/>
  <c r="X144" i="142" s="1"/>
  <c r="AF16" i="123"/>
  <c r="O145" i="142" s="1"/>
  <c r="AG16" i="123"/>
  <c r="X145" i="142" s="1"/>
  <c r="AF17" i="123"/>
  <c r="O146" i="142" s="1"/>
  <c r="AG17" i="123"/>
  <c r="X146" i="142" s="1"/>
  <c r="AF18" i="123"/>
  <c r="O147" i="142" s="1"/>
  <c r="AG18" i="123"/>
  <c r="X147" i="142" s="1"/>
  <c r="AF19" i="123"/>
  <c r="O148" i="142" s="1"/>
  <c r="AG19" i="123"/>
  <c r="X148" i="142" s="1"/>
  <c r="AF20" i="123"/>
  <c r="O149" i="142" s="1"/>
  <c r="AG20" i="123"/>
  <c r="X149" i="142" s="1"/>
  <c r="AF21" i="123"/>
  <c r="O150" i="142" s="1"/>
  <c r="AG21" i="123"/>
  <c r="X150" i="142" s="1"/>
  <c r="AF22" i="123"/>
  <c r="O151" i="142" s="1"/>
  <c r="AG22" i="123"/>
  <c r="X151" i="142" s="1"/>
  <c r="AF23" i="123"/>
  <c r="O152" i="142" s="1"/>
  <c r="AG23" i="123"/>
  <c r="X152" i="142" s="1"/>
  <c r="AF24" i="123"/>
  <c r="O153" i="142" s="1"/>
  <c r="AG24" i="123"/>
  <c r="X153" i="142" s="1"/>
  <c r="AF25" i="123"/>
  <c r="O154" i="142" s="1"/>
  <c r="AG25" i="123"/>
  <c r="X154" i="142" s="1"/>
  <c r="AF26" i="123"/>
  <c r="O155" i="142" s="1"/>
  <c r="AG26" i="123"/>
  <c r="X155" i="142" s="1"/>
  <c r="AF27" i="123"/>
  <c r="O156" i="142" s="1"/>
  <c r="AG27" i="123"/>
  <c r="X156" i="142" s="1"/>
  <c r="AF28" i="123"/>
  <c r="O157" i="142" s="1"/>
  <c r="AG28" i="123"/>
  <c r="X157" i="142" s="1"/>
  <c r="AF29" i="123"/>
  <c r="O158" i="142" s="1"/>
  <c r="AG29" i="123"/>
  <c r="X158" i="142" s="1"/>
  <c r="O159" i="142"/>
  <c r="X159" i="142"/>
  <c r="AG10" i="123"/>
  <c r="X139" i="142" s="1"/>
  <c r="AF10" i="123"/>
  <c r="O139" i="142" s="1"/>
  <c r="T11" i="123"/>
  <c r="N140" i="142" s="1"/>
  <c r="U11" i="123"/>
  <c r="W140" i="142" s="1"/>
  <c r="T12" i="123"/>
  <c r="N141" i="142" s="1"/>
  <c r="U12" i="123"/>
  <c r="W141" i="142" s="1"/>
  <c r="T13" i="123"/>
  <c r="N142" i="142" s="1"/>
  <c r="U13" i="123"/>
  <c r="W142" i="142" s="1"/>
  <c r="T14" i="123"/>
  <c r="N143" i="142" s="1"/>
  <c r="U14" i="123"/>
  <c r="W143" i="142" s="1"/>
  <c r="T15" i="123"/>
  <c r="N144" i="142" s="1"/>
  <c r="U15" i="123"/>
  <c r="W144" i="142" s="1"/>
  <c r="T16" i="123"/>
  <c r="N145" i="142" s="1"/>
  <c r="U16" i="123"/>
  <c r="W145" i="142" s="1"/>
  <c r="T17" i="123"/>
  <c r="N146" i="142" s="1"/>
  <c r="U17" i="123"/>
  <c r="W146" i="142" s="1"/>
  <c r="T18" i="123"/>
  <c r="N147" i="142" s="1"/>
  <c r="U18" i="123"/>
  <c r="W147" i="142" s="1"/>
  <c r="T19" i="123"/>
  <c r="N148" i="142" s="1"/>
  <c r="U19" i="123"/>
  <c r="W148" i="142" s="1"/>
  <c r="T20" i="123"/>
  <c r="N149" i="142" s="1"/>
  <c r="U20" i="123"/>
  <c r="W149" i="142" s="1"/>
  <c r="T21" i="123"/>
  <c r="N150" i="142" s="1"/>
  <c r="U21" i="123"/>
  <c r="W150" i="142" s="1"/>
  <c r="T22" i="123"/>
  <c r="N151" i="142" s="1"/>
  <c r="U22" i="123"/>
  <c r="W151" i="142" s="1"/>
  <c r="T23" i="123"/>
  <c r="N152" i="142" s="1"/>
  <c r="U23" i="123"/>
  <c r="W152" i="142" s="1"/>
  <c r="T24" i="123"/>
  <c r="N153" i="142" s="1"/>
  <c r="U24" i="123"/>
  <c r="W153" i="142" s="1"/>
  <c r="T25" i="123"/>
  <c r="N154" i="142" s="1"/>
  <c r="U25" i="123"/>
  <c r="W154" i="142" s="1"/>
  <c r="T26" i="123"/>
  <c r="N155" i="142" s="1"/>
  <c r="U26" i="123"/>
  <c r="W155" i="142" s="1"/>
  <c r="T27" i="123"/>
  <c r="N156" i="142" s="1"/>
  <c r="U27" i="123"/>
  <c r="W156" i="142" s="1"/>
  <c r="T28" i="123"/>
  <c r="N157" i="142" s="1"/>
  <c r="U28" i="123"/>
  <c r="W157" i="142" s="1"/>
  <c r="T29" i="123"/>
  <c r="N158" i="142" s="1"/>
  <c r="U29" i="123"/>
  <c r="W158" i="142" s="1"/>
  <c r="N159" i="142"/>
  <c r="W159" i="142"/>
  <c r="U10" i="123"/>
  <c r="W139" i="142" s="1"/>
  <c r="T10" i="123"/>
  <c r="N139" i="142" s="1"/>
  <c r="AG11" i="122"/>
  <c r="AH11" i="122"/>
  <c r="X110" i="142" s="1"/>
  <c r="AG13" i="122"/>
  <c r="O112" i="142" s="1"/>
  <c r="AH13" i="122"/>
  <c r="X112" i="142" s="1"/>
  <c r="AG14" i="122"/>
  <c r="O113" i="142" s="1"/>
  <c r="AH14" i="122"/>
  <c r="X113" i="142" s="1"/>
  <c r="AG15" i="122"/>
  <c r="O114" i="142" s="1"/>
  <c r="AH15" i="122"/>
  <c r="X114" i="142" s="1"/>
  <c r="AG16" i="122"/>
  <c r="O115" i="142" s="1"/>
  <c r="AH16" i="122"/>
  <c r="X115" i="142" s="1"/>
  <c r="AG17" i="122"/>
  <c r="O116" i="142" s="1"/>
  <c r="AH17" i="122"/>
  <c r="X116" i="142" s="1"/>
  <c r="AG18" i="122"/>
  <c r="O117" i="142" s="1"/>
  <c r="AH18" i="122"/>
  <c r="X117" i="142" s="1"/>
  <c r="AG19" i="122"/>
  <c r="O118" i="142" s="1"/>
  <c r="AH19" i="122"/>
  <c r="X118" i="142" s="1"/>
  <c r="AG20" i="122"/>
  <c r="AH20" i="122"/>
  <c r="AG21" i="122"/>
  <c r="O120" i="142" s="1"/>
  <c r="AH21" i="122"/>
  <c r="X120" i="142" s="1"/>
  <c r="AG22" i="122"/>
  <c r="O121" i="142" s="1"/>
  <c r="AH22" i="122"/>
  <c r="X121" i="142" s="1"/>
  <c r="AG23" i="122"/>
  <c r="O122" i="142" s="1"/>
  <c r="AH23" i="122"/>
  <c r="X122" i="142" s="1"/>
  <c r="AG24" i="122"/>
  <c r="O123" i="142" s="1"/>
  <c r="AH24" i="122"/>
  <c r="X123" i="142" s="1"/>
  <c r="AG25" i="122"/>
  <c r="O124" i="142" s="1"/>
  <c r="AH25" i="122"/>
  <c r="X124" i="142" s="1"/>
  <c r="AG26" i="122"/>
  <c r="O125" i="142" s="1"/>
  <c r="AH26" i="122"/>
  <c r="X125" i="142" s="1"/>
  <c r="AG27" i="122"/>
  <c r="O126" i="142" s="1"/>
  <c r="AH27" i="122"/>
  <c r="X126" i="142" s="1"/>
  <c r="AG28" i="122"/>
  <c r="O127" i="142" s="1"/>
  <c r="AH28" i="122"/>
  <c r="X127" i="142" s="1"/>
  <c r="AG29" i="122"/>
  <c r="O128" i="142" s="1"/>
  <c r="AH29" i="122"/>
  <c r="X128" i="142" s="1"/>
  <c r="AG30" i="122"/>
  <c r="O129" i="142" s="1"/>
  <c r="AH30" i="122"/>
  <c r="X129" i="142" s="1"/>
  <c r="AG31" i="122"/>
  <c r="O130" i="142" s="1"/>
  <c r="AH31" i="122"/>
  <c r="X130" i="142" s="1"/>
  <c r="AG32" i="122"/>
  <c r="O131" i="142" s="1"/>
  <c r="AH32" i="122"/>
  <c r="X131" i="142" s="1"/>
  <c r="AH10" i="122"/>
  <c r="X109" i="142" s="1"/>
  <c r="AG10" i="122"/>
  <c r="O109" i="142" s="1"/>
  <c r="P11" i="122"/>
  <c r="Q11" i="122"/>
  <c r="W110" i="142" s="1"/>
  <c r="P110" i="142" s="1"/>
  <c r="P13" i="122"/>
  <c r="N112" i="142" s="1"/>
  <c r="Q13" i="122"/>
  <c r="W112" i="142" s="1"/>
  <c r="P14" i="122"/>
  <c r="N113" i="142" s="1"/>
  <c r="Q14" i="122"/>
  <c r="W113" i="142" s="1"/>
  <c r="P15" i="122"/>
  <c r="N114" i="142" s="1"/>
  <c r="Q15" i="122"/>
  <c r="W114" i="142" s="1"/>
  <c r="P16" i="122"/>
  <c r="N115" i="142" s="1"/>
  <c r="Q16" i="122"/>
  <c r="W115" i="142" s="1"/>
  <c r="P17" i="122"/>
  <c r="N116" i="142" s="1"/>
  <c r="Q17" i="122"/>
  <c r="W116" i="142" s="1"/>
  <c r="P18" i="122"/>
  <c r="N117" i="142" s="1"/>
  <c r="Q18" i="122"/>
  <c r="W117" i="142" s="1"/>
  <c r="N118" i="142"/>
  <c r="W118" i="142"/>
  <c r="P20" i="122"/>
  <c r="Q20" i="122"/>
  <c r="P21" i="122"/>
  <c r="N120" i="142" s="1"/>
  <c r="Q21" i="122"/>
  <c r="W120" i="142" s="1"/>
  <c r="P22" i="122"/>
  <c r="N121" i="142" s="1"/>
  <c r="Q22" i="122"/>
  <c r="W121" i="142" s="1"/>
  <c r="P23" i="122"/>
  <c r="N122" i="142" s="1"/>
  <c r="Q23" i="122"/>
  <c r="W122" i="142" s="1"/>
  <c r="P24" i="122"/>
  <c r="N123" i="142" s="1"/>
  <c r="Q24" i="122"/>
  <c r="W123" i="142" s="1"/>
  <c r="P25" i="122"/>
  <c r="N124" i="142" s="1"/>
  <c r="Q25" i="122"/>
  <c r="W124" i="142" s="1"/>
  <c r="P26" i="122"/>
  <c r="N125" i="142" s="1"/>
  <c r="Q26" i="122"/>
  <c r="W125" i="142" s="1"/>
  <c r="P27" i="122"/>
  <c r="N126" i="142" s="1"/>
  <c r="Q27" i="122"/>
  <c r="W126" i="142" s="1"/>
  <c r="P28" i="122"/>
  <c r="N127" i="142" s="1"/>
  <c r="Q28" i="122"/>
  <c r="W127" i="142" s="1"/>
  <c r="P29" i="122"/>
  <c r="N128" i="142" s="1"/>
  <c r="Q29" i="122"/>
  <c r="W128" i="142" s="1"/>
  <c r="P30" i="122"/>
  <c r="N129" i="142" s="1"/>
  <c r="Q30" i="122"/>
  <c r="W129" i="142" s="1"/>
  <c r="P31" i="122"/>
  <c r="N130" i="142" s="1"/>
  <c r="Q31" i="122"/>
  <c r="W130" i="142" s="1"/>
  <c r="P32" i="122"/>
  <c r="N131" i="142" s="1"/>
  <c r="Q32" i="122"/>
  <c r="W131" i="142" s="1"/>
  <c r="Q131" i="142" s="1"/>
  <c r="Q10" i="122"/>
  <c r="W109" i="142" s="1"/>
  <c r="P109" i="142" s="1"/>
  <c r="P10" i="122"/>
  <c r="N109" i="142" s="1"/>
  <c r="V11" i="121"/>
  <c r="W11" i="121"/>
  <c r="O106" i="142"/>
  <c r="W10" i="121"/>
  <c r="X103" i="142" s="1"/>
  <c r="V10" i="121"/>
  <c r="O103" i="142" s="1"/>
  <c r="M11" i="121"/>
  <c r="W106" i="142"/>
  <c r="M10" i="121"/>
  <c r="L11" i="121"/>
  <c r="N106" i="142"/>
  <c r="L10" i="121"/>
  <c r="N103" i="142" s="1"/>
  <c r="Z17" i="120"/>
  <c r="O100" i="142" s="1"/>
  <c r="AA17" i="120"/>
  <c r="X100" i="142" s="1"/>
  <c r="Z15" i="120"/>
  <c r="O98" i="142" s="1"/>
  <c r="AA15" i="120"/>
  <c r="X98" i="142" s="1"/>
  <c r="Z16" i="120"/>
  <c r="AA16" i="120"/>
  <c r="AA10" i="120"/>
  <c r="X93" i="142" s="1"/>
  <c r="Z10" i="120"/>
  <c r="N12" i="120"/>
  <c r="N95" i="142" s="1"/>
  <c r="O12" i="120"/>
  <c r="W95" i="142" s="1"/>
  <c r="N13" i="120"/>
  <c r="N96" i="142" s="1"/>
  <c r="O13" i="120"/>
  <c r="W96" i="142" s="1"/>
  <c r="N14" i="120"/>
  <c r="N97" i="142" s="1"/>
  <c r="O14" i="120"/>
  <c r="W97" i="142" s="1"/>
  <c r="N15" i="120"/>
  <c r="N98" i="142" s="1"/>
  <c r="O15" i="120"/>
  <c r="W98" i="142" s="1"/>
  <c r="N16" i="120"/>
  <c r="O16" i="120"/>
  <c r="N17" i="120"/>
  <c r="N100" i="142" s="1"/>
  <c r="O17" i="120"/>
  <c r="W100" i="142" s="1"/>
  <c r="O10" i="120"/>
  <c r="W93" i="142" s="1"/>
  <c r="P93" i="142" s="1"/>
  <c r="N10" i="120"/>
  <c r="AD11" i="119"/>
  <c r="O76" i="142" s="1"/>
  <c r="AE11" i="119"/>
  <c r="X76" i="142" s="1"/>
  <c r="AD12" i="119"/>
  <c r="O77" i="142" s="1"/>
  <c r="AE12" i="119"/>
  <c r="X77" i="142" s="1"/>
  <c r="AD13" i="119"/>
  <c r="O78" i="142" s="1"/>
  <c r="AE13" i="119"/>
  <c r="X78" i="142" s="1"/>
  <c r="AD14" i="119"/>
  <c r="O79" i="142" s="1"/>
  <c r="AE14" i="119"/>
  <c r="X79" i="142" s="1"/>
  <c r="AD15" i="119"/>
  <c r="O80" i="142" s="1"/>
  <c r="AE15" i="119"/>
  <c r="X80" i="142" s="1"/>
  <c r="AD16" i="119"/>
  <c r="O81" i="142" s="1"/>
  <c r="AE16" i="119"/>
  <c r="X81" i="142" s="1"/>
  <c r="AD17" i="119"/>
  <c r="AE17" i="119"/>
  <c r="AD18" i="119"/>
  <c r="O83" i="142" s="1"/>
  <c r="AE18" i="119"/>
  <c r="X83" i="142" s="1"/>
  <c r="AD19" i="119"/>
  <c r="O84" i="142" s="1"/>
  <c r="AE19" i="119"/>
  <c r="X84" i="142" s="1"/>
  <c r="AD20" i="119"/>
  <c r="O85" i="142" s="1"/>
  <c r="AE20" i="119"/>
  <c r="X85" i="142" s="1"/>
  <c r="AD21" i="119"/>
  <c r="O86" i="142" s="1"/>
  <c r="AE21" i="119"/>
  <c r="X86" i="142" s="1"/>
  <c r="AE10" i="119"/>
  <c r="X75" i="142" s="1"/>
  <c r="AD10" i="119"/>
  <c r="O75" i="142" s="1"/>
  <c r="P11" i="119"/>
  <c r="N76" i="142" s="1"/>
  <c r="Q11" i="119"/>
  <c r="W76" i="142" s="1"/>
  <c r="N77" i="142"/>
  <c r="W77" i="142"/>
  <c r="N78" i="142"/>
  <c r="W78" i="142"/>
  <c r="P14" i="119"/>
  <c r="N79" i="142" s="1"/>
  <c r="Q14" i="119"/>
  <c r="W79" i="142" s="1"/>
  <c r="P15" i="119"/>
  <c r="N80" i="142" s="1"/>
  <c r="Q15" i="119"/>
  <c r="W80" i="142" s="1"/>
  <c r="P16" i="119"/>
  <c r="N81" i="142" s="1"/>
  <c r="Q16" i="119"/>
  <c r="W81" i="142" s="1"/>
  <c r="P17" i="119"/>
  <c r="Q17" i="119"/>
  <c r="N83" i="142"/>
  <c r="Q18" i="119"/>
  <c r="W83" i="142" s="1"/>
  <c r="P19" i="119"/>
  <c r="N84" i="142" s="1"/>
  <c r="Q19" i="119"/>
  <c r="W84" i="142" s="1"/>
  <c r="P20" i="119"/>
  <c r="N85" i="142" s="1"/>
  <c r="Q20" i="119"/>
  <c r="W85" i="142" s="1"/>
  <c r="P21" i="119"/>
  <c r="N86" i="142" s="1"/>
  <c r="Q21" i="119"/>
  <c r="W86" i="142" s="1"/>
  <c r="Q10" i="119"/>
  <c r="W75" i="142" s="1"/>
  <c r="P75" i="142" s="1"/>
  <c r="N75" i="142"/>
  <c r="AE12" i="140"/>
  <c r="AE15" i="140"/>
  <c r="X50" i="142" s="1"/>
  <c r="AE18" i="140"/>
  <c r="X53" i="142" s="1"/>
  <c r="AE22" i="140"/>
  <c r="AE24" i="140"/>
  <c r="X59" i="142" s="1"/>
  <c r="AE27" i="140"/>
  <c r="X62" i="142" s="1"/>
  <c r="AE30" i="140"/>
  <c r="X65" i="142" s="1"/>
  <c r="AE36" i="140"/>
  <c r="X71" i="142" s="1"/>
  <c r="AD13" i="140"/>
  <c r="O48" i="142" s="1"/>
  <c r="AD15" i="140"/>
  <c r="O50" i="142" s="1"/>
  <c r="AD18" i="140"/>
  <c r="O53" i="142" s="1"/>
  <c r="AD22" i="140"/>
  <c r="AD24" i="140"/>
  <c r="O59" i="142" s="1"/>
  <c r="AD29" i="140"/>
  <c r="O64" i="142" s="1"/>
  <c r="AD33" i="140"/>
  <c r="O68" i="142" s="1"/>
  <c r="Q20" i="140"/>
  <c r="W55" i="142" s="1"/>
  <c r="Q22" i="140"/>
  <c r="Q27" i="140"/>
  <c r="W62" i="142" s="1"/>
  <c r="P22" i="140"/>
  <c r="P31" i="140"/>
  <c r="N66" i="142" s="1"/>
  <c r="AA11" i="117"/>
  <c r="X15" i="142" s="1"/>
  <c r="AA12" i="117"/>
  <c r="X16" i="142" s="1"/>
  <c r="AA13" i="117"/>
  <c r="X17" i="142" s="1"/>
  <c r="AA14" i="117"/>
  <c r="X18" i="142" s="1"/>
  <c r="AA15" i="117"/>
  <c r="AA16" i="117"/>
  <c r="X20" i="142" s="1"/>
  <c r="AA17" i="117"/>
  <c r="X21" i="142" s="1"/>
  <c r="Z11" i="117"/>
  <c r="O15" i="142" s="1"/>
  <c r="Z12" i="117"/>
  <c r="O16" i="142" s="1"/>
  <c r="Z13" i="117"/>
  <c r="O17" i="142" s="1"/>
  <c r="Z14" i="117"/>
  <c r="O18" i="142" s="1"/>
  <c r="Z15" i="117"/>
  <c r="Z16" i="117"/>
  <c r="O20" i="142" s="1"/>
  <c r="Z17" i="117"/>
  <c r="O21" i="142" s="1"/>
  <c r="AA10" i="117"/>
  <c r="X14" i="142" s="1"/>
  <c r="Z10" i="117"/>
  <c r="O14" i="142" s="1"/>
  <c r="O11" i="117"/>
  <c r="W15" i="142" s="1"/>
  <c r="P15" i="142" s="1"/>
  <c r="O12" i="117"/>
  <c r="W16" i="142" s="1"/>
  <c r="P16" i="142" s="1"/>
  <c r="O13" i="117"/>
  <c r="W17" i="142" s="1"/>
  <c r="O14" i="117"/>
  <c r="W18" i="142" s="1"/>
  <c r="O15" i="117"/>
  <c r="O16" i="117"/>
  <c r="W20" i="142" s="1"/>
  <c r="Q20" i="142" s="1"/>
  <c r="O17" i="117"/>
  <c r="W21" i="142" s="1"/>
  <c r="N15" i="117"/>
  <c r="N16" i="117"/>
  <c r="N20" i="142" s="1"/>
  <c r="N17" i="117"/>
  <c r="N21" i="142" s="1"/>
  <c r="N11" i="117"/>
  <c r="N15" i="142" s="1"/>
  <c r="N12" i="117"/>
  <c r="N16" i="142" s="1"/>
  <c r="N13" i="117"/>
  <c r="N17" i="142" s="1"/>
  <c r="N14" i="117"/>
  <c r="N18" i="142" s="1"/>
  <c r="O10" i="117"/>
  <c r="W14" i="142" s="1"/>
  <c r="N10" i="117"/>
  <c r="N14" i="142" s="1"/>
  <c r="N16" i="121"/>
  <c r="U38" i="129"/>
  <c r="V38" i="129"/>
  <c r="W38" i="129"/>
  <c r="V26" i="119"/>
  <c r="T20" i="117"/>
  <c r="U20" i="117"/>
  <c r="V20" i="117"/>
  <c r="W20" i="117"/>
  <c r="X20" i="117"/>
  <c r="Y20" i="117"/>
  <c r="H20" i="117"/>
  <c r="I20" i="117"/>
  <c r="J20" i="117"/>
  <c r="K20" i="117"/>
  <c r="L20" i="117"/>
  <c r="M20" i="117"/>
  <c r="S10" i="141"/>
  <c r="K10" i="141"/>
  <c r="H25" i="124"/>
  <c r="I25" i="124"/>
  <c r="J25" i="124"/>
  <c r="K25" i="124"/>
  <c r="G25" i="124"/>
  <c r="R25" i="124"/>
  <c r="S25" i="124"/>
  <c r="T25" i="124"/>
  <c r="U25" i="124"/>
  <c r="V25" i="124"/>
  <c r="W25" i="124"/>
  <c r="X25" i="124"/>
  <c r="Y25" i="124"/>
  <c r="W31" i="123"/>
  <c r="X31" i="123"/>
  <c r="Y31" i="123"/>
  <c r="Z31" i="123"/>
  <c r="AA31" i="123"/>
  <c r="AB31" i="123"/>
  <c r="AC31" i="123"/>
  <c r="AD31" i="123"/>
  <c r="AE31" i="123"/>
  <c r="E31" i="123"/>
  <c r="F31" i="123"/>
  <c r="G31" i="123"/>
  <c r="H31" i="123"/>
  <c r="I31" i="123"/>
  <c r="J31" i="123"/>
  <c r="K31" i="123"/>
  <c r="L31" i="123"/>
  <c r="M31" i="123"/>
  <c r="V31" i="123"/>
  <c r="I31" i="128"/>
  <c r="J31" i="128"/>
  <c r="K31" i="128"/>
  <c r="D31" i="123"/>
  <c r="Q25" i="124"/>
  <c r="P25" i="124"/>
  <c r="E25" i="124"/>
  <c r="F25" i="124"/>
  <c r="L25" i="124"/>
  <c r="M25" i="124"/>
  <c r="D25" i="124"/>
  <c r="Q20" i="117"/>
  <c r="R20" i="117"/>
  <c r="S20" i="117"/>
  <c r="P20" i="117"/>
  <c r="E20" i="117"/>
  <c r="F20" i="117"/>
  <c r="G20" i="117"/>
  <c r="D20" i="117"/>
  <c r="S26" i="119"/>
  <c r="T26" i="119"/>
  <c r="U26" i="119"/>
  <c r="R26" i="119"/>
  <c r="Q28" i="133"/>
  <c r="R28" i="133"/>
  <c r="S28" i="133"/>
  <c r="T28" i="133"/>
  <c r="U28" i="133"/>
  <c r="P28" i="133"/>
  <c r="E28" i="133"/>
  <c r="F28" i="133"/>
  <c r="G28" i="133"/>
  <c r="H28" i="133"/>
  <c r="I28" i="133"/>
  <c r="D28" i="133"/>
  <c r="O19" i="132"/>
  <c r="N19" i="132"/>
  <c r="E19" i="132"/>
  <c r="F19" i="132"/>
  <c r="D19" i="132"/>
  <c r="L40" i="130"/>
  <c r="M40" i="130"/>
  <c r="N40" i="130"/>
  <c r="O40" i="130"/>
  <c r="S38" i="129"/>
  <c r="T38" i="129"/>
  <c r="X38" i="129"/>
  <c r="Y38" i="129"/>
  <c r="R38" i="129"/>
  <c r="Q38" i="125"/>
  <c r="R38" i="125"/>
  <c r="S38" i="125"/>
  <c r="T38" i="125"/>
  <c r="U38" i="125"/>
  <c r="V38" i="125"/>
  <c r="W38" i="125"/>
  <c r="X38" i="125"/>
  <c r="Y38" i="125"/>
  <c r="P38" i="125"/>
  <c r="E38" i="125"/>
  <c r="F38" i="125"/>
  <c r="G38" i="125"/>
  <c r="H38" i="125"/>
  <c r="I38" i="125"/>
  <c r="J38" i="125"/>
  <c r="K38" i="125"/>
  <c r="L38" i="125"/>
  <c r="M38" i="125"/>
  <c r="D38" i="125"/>
  <c r="J10" i="141"/>
  <c r="R10" i="141"/>
  <c r="J11" i="141"/>
  <c r="R11" i="141"/>
  <c r="N21" i="132"/>
  <c r="P30" i="133" s="1"/>
  <c r="P15" i="134" s="1"/>
  <c r="Q20" i="136" s="1"/>
  <c r="U23" i="135" s="1"/>
  <c r="P16" i="138" s="1"/>
  <c r="N14" i="137" s="1"/>
  <c r="R20" i="139" s="1"/>
  <c r="N14" i="141" s="1"/>
  <c r="N24" i="131"/>
  <c r="T42" i="130"/>
  <c r="T40" i="129"/>
  <c r="T33" i="128"/>
  <c r="R40" i="125"/>
  <c r="V27" i="124"/>
  <c r="X33" i="123"/>
  <c r="A5" i="122"/>
  <c r="AK10" i="122"/>
  <c r="AL10" i="122"/>
  <c r="AK11" i="122"/>
  <c r="AL11" i="122"/>
  <c r="AK13" i="122"/>
  <c r="AL13" i="122"/>
  <c r="AK14" i="122"/>
  <c r="AL14" i="122"/>
  <c r="AK15" i="122"/>
  <c r="AL15" i="122"/>
  <c r="AK16" i="122"/>
  <c r="AL16" i="122"/>
  <c r="AK17" i="122"/>
  <c r="AL17" i="122"/>
  <c r="AK18" i="122"/>
  <c r="AL18" i="122"/>
  <c r="AK19" i="122"/>
  <c r="AL19" i="122"/>
  <c r="AK21" i="122"/>
  <c r="AL21" i="122"/>
  <c r="AK22" i="122"/>
  <c r="AL22" i="122"/>
  <c r="AK23" i="122"/>
  <c r="AL23" i="122"/>
  <c r="AK24" i="122"/>
  <c r="AL24" i="122"/>
  <c r="AK25" i="122"/>
  <c r="AL25" i="122"/>
  <c r="AK26" i="122"/>
  <c r="AL26" i="122"/>
  <c r="AK27" i="122"/>
  <c r="AL27" i="122"/>
  <c r="AK28" i="122"/>
  <c r="AL28" i="122"/>
  <c r="AK29" i="122"/>
  <c r="AL29" i="122"/>
  <c r="AK30" i="122"/>
  <c r="AL30" i="122"/>
  <c r="AK32" i="122"/>
  <c r="AL32" i="122"/>
  <c r="AK33" i="122"/>
  <c r="AL33" i="122"/>
  <c r="AK35" i="122"/>
  <c r="AL35" i="122"/>
  <c r="A5" i="121"/>
  <c r="A5" i="120"/>
  <c r="P20" i="120"/>
  <c r="A5" i="140"/>
  <c r="A5" i="119" s="1"/>
  <c r="A11" i="140"/>
  <c r="A12" i="140" s="1"/>
  <c r="A13" i="140" s="1"/>
  <c r="A14" i="140" s="1"/>
  <c r="A15" i="140" s="1"/>
  <c r="A16" i="140" s="1"/>
  <c r="A17" i="140" s="1"/>
  <c r="A18" i="140" s="1"/>
  <c r="A19" i="140" s="1"/>
  <c r="A20" i="140" s="1"/>
  <c r="A5" i="118"/>
  <c r="AB29" i="118"/>
  <c r="T41" i="140" s="1"/>
  <c r="T40" i="122" s="1"/>
  <c r="AD31" i="140"/>
  <c r="O66" i="142" s="1"/>
  <c r="AD17" i="140"/>
  <c r="O52" i="142" s="1"/>
  <c r="AE10" i="140"/>
  <c r="X45" i="142" s="1"/>
  <c r="AD25" i="140"/>
  <c r="O60" i="142" s="1"/>
  <c r="AD23" i="140"/>
  <c r="O58" i="142" s="1"/>
  <c r="AD16" i="140"/>
  <c r="O51" i="142" s="1"/>
  <c r="AE32" i="140"/>
  <c r="X67" i="142" s="1"/>
  <c r="AE28" i="140"/>
  <c r="X63" i="142" s="1"/>
  <c r="AD20" i="140"/>
  <c r="O55" i="142" s="1"/>
  <c r="AE14" i="140"/>
  <c r="X49" i="142" s="1"/>
  <c r="AD19" i="140"/>
  <c r="O54" i="142" s="1"/>
  <c r="AD11" i="140"/>
  <c r="O46" i="142" s="1"/>
  <c r="Q10" i="140"/>
  <c r="W45" i="142" s="1"/>
  <c r="P10" i="140"/>
  <c r="N45" i="142" s="1"/>
  <c r="Q11" i="140"/>
  <c r="W46" i="142" s="1"/>
  <c r="P11" i="140"/>
  <c r="N46" i="142" s="1"/>
  <c r="P13" i="140"/>
  <c r="N48" i="142" s="1"/>
  <c r="Q13" i="140"/>
  <c r="W48" i="142" s="1"/>
  <c r="Q14" i="140"/>
  <c r="W49" i="142" s="1"/>
  <c r="P14" i="140"/>
  <c r="N49" i="142" s="1"/>
  <c r="P16" i="140"/>
  <c r="N51" i="142" s="1"/>
  <c r="Q16" i="140"/>
  <c r="W51" i="142" s="1"/>
  <c r="Q18" i="140"/>
  <c r="W53" i="142" s="1"/>
  <c r="P18" i="140"/>
  <c r="N53" i="142" s="1"/>
  <c r="Q19" i="140"/>
  <c r="W54" i="142" s="1"/>
  <c r="P19" i="140"/>
  <c r="N54" i="142" s="1"/>
  <c r="Q23" i="140"/>
  <c r="W58" i="142" s="1"/>
  <c r="P23" i="140"/>
  <c r="N58" i="142" s="1"/>
  <c r="P24" i="140"/>
  <c r="N59" i="142" s="1"/>
  <c r="Q24" i="140"/>
  <c r="W59" i="142" s="1"/>
  <c r="Q26" i="140"/>
  <c r="W61" i="142" s="1"/>
  <c r="P26" i="140"/>
  <c r="N61" i="142" s="1"/>
  <c r="P29" i="140"/>
  <c r="N64" i="142" s="1"/>
  <c r="Q29" i="140"/>
  <c r="W64" i="142" s="1"/>
  <c r="P30" i="140"/>
  <c r="N65" i="142" s="1"/>
  <c r="Q30" i="140"/>
  <c r="W65" i="142" s="1"/>
  <c r="Q32" i="140"/>
  <c r="W67" i="142" s="1"/>
  <c r="P32" i="140"/>
  <c r="N67" i="142" s="1"/>
  <c r="P28" i="140"/>
  <c r="N63" i="142" s="1"/>
  <c r="Q25" i="140"/>
  <c r="W60" i="142" s="1"/>
  <c r="P33" i="140"/>
  <c r="N68" i="142" s="1"/>
  <c r="P15" i="140"/>
  <c r="N50" i="142" s="1"/>
  <c r="Q12" i="140"/>
  <c r="W47" i="142" s="1"/>
  <c r="P36" i="140"/>
  <c r="N71" i="142" s="1"/>
  <c r="Q36" i="140"/>
  <c r="W71" i="142" s="1"/>
  <c r="P37" i="140"/>
  <c r="N72" i="142" s="1"/>
  <c r="P17" i="140"/>
  <c r="N52" i="142" s="1"/>
  <c r="Q34" i="140"/>
  <c r="E367" i="142" l="1"/>
  <c r="E368" i="142" s="1"/>
  <c r="F367" i="142"/>
  <c r="F368" i="142" s="1"/>
  <c r="P195" i="142"/>
  <c r="P224" i="142"/>
  <c r="P248" i="142"/>
  <c r="P178" i="142"/>
  <c r="Q178" i="142" s="1"/>
  <c r="P351" i="142"/>
  <c r="P389" i="142"/>
  <c r="P391" i="142"/>
  <c r="Q391" i="142" s="1"/>
  <c r="P189" i="142"/>
  <c r="Q189" i="142" s="1"/>
  <c r="P187" i="142"/>
  <c r="Q187" i="142" s="1"/>
  <c r="P185" i="142"/>
  <c r="Q185" i="142" s="1"/>
  <c r="P183" i="142"/>
  <c r="Q183" i="142" s="1"/>
  <c r="P181" i="142"/>
  <c r="Q181" i="142" s="1"/>
  <c r="P179" i="142"/>
  <c r="Q179" i="142" s="1"/>
  <c r="Q190" i="142"/>
  <c r="P186" i="142"/>
  <c r="Q186" i="142" s="1"/>
  <c r="P182" i="142"/>
  <c r="Q182" i="142" s="1"/>
  <c r="P180" i="142"/>
  <c r="Q180" i="142" s="1"/>
  <c r="P188" i="142"/>
  <c r="Q188" i="142" s="1"/>
  <c r="P184" i="142"/>
  <c r="Q184" i="142" s="1"/>
  <c r="P129" i="142"/>
  <c r="Q129" i="142" s="1"/>
  <c r="P126" i="142"/>
  <c r="P124" i="142"/>
  <c r="P122" i="142"/>
  <c r="P96" i="142"/>
  <c r="Q96" i="142" s="1"/>
  <c r="P118" i="142"/>
  <c r="Q118" i="142" s="1"/>
  <c r="P116" i="142"/>
  <c r="Q116" i="142" s="1"/>
  <c r="Q394" i="142"/>
  <c r="P369" i="142"/>
  <c r="P115" i="142"/>
  <c r="P113" i="142"/>
  <c r="P58" i="142"/>
  <c r="Q58" i="142" s="1"/>
  <c r="P46" i="142"/>
  <c r="P130" i="142"/>
  <c r="Q130" i="142" s="1"/>
  <c r="P128" i="142"/>
  <c r="P127" i="142"/>
  <c r="Q127" i="142" s="1"/>
  <c r="P125" i="142"/>
  <c r="P123" i="142"/>
  <c r="P121" i="142"/>
  <c r="P117" i="142"/>
  <c r="P371" i="142"/>
  <c r="P114" i="142"/>
  <c r="P112" i="142"/>
  <c r="P219" i="142"/>
  <c r="Q219" i="142" s="1"/>
  <c r="P217" i="142"/>
  <c r="Q217" i="142" s="1"/>
  <c r="P215" i="142"/>
  <c r="Q215" i="142" s="1"/>
  <c r="P213" i="142"/>
  <c r="Q213" i="142" s="1"/>
  <c r="P209" i="142"/>
  <c r="Q209" i="142" s="1"/>
  <c r="P207" i="142"/>
  <c r="Q207" i="142" s="1"/>
  <c r="P205" i="142"/>
  <c r="Q205" i="142" s="1"/>
  <c r="Q203" i="142"/>
  <c r="P201" i="142"/>
  <c r="Q201" i="142" s="1"/>
  <c r="P199" i="142"/>
  <c r="Q199" i="142" s="1"/>
  <c r="P197" i="142"/>
  <c r="Q197" i="142" s="1"/>
  <c r="F40" i="148"/>
  <c r="F42" i="148"/>
  <c r="P363" i="142"/>
  <c r="Q363" i="142" s="1"/>
  <c r="P359" i="142"/>
  <c r="Q359" i="142" s="1"/>
  <c r="P218" i="142"/>
  <c r="Q218" i="142" s="1"/>
  <c r="P216" i="142"/>
  <c r="Q216" i="142" s="1"/>
  <c r="P214" i="142"/>
  <c r="Q214" i="142" s="1"/>
  <c r="P212" i="142"/>
  <c r="Q212" i="142" s="1"/>
  <c r="P210" i="142"/>
  <c r="Q210" i="142" s="1"/>
  <c r="P208" i="142"/>
  <c r="Q208" i="142" s="1"/>
  <c r="P206" i="142"/>
  <c r="Q206" i="142" s="1"/>
  <c r="P204" i="142"/>
  <c r="Q204" i="142" s="1"/>
  <c r="P202" i="142"/>
  <c r="Q202" i="142" s="1"/>
  <c r="Q200" i="142"/>
  <c r="P198" i="142"/>
  <c r="Q198" i="142" s="1"/>
  <c r="P196" i="142"/>
  <c r="Q196" i="142" s="1"/>
  <c r="P362" i="142"/>
  <c r="Q362" i="142" s="1"/>
  <c r="U362" i="142" s="1"/>
  <c r="P358" i="142"/>
  <c r="Q358" i="142" s="1"/>
  <c r="P382" i="142"/>
  <c r="Q382" i="142" s="1"/>
  <c r="P133" i="142"/>
  <c r="Q133" i="142" s="1"/>
  <c r="X395" i="142"/>
  <c r="P395" i="142" s="1"/>
  <c r="X396" i="142"/>
  <c r="O395" i="142"/>
  <c r="O396" i="142"/>
  <c r="P317" i="142"/>
  <c r="AE317" i="142" s="1"/>
  <c r="P315" i="142"/>
  <c r="AE315" i="142" s="1"/>
  <c r="P313" i="142"/>
  <c r="AE313" i="142" s="1"/>
  <c r="P311" i="142"/>
  <c r="AE311" i="142" s="1"/>
  <c r="F20" i="148"/>
  <c r="P88" i="142"/>
  <c r="Q88" i="142" s="1"/>
  <c r="P85" i="142"/>
  <c r="Q85" i="142" s="1"/>
  <c r="P83" i="142"/>
  <c r="Q83" i="142" s="1"/>
  <c r="P81" i="142"/>
  <c r="Q81" i="142" s="1"/>
  <c r="P80" i="142"/>
  <c r="Q80" i="142" s="1"/>
  <c r="P78" i="142"/>
  <c r="Q78" i="142" s="1"/>
  <c r="Q76" i="142"/>
  <c r="F21" i="148" s="1"/>
  <c r="P98" i="142"/>
  <c r="P86" i="142"/>
  <c r="Q86" i="142" s="1"/>
  <c r="P84" i="142"/>
  <c r="Q84" i="142" s="1"/>
  <c r="P36" i="142"/>
  <c r="Q36" i="142" s="1"/>
  <c r="P79" i="142"/>
  <c r="Q79" i="142" s="1"/>
  <c r="P77" i="142"/>
  <c r="Q77" i="142" s="1"/>
  <c r="P97" i="142"/>
  <c r="Q97" i="142" s="1"/>
  <c r="P95" i="142"/>
  <c r="Q95" i="142" s="1"/>
  <c r="P316" i="142"/>
  <c r="AE316" i="142" s="1"/>
  <c r="P314" i="142"/>
  <c r="AE314" i="142" s="1"/>
  <c r="P312" i="142"/>
  <c r="AE312" i="142" s="1"/>
  <c r="P310" i="142"/>
  <c r="AE310" i="142" s="1"/>
  <c r="P87" i="142"/>
  <c r="Q87" i="142" s="1"/>
  <c r="P17" i="142"/>
  <c r="P21" i="142"/>
  <c r="Q21" i="142" s="1"/>
  <c r="P64" i="142"/>
  <c r="P328" i="142"/>
  <c r="Q328" i="142" s="1"/>
  <c r="U328" i="142" s="1"/>
  <c r="P54" i="142"/>
  <c r="Q54" i="142" s="1"/>
  <c r="P191" i="142"/>
  <c r="Q191" i="142" s="1"/>
  <c r="P346" i="142"/>
  <c r="Q346" i="142" s="1"/>
  <c r="P335" i="142"/>
  <c r="Q335" i="142" s="1"/>
  <c r="P343" i="142"/>
  <c r="Q343" i="142" s="1"/>
  <c r="P332" i="142"/>
  <c r="P156" i="142"/>
  <c r="P154" i="142"/>
  <c r="Q154" i="142" s="1"/>
  <c r="P152" i="142"/>
  <c r="Q152" i="142" s="1"/>
  <c r="P150" i="142"/>
  <c r="Q150" i="142" s="1"/>
  <c r="P148" i="142"/>
  <c r="Q148" i="142" s="1"/>
  <c r="P146" i="142"/>
  <c r="Q146" i="142" s="1"/>
  <c r="P144" i="142"/>
  <c r="Q144" i="142" s="1"/>
  <c r="P142" i="142"/>
  <c r="Q142" i="142" s="1"/>
  <c r="U142" i="142" s="1"/>
  <c r="P242" i="142"/>
  <c r="Q242" i="142" s="1"/>
  <c r="P240" i="142"/>
  <c r="P238" i="142"/>
  <c r="Q238" i="142" s="1"/>
  <c r="P236" i="142"/>
  <c r="Q236" i="142" s="1"/>
  <c r="P234" i="142"/>
  <c r="Q234" i="142" s="1"/>
  <c r="P232" i="142"/>
  <c r="Q232" i="142" s="1"/>
  <c r="P230" i="142"/>
  <c r="Q230" i="142" s="1"/>
  <c r="P229" i="142"/>
  <c r="Q229" i="142" s="1"/>
  <c r="Q225" i="142"/>
  <c r="F43" i="148" s="1"/>
  <c r="P226" i="142"/>
  <c r="Q226" i="142" s="1"/>
  <c r="P159" i="142"/>
  <c r="Q159" i="142" s="1"/>
  <c r="P157" i="142"/>
  <c r="Q157" i="142" s="1"/>
  <c r="P155" i="142"/>
  <c r="Q155" i="142" s="1"/>
  <c r="P153" i="142"/>
  <c r="Q153" i="142" s="1"/>
  <c r="P151" i="142"/>
  <c r="Q151" i="142" s="1"/>
  <c r="P149" i="142"/>
  <c r="Q149" i="142" s="1"/>
  <c r="Q147" i="142"/>
  <c r="P145" i="142"/>
  <c r="Q145" i="142" s="1"/>
  <c r="P143" i="142"/>
  <c r="P141" i="142"/>
  <c r="Q141" i="142" s="1"/>
  <c r="P241" i="142"/>
  <c r="Q241" i="142" s="1"/>
  <c r="P239" i="142"/>
  <c r="Q239" i="142" s="1"/>
  <c r="P237" i="142"/>
  <c r="Q237" i="142" s="1"/>
  <c r="P235" i="142"/>
  <c r="Q235" i="142" s="1"/>
  <c r="P233" i="142"/>
  <c r="Q233" i="142" s="1"/>
  <c r="P231" i="142"/>
  <c r="Q231" i="142" s="1"/>
  <c r="Q228" i="142"/>
  <c r="P227" i="142"/>
  <c r="Q227" i="142" s="1"/>
  <c r="P334" i="142"/>
  <c r="P333" i="142"/>
  <c r="Q333" i="142" s="1"/>
  <c r="P345" i="142"/>
  <c r="Q345" i="142" s="1"/>
  <c r="P344" i="142"/>
  <c r="Q344" i="142" s="1"/>
  <c r="P342" i="142"/>
  <c r="Q342" i="142" s="1"/>
  <c r="P380" i="142"/>
  <c r="Q380" i="142" s="1"/>
  <c r="P120" i="142"/>
  <c r="P14" i="142"/>
  <c r="P325" i="142"/>
  <c r="O69" i="142"/>
  <c r="X69" i="142"/>
  <c r="W69" i="142"/>
  <c r="N69" i="142"/>
  <c r="P53" i="142"/>
  <c r="Q53" i="142" s="1"/>
  <c r="P49" i="142"/>
  <c r="P55" i="142"/>
  <c r="Q55" i="142" s="1"/>
  <c r="F68" i="148"/>
  <c r="P18" i="142"/>
  <c r="P52" i="142"/>
  <c r="Q52" i="142" s="1"/>
  <c r="P23" i="142"/>
  <c r="P51" i="142"/>
  <c r="Q51" i="142" s="1"/>
  <c r="P50" i="142"/>
  <c r="Q50" i="142" s="1"/>
  <c r="Q22" i="142"/>
  <c r="P72" i="142"/>
  <c r="F66" i="148"/>
  <c r="P274" i="142"/>
  <c r="Q274" i="142" s="1"/>
  <c r="Q140" i="142"/>
  <c r="F32" i="148" s="1"/>
  <c r="P67" i="142"/>
  <c r="P288" i="142"/>
  <c r="Q288" i="142" s="1"/>
  <c r="P287" i="142"/>
  <c r="Q287" i="142" s="1"/>
  <c r="F28" i="144"/>
  <c r="G28" i="144"/>
  <c r="F6" i="144"/>
  <c r="E14" i="142"/>
  <c r="G6" i="144" s="1"/>
  <c r="H28" i="144"/>
  <c r="I28" i="144"/>
  <c r="P71" i="142"/>
  <c r="P45" i="142"/>
  <c r="Q45" i="142" s="1"/>
  <c r="P62" i="142"/>
  <c r="Q62" i="142" s="1"/>
  <c r="P48" i="142"/>
  <c r="Q48" i="142" s="1"/>
  <c r="P60" i="142"/>
  <c r="Q60" i="142" s="1"/>
  <c r="P304" i="142"/>
  <c r="Q304" i="142" s="1"/>
  <c r="P47" i="142"/>
  <c r="P61" i="142"/>
  <c r="P59" i="142"/>
  <c r="P66" i="142"/>
  <c r="P139" i="142"/>
  <c r="Q139" i="142" s="1"/>
  <c r="F31" i="148" s="1"/>
  <c r="P68" i="142"/>
  <c r="Q68" i="142" s="1"/>
  <c r="U357" i="142"/>
  <c r="P63" i="142"/>
  <c r="Q63" i="142" s="1"/>
  <c r="P370" i="142"/>
  <c r="P361" i="142"/>
  <c r="Q361" i="142" s="1"/>
  <c r="P356" i="142"/>
  <c r="P254" i="142"/>
  <c r="Q254" i="142" s="1"/>
  <c r="U254" i="142" s="1"/>
  <c r="P252" i="142"/>
  <c r="Q252" i="142" s="1"/>
  <c r="P255" i="142"/>
  <c r="Q255" i="142" s="1"/>
  <c r="U255" i="142" s="1"/>
  <c r="P253" i="142"/>
  <c r="Q253" i="142" s="1"/>
  <c r="U253" i="142" s="1"/>
  <c r="P251" i="142"/>
  <c r="Q251" i="142" s="1"/>
  <c r="P299" i="142"/>
  <c r="Q299" i="142" s="1"/>
  <c r="P326" i="142"/>
  <c r="U392" i="142"/>
  <c r="G161" i="142"/>
  <c r="L161" i="142"/>
  <c r="A5" i="123"/>
  <c r="A5" i="124" s="1"/>
  <c r="A5" i="125" s="1"/>
  <c r="A5" i="128" s="1"/>
  <c r="A5" i="129" s="1"/>
  <c r="A5" i="130" s="1"/>
  <c r="A5" i="131" s="1"/>
  <c r="A5" i="146"/>
  <c r="M245" i="142"/>
  <c r="M246" i="142"/>
  <c r="A21" i="140"/>
  <c r="A23" i="140" s="1"/>
  <c r="A24" i="140" s="1"/>
  <c r="P105" i="142"/>
  <c r="Q105" i="142" s="1"/>
  <c r="F13" i="142"/>
  <c r="P266" i="142"/>
  <c r="Q266" i="142" s="1"/>
  <c r="U338" i="142"/>
  <c r="P375" i="142"/>
  <c r="Q177" i="142"/>
  <c r="F36" i="148" s="1"/>
  <c r="U327" i="142"/>
  <c r="P324" i="142"/>
  <c r="AE324" i="142" s="1"/>
  <c r="U169" i="142"/>
  <c r="P322" i="142"/>
  <c r="Q322" i="142" s="1"/>
  <c r="U322" i="142" s="1"/>
  <c r="AE386" i="142"/>
  <c r="F39" i="148"/>
  <c r="P352" i="142"/>
  <c r="U168" i="142"/>
  <c r="P323" i="142"/>
  <c r="Q323" i="142" s="1"/>
  <c r="U323" i="142" s="1"/>
  <c r="Q331" i="142"/>
  <c r="F60" i="148"/>
  <c r="P100" i="142"/>
  <c r="P301" i="142"/>
  <c r="Q301" i="142" s="1"/>
  <c r="P297" i="142"/>
  <c r="Q297" i="142" s="1"/>
  <c r="P295" i="142"/>
  <c r="Q295" i="142" s="1"/>
  <c r="P293" i="142"/>
  <c r="Q293" i="142" s="1"/>
  <c r="P291" i="142"/>
  <c r="Q291" i="142" s="1"/>
  <c r="P289" i="142"/>
  <c r="Q289" i="142" s="1"/>
  <c r="P286" i="142"/>
  <c r="Q286" i="142" s="1"/>
  <c r="Q284" i="142"/>
  <c r="P282" i="142"/>
  <c r="Q282" i="142" s="1"/>
  <c r="P279" i="142"/>
  <c r="F29" i="148"/>
  <c r="P268" i="142"/>
  <c r="P264" i="142"/>
  <c r="P262" i="142"/>
  <c r="P260" i="142"/>
  <c r="AE260" i="142" s="1"/>
  <c r="P258" i="142"/>
  <c r="Q258" i="142" s="1"/>
  <c r="U258" i="142" s="1"/>
  <c r="P256" i="142"/>
  <c r="P250" i="142"/>
  <c r="F46" i="148"/>
  <c r="Q313" i="142"/>
  <c r="P303" i="142"/>
  <c r="Q303" i="142" s="1"/>
  <c r="P300" i="142"/>
  <c r="Q300" i="142" s="1"/>
  <c r="P298" i="142"/>
  <c r="Q298" i="142" s="1"/>
  <c r="P296" i="142"/>
  <c r="Q296" i="142" s="1"/>
  <c r="P294" i="142"/>
  <c r="Q294" i="142" s="1"/>
  <c r="P292" i="142"/>
  <c r="Q292" i="142" s="1"/>
  <c r="P290" i="142"/>
  <c r="Q290" i="142" s="1"/>
  <c r="P285" i="142"/>
  <c r="Q285" i="142" s="1"/>
  <c r="P283" i="142"/>
  <c r="Q283" i="142" s="1"/>
  <c r="P280" i="142"/>
  <c r="Q280" i="142" s="1"/>
  <c r="P278" i="142"/>
  <c r="P353" i="142"/>
  <c r="AE353" i="142" s="1"/>
  <c r="P277" i="142"/>
  <c r="Q277" i="142" s="1"/>
  <c r="F48" i="148" s="1"/>
  <c r="P247" i="142"/>
  <c r="Q247" i="142" s="1"/>
  <c r="P269" i="142"/>
  <c r="P265" i="142"/>
  <c r="P263" i="142"/>
  <c r="Q263" i="142" s="1"/>
  <c r="U263" i="142" s="1"/>
  <c r="P261" i="142"/>
  <c r="P259" i="142"/>
  <c r="AE259" i="142" s="1"/>
  <c r="P257" i="142"/>
  <c r="Q257" i="142" s="1"/>
  <c r="U257" i="142" s="1"/>
  <c r="P249" i="142"/>
  <c r="F70" i="148"/>
  <c r="L245" i="142"/>
  <c r="AI247" i="142" s="1"/>
  <c r="E353" i="142"/>
  <c r="E93" i="142"/>
  <c r="F93" i="142"/>
  <c r="F44" i="142"/>
  <c r="E44" i="142"/>
  <c r="F379" i="142"/>
  <c r="E379" i="142"/>
  <c r="F356" i="142"/>
  <c r="E356" i="142"/>
  <c r="F248" i="142"/>
  <c r="E248" i="142"/>
  <c r="E109" i="142"/>
  <c r="E110" i="142" s="1"/>
  <c r="F109" i="142"/>
  <c r="F110" i="142" s="1"/>
  <c r="M377" i="142"/>
  <c r="M364" i="142"/>
  <c r="M354" i="142"/>
  <c r="Q27" i="145"/>
  <c r="O27" i="145"/>
  <c r="N27" i="145"/>
  <c r="I27" i="145"/>
  <c r="E27" i="145"/>
  <c r="P27" i="145"/>
  <c r="M27" i="145"/>
  <c r="K27" i="145"/>
  <c r="G27" i="145"/>
  <c r="M12" i="142"/>
  <c r="I9" i="145"/>
  <c r="I7" i="145" s="1"/>
  <c r="E9" i="145"/>
  <c r="E7" i="145" s="1"/>
  <c r="AE9" i="145"/>
  <c r="K9" i="145"/>
  <c r="K7" i="145" s="1"/>
  <c r="G9" i="145"/>
  <c r="G7" i="145" s="1"/>
  <c r="M91" i="142"/>
  <c r="I21" i="145"/>
  <c r="I19" i="145" s="1"/>
  <c r="E21" i="145"/>
  <c r="E19" i="145" s="1"/>
  <c r="K21" i="145"/>
  <c r="K19" i="145" s="1"/>
  <c r="G21" i="145"/>
  <c r="G19" i="145" s="1"/>
  <c r="E15" i="145"/>
  <c r="G15" i="145"/>
  <c r="I15" i="145"/>
  <c r="I13" i="145" s="1"/>
  <c r="K15" i="145"/>
  <c r="K13" i="145" s="1"/>
  <c r="D67" i="145"/>
  <c r="L67" i="145" s="1"/>
  <c r="AI386" i="142"/>
  <c r="AI385" i="142"/>
  <c r="AI224" i="142"/>
  <c r="AI225" i="142"/>
  <c r="D49" i="145"/>
  <c r="L49" i="145" s="1"/>
  <c r="AI321" i="142"/>
  <c r="AI320" i="142"/>
  <c r="D55" i="145"/>
  <c r="AI351" i="142"/>
  <c r="AI353" i="142"/>
  <c r="D46" i="145"/>
  <c r="AI310" i="142"/>
  <c r="AI309" i="142"/>
  <c r="D31" i="145"/>
  <c r="AI178" i="142"/>
  <c r="AI177" i="142"/>
  <c r="D43" i="145"/>
  <c r="L43" i="145" s="1"/>
  <c r="AI277" i="142"/>
  <c r="AI278" i="142"/>
  <c r="D34" i="145"/>
  <c r="L34" i="145" s="1"/>
  <c r="AI195" i="142"/>
  <c r="AI194" i="142"/>
  <c r="W103" i="142"/>
  <c r="C5" i="144"/>
  <c r="D6" i="145"/>
  <c r="C17" i="144"/>
  <c r="D37" i="145"/>
  <c r="U270" i="142"/>
  <c r="C27" i="144"/>
  <c r="C16" i="144"/>
  <c r="C23" i="144"/>
  <c r="C21" i="144"/>
  <c r="C19" i="144"/>
  <c r="C20" i="144"/>
  <c r="C15" i="144"/>
  <c r="AE348" i="142"/>
  <c r="L377" i="142"/>
  <c r="G43" i="142"/>
  <c r="L73" i="142"/>
  <c r="G12" i="142"/>
  <c r="F15" i="142" s="1"/>
  <c r="L107" i="142"/>
  <c r="G107" i="142"/>
  <c r="L101" i="142"/>
  <c r="L43" i="142"/>
  <c r="G377" i="142"/>
  <c r="G101" i="142"/>
  <c r="T28" i="119"/>
  <c r="Q366" i="142"/>
  <c r="F64" i="148" s="1"/>
  <c r="AE373" i="142"/>
  <c r="AE106" i="142"/>
  <c r="AE40" i="142"/>
  <c r="AE41" i="142"/>
  <c r="AE39" i="142"/>
  <c r="G14" i="148"/>
  <c r="U305" i="142"/>
  <c r="U7" i="142"/>
  <c r="G73" i="142"/>
  <c r="L12" i="142"/>
  <c r="L364" i="142"/>
  <c r="G364" i="142"/>
  <c r="V7" i="142"/>
  <c r="U181" i="142"/>
  <c r="G245" i="142"/>
  <c r="Q311" i="142" l="1"/>
  <c r="U311" i="142" s="1"/>
  <c r="Q46" i="142"/>
  <c r="R44" i="142" s="1"/>
  <c r="Q312" i="142"/>
  <c r="R119" i="142"/>
  <c r="F16" i="148"/>
  <c r="F34" i="148"/>
  <c r="R161" i="142"/>
  <c r="R160" i="142"/>
  <c r="AW367" i="142"/>
  <c r="AX367" i="142" s="1"/>
  <c r="AU367" i="142"/>
  <c r="AV367" i="142" s="1"/>
  <c r="AY367" i="142"/>
  <c r="AZ367" i="142" s="1"/>
  <c r="BA367" i="142"/>
  <c r="BB367" i="142" s="1"/>
  <c r="Q47" i="142"/>
  <c r="F18" i="148" s="1"/>
  <c r="Q317" i="142"/>
  <c r="U317" i="142" s="1"/>
  <c r="F62" i="148"/>
  <c r="Q65" i="142"/>
  <c r="U65" i="142" s="1"/>
  <c r="P396" i="142"/>
  <c r="Q396" i="142" s="1"/>
  <c r="U396" i="142" s="1"/>
  <c r="F23" i="148"/>
  <c r="R92" i="142"/>
  <c r="Q92" i="142"/>
  <c r="P92" i="142"/>
  <c r="Q310" i="142"/>
  <c r="U310" i="142" s="1"/>
  <c r="Q100" i="142"/>
  <c r="Q99" i="142" s="1"/>
  <c r="Q309" i="142"/>
  <c r="F52" i="148" s="1"/>
  <c r="AE309" i="142"/>
  <c r="AE65" i="142"/>
  <c r="AE325" i="142"/>
  <c r="U325" i="142"/>
  <c r="Q261" i="142"/>
  <c r="U261" i="142" s="1"/>
  <c r="F50" i="148"/>
  <c r="P69" i="142"/>
  <c r="U395" i="142"/>
  <c r="U335" i="142"/>
  <c r="F57" i="148"/>
  <c r="U334" i="142"/>
  <c r="U336" i="142"/>
  <c r="AE241" i="142"/>
  <c r="U241" i="142"/>
  <c r="Q103" i="142"/>
  <c r="Q314" i="142"/>
  <c r="U314" i="142" s="1"/>
  <c r="U226" i="142"/>
  <c r="F18" i="144"/>
  <c r="E249" i="142"/>
  <c r="G18" i="144" s="1"/>
  <c r="H10" i="144"/>
  <c r="F94" i="142"/>
  <c r="I10" i="144" s="1"/>
  <c r="F25" i="144"/>
  <c r="G25" i="144"/>
  <c r="H18" i="144"/>
  <c r="F249" i="142"/>
  <c r="I18" i="144" s="1"/>
  <c r="H26" i="144"/>
  <c r="F380" i="142"/>
  <c r="I26" i="144" s="1"/>
  <c r="F10" i="144"/>
  <c r="E94" i="142"/>
  <c r="G10" i="144" s="1"/>
  <c r="AE250" i="142"/>
  <c r="Q250" i="142"/>
  <c r="U250" i="142" s="1"/>
  <c r="AE230" i="142"/>
  <c r="U230" i="142"/>
  <c r="E21" i="144"/>
  <c r="D21" i="144"/>
  <c r="F12" i="144"/>
  <c r="G12" i="144"/>
  <c r="H24" i="144"/>
  <c r="F357" i="142"/>
  <c r="I24" i="144" s="1"/>
  <c r="H8" i="144"/>
  <c r="F45" i="142"/>
  <c r="I8" i="144" s="1"/>
  <c r="Q249" i="142"/>
  <c r="U249" i="142" s="1"/>
  <c r="E15" i="144"/>
  <c r="D15" i="144"/>
  <c r="E23" i="144"/>
  <c r="D23" i="144"/>
  <c r="H25" i="144"/>
  <c r="I25" i="144"/>
  <c r="F26" i="144"/>
  <c r="E380" i="142"/>
  <c r="G26" i="144" s="1"/>
  <c r="E20" i="144"/>
  <c r="D20" i="144"/>
  <c r="E16" i="144"/>
  <c r="D16" i="144"/>
  <c r="E27" i="144"/>
  <c r="D27" i="144"/>
  <c r="E17" i="144"/>
  <c r="D17" i="144"/>
  <c r="U26" i="142"/>
  <c r="G12" i="148" s="1"/>
  <c r="F12" i="148"/>
  <c r="H12" i="144"/>
  <c r="I12" i="144"/>
  <c r="F24" i="144"/>
  <c r="E357" i="142"/>
  <c r="G24" i="144" s="1"/>
  <c r="F8" i="144"/>
  <c r="E45" i="142"/>
  <c r="G8" i="144" s="1"/>
  <c r="U247" i="142"/>
  <c r="G45" i="148" s="1"/>
  <c r="F45" i="148"/>
  <c r="Q315" i="142"/>
  <c r="U315" i="142" s="1"/>
  <c r="H6" i="144"/>
  <c r="F14" i="142"/>
  <c r="I6" i="144" s="1"/>
  <c r="D19" i="144"/>
  <c r="E19" i="144"/>
  <c r="AE141" i="142"/>
  <c r="U370" i="142"/>
  <c r="AE153" i="142"/>
  <c r="AE392" i="142"/>
  <c r="AE326" i="142"/>
  <c r="AE123" i="142"/>
  <c r="U123" i="142"/>
  <c r="A5" i="132"/>
  <c r="A5" i="133" s="1"/>
  <c r="A5" i="134" s="1"/>
  <c r="A5" i="136" s="1"/>
  <c r="A5" i="135" s="1"/>
  <c r="A5" i="138" s="1"/>
  <c r="A5" i="137" s="1"/>
  <c r="A5" i="139" s="1"/>
  <c r="A5" i="141" s="1"/>
  <c r="E140" i="142"/>
  <c r="F140" i="142"/>
  <c r="K30" i="145"/>
  <c r="G30" i="145"/>
  <c r="I30" i="145"/>
  <c r="E30" i="145"/>
  <c r="R82" i="142"/>
  <c r="U121" i="142"/>
  <c r="R74" i="142"/>
  <c r="U45" i="142"/>
  <c r="AE356" i="142"/>
  <c r="AE158" i="142"/>
  <c r="AE155" i="142"/>
  <c r="U155" i="142"/>
  <c r="U171" i="142"/>
  <c r="Q143" i="142"/>
  <c r="U143" i="142" s="1"/>
  <c r="AE146" i="142"/>
  <c r="U146" i="142"/>
  <c r="AE150" i="142"/>
  <c r="U150" i="142"/>
  <c r="U172" i="142"/>
  <c r="AE145" i="142"/>
  <c r="U164" i="142"/>
  <c r="U157" i="142"/>
  <c r="AE165" i="142"/>
  <c r="AE148" i="142"/>
  <c r="U148" i="142"/>
  <c r="U167" i="142"/>
  <c r="AE162" i="142"/>
  <c r="U156" i="142"/>
  <c r="U144" i="142"/>
  <c r="AE166" i="142"/>
  <c r="U166" i="142"/>
  <c r="U292" i="142"/>
  <c r="U296" i="142"/>
  <c r="U291" i="142"/>
  <c r="U295" i="142"/>
  <c r="U299" i="142"/>
  <c r="U304" i="142"/>
  <c r="U294" i="142"/>
  <c r="U298" i="142"/>
  <c r="U303" i="142"/>
  <c r="U293" i="142"/>
  <c r="U297" i="142"/>
  <c r="U301" i="142"/>
  <c r="AE170" i="142"/>
  <c r="U333" i="142"/>
  <c r="U196" i="142"/>
  <c r="AE197" i="142"/>
  <c r="U197" i="142"/>
  <c r="AE140" i="142"/>
  <c r="U140" i="142"/>
  <c r="G32" i="148" s="1"/>
  <c r="Q320" i="142"/>
  <c r="U351" i="142"/>
  <c r="G60" i="148" s="1"/>
  <c r="AE178" i="142"/>
  <c r="AE184" i="142"/>
  <c r="U184" i="142"/>
  <c r="U183" i="142"/>
  <c r="AE191" i="142"/>
  <c r="U191" i="142"/>
  <c r="AE185" i="142"/>
  <c r="U185" i="142"/>
  <c r="U180" i="142"/>
  <c r="D40" i="145"/>
  <c r="AE20" i="142"/>
  <c r="U20" i="142"/>
  <c r="AE14" i="142"/>
  <c r="Q14" i="142"/>
  <c r="F10" i="148" s="1"/>
  <c r="U344" i="142"/>
  <c r="AE344" i="142"/>
  <c r="U343" i="142"/>
  <c r="AE343" i="142"/>
  <c r="F69" i="145"/>
  <c r="AG78" i="145"/>
  <c r="AH78" i="145" s="1"/>
  <c r="AE73" i="145"/>
  <c r="AG82" i="145" s="1"/>
  <c r="AH82" i="145" s="1"/>
  <c r="G13" i="145"/>
  <c r="E13" i="145"/>
  <c r="AL43" i="145"/>
  <c r="AH45" i="145"/>
  <c r="AF45" i="145"/>
  <c r="AF51" i="145"/>
  <c r="AH51" i="145"/>
  <c r="AL49" i="145"/>
  <c r="AL46" i="145"/>
  <c r="AF48" i="145"/>
  <c r="AH48" i="145"/>
  <c r="AF39" i="145"/>
  <c r="AL37" i="145"/>
  <c r="AH39" i="145"/>
  <c r="AH33" i="145"/>
  <c r="AL31" i="145"/>
  <c r="AF33" i="145"/>
  <c r="AL34" i="145"/>
  <c r="AF36" i="145"/>
  <c r="AH36" i="145"/>
  <c r="AH57" i="145"/>
  <c r="AL55" i="145"/>
  <c r="AF57" i="145"/>
  <c r="AL67" i="145"/>
  <c r="AH69" i="145"/>
  <c r="AF69" i="145"/>
  <c r="S39" i="145"/>
  <c r="Y37" i="145"/>
  <c r="U39" i="145"/>
  <c r="S33" i="145"/>
  <c r="Y31" i="145"/>
  <c r="U33" i="145"/>
  <c r="S45" i="145"/>
  <c r="U45" i="145"/>
  <c r="Y43" i="145"/>
  <c r="S51" i="145"/>
  <c r="Y49" i="145"/>
  <c r="U51" i="145"/>
  <c r="Y46" i="145"/>
  <c r="U48" i="145"/>
  <c r="S48" i="145"/>
  <c r="Y34" i="145"/>
  <c r="U36" i="145"/>
  <c r="S36" i="145"/>
  <c r="L55" i="145"/>
  <c r="U57" i="145"/>
  <c r="S57" i="145"/>
  <c r="Y55" i="145"/>
  <c r="U69" i="145"/>
  <c r="S69" i="145"/>
  <c r="Y67" i="145"/>
  <c r="AI311" i="142"/>
  <c r="AE143" i="142"/>
  <c r="AI387" i="142"/>
  <c r="L31" i="145"/>
  <c r="D13" i="145"/>
  <c r="H15" i="145" s="1"/>
  <c r="AI45" i="142"/>
  <c r="AI46" i="142"/>
  <c r="D22" i="145"/>
  <c r="AI104" i="142"/>
  <c r="AI103" i="142"/>
  <c r="AI279" i="142"/>
  <c r="AI322" i="142"/>
  <c r="D25" i="145"/>
  <c r="H27" i="145" s="1"/>
  <c r="AI110" i="142"/>
  <c r="AI109" i="142"/>
  <c r="AI111" i="142" s="1"/>
  <c r="D61" i="145"/>
  <c r="AI366" i="142"/>
  <c r="D7" i="145"/>
  <c r="AI13" i="142"/>
  <c r="AI14" i="142"/>
  <c r="D16" i="145"/>
  <c r="AI76" i="142"/>
  <c r="AI75" i="142"/>
  <c r="AI248" i="142"/>
  <c r="L46" i="145"/>
  <c r="AI196" i="142"/>
  <c r="AI352" i="142"/>
  <c r="D64" i="145"/>
  <c r="AI379" i="142"/>
  <c r="AI380" i="142"/>
  <c r="AI179" i="142"/>
  <c r="AI226" i="142"/>
  <c r="L37" i="145"/>
  <c r="AE346" i="142"/>
  <c r="AE380" i="142"/>
  <c r="AE297" i="142"/>
  <c r="AE299" i="142"/>
  <c r="AE46" i="142"/>
  <c r="U46" i="142"/>
  <c r="G17" i="148" s="1"/>
  <c r="AE128" i="142"/>
  <c r="U128" i="142"/>
  <c r="AE280" i="142"/>
  <c r="U280" i="142"/>
  <c r="U61" i="142"/>
  <c r="AE390" i="142"/>
  <c r="U390" i="142"/>
  <c r="U284" i="142"/>
  <c r="AE110" i="142"/>
  <c r="U110" i="142"/>
  <c r="G29" i="148" s="1"/>
  <c r="U125" i="142"/>
  <c r="U72" i="142"/>
  <c r="AE49" i="142"/>
  <c r="U49" i="142"/>
  <c r="U97" i="142"/>
  <c r="AE130" i="142"/>
  <c r="U130" i="142"/>
  <c r="U189" i="142"/>
  <c r="AE300" i="142"/>
  <c r="U300" i="142"/>
  <c r="Q264" i="142"/>
  <c r="U264" i="142" s="1"/>
  <c r="AE131" i="142"/>
  <c r="U131" i="142"/>
  <c r="U290" i="142"/>
  <c r="AE188" i="142"/>
  <c r="U188" i="142"/>
  <c r="U190" i="142"/>
  <c r="U375" i="142"/>
  <c r="U90" i="142"/>
  <c r="U96" i="142"/>
  <c r="U124" i="142"/>
  <c r="AE60" i="142"/>
  <c r="U60" i="142"/>
  <c r="U64" i="142"/>
  <c r="AE187" i="142"/>
  <c r="U187" i="142"/>
  <c r="U95" i="142"/>
  <c r="U113" i="142"/>
  <c r="Q265" i="142"/>
  <c r="U265" i="142" s="1"/>
  <c r="U363" i="142"/>
  <c r="U288" i="142"/>
  <c r="U177" i="142"/>
  <c r="G36" i="148" s="1"/>
  <c r="AE136" i="142"/>
  <c r="U136" i="142"/>
  <c r="U126" i="142"/>
  <c r="AE369" i="142"/>
  <c r="U369" i="142"/>
  <c r="AE151" i="142"/>
  <c r="U151" i="142"/>
  <c r="U266" i="142"/>
  <c r="AE298" i="142"/>
  <c r="U67" i="142"/>
  <c r="AE133" i="142"/>
  <c r="U133" i="142"/>
  <c r="AE127" i="142"/>
  <c r="U127" i="142"/>
  <c r="AE374" i="142"/>
  <c r="U374" i="142"/>
  <c r="AE237" i="142"/>
  <c r="U237" i="142"/>
  <c r="AE225" i="142"/>
  <c r="U225" i="142"/>
  <c r="G43" i="148" s="1"/>
  <c r="U234" i="142"/>
  <c r="U240" i="142"/>
  <c r="AE232" i="142"/>
  <c r="U232" i="142"/>
  <c r="U238" i="142"/>
  <c r="AE345" i="142"/>
  <c r="U331" i="142"/>
  <c r="G57" i="148" s="1"/>
  <c r="AE334" i="142"/>
  <c r="AE332" i="142"/>
  <c r="AE337" i="142"/>
  <c r="U341" i="142"/>
  <c r="AE336" i="142"/>
  <c r="AE224" i="142"/>
  <c r="U224" i="142"/>
  <c r="G42" i="148" s="1"/>
  <c r="U209" i="142"/>
  <c r="U220" i="142"/>
  <c r="AE211" i="142"/>
  <c r="U211" i="142"/>
  <c r="AE207" i="142"/>
  <c r="U207" i="142"/>
  <c r="U216" i="142"/>
  <c r="AE204" i="142"/>
  <c r="U204" i="142"/>
  <c r="AE202" i="142"/>
  <c r="U202" i="142"/>
  <c r="U213" i="142"/>
  <c r="AE205" i="142"/>
  <c r="U205" i="142"/>
  <c r="U215" i="142"/>
  <c r="U214" i="142"/>
  <c r="AE201" i="142"/>
  <c r="U201" i="142"/>
  <c r="AE93" i="142"/>
  <c r="U93" i="142"/>
  <c r="G23" i="148" s="1"/>
  <c r="AE81" i="142"/>
  <c r="U81" i="142"/>
  <c r="U86" i="142"/>
  <c r="U78" i="142"/>
  <c r="U79" i="142"/>
  <c r="U36" i="142"/>
  <c r="AE85" i="142"/>
  <c r="U85" i="142"/>
  <c r="U87" i="142"/>
  <c r="U55" i="142"/>
  <c r="U53" i="142"/>
  <c r="AE50" i="142"/>
  <c r="U50" i="142"/>
  <c r="U52" i="142"/>
  <c r="AE51" i="142"/>
  <c r="U51" i="142"/>
  <c r="U54" i="142"/>
  <c r="AE35" i="142"/>
  <c r="U35" i="142"/>
  <c r="U32" i="142"/>
  <c r="U34" i="142"/>
  <c r="AE29" i="142"/>
  <c r="U29" i="142"/>
  <c r="U30" i="142"/>
  <c r="U22" i="142"/>
  <c r="U21" i="142"/>
  <c r="AE132" i="142"/>
  <c r="U132" i="142"/>
  <c r="AE147" i="142"/>
  <c r="U147" i="142"/>
  <c r="U98" i="142"/>
  <c r="U80" i="142"/>
  <c r="C25" i="144"/>
  <c r="C26" i="144"/>
  <c r="C8" i="144"/>
  <c r="C12" i="144"/>
  <c r="C18" i="144"/>
  <c r="C6" i="144"/>
  <c r="C11" i="144"/>
  <c r="C9" i="144"/>
  <c r="AE328" i="142"/>
  <c r="U326" i="142"/>
  <c r="AE190" i="142"/>
  <c r="AE327" i="142"/>
  <c r="Q324" i="142"/>
  <c r="U324" i="142" s="1"/>
  <c r="AE167" i="142"/>
  <c r="AE247" i="142"/>
  <c r="AE234" i="142"/>
  <c r="AE61" i="142"/>
  <c r="AE72" i="142"/>
  <c r="U141" i="142"/>
  <c r="AE216" i="142"/>
  <c r="AE177" i="142"/>
  <c r="AE125" i="142"/>
  <c r="AE94" i="142"/>
  <c r="AE322" i="142"/>
  <c r="AE26" i="142"/>
  <c r="AE351" i="142"/>
  <c r="AE304" i="142"/>
  <c r="AE288" i="142"/>
  <c r="AE278" i="142"/>
  <c r="AE169" i="142"/>
  <c r="AE172" i="142"/>
  <c r="U134" i="142"/>
  <c r="AE134" i="142"/>
  <c r="AE100" i="142"/>
  <c r="AE144" i="142"/>
  <c r="AE226" i="142"/>
  <c r="AE36" i="142"/>
  <c r="U366" i="142"/>
  <c r="AE23" i="142"/>
  <c r="U23" i="142"/>
  <c r="AE76" i="142"/>
  <c r="AE320" i="142"/>
  <c r="AE214" i="142"/>
  <c r="AE90" i="142"/>
  <c r="AE357" i="142"/>
  <c r="AE179" i="142"/>
  <c r="U380" i="142"/>
  <c r="AE196" i="142"/>
  <c r="AE45" i="142"/>
  <c r="U153" i="142"/>
  <c r="AE183" i="142"/>
  <c r="AE361" i="142"/>
  <c r="AE180" i="142"/>
  <c r="AE305" i="142"/>
  <c r="Q386" i="142"/>
  <c r="U386" i="142" s="1"/>
  <c r="AM387" i="142" s="1"/>
  <c r="AN387" i="142" s="1"/>
  <c r="U106" i="142"/>
  <c r="AE54" i="142"/>
  <c r="Q260" i="142"/>
  <c r="U260" i="142" s="1"/>
  <c r="AE98" i="142"/>
  <c r="AE121" i="142"/>
  <c r="AE261" i="142"/>
  <c r="AE67" i="142"/>
  <c r="AE87" i="142"/>
  <c r="AE215" i="142"/>
  <c r="AE53" i="142"/>
  <c r="AE79" i="142"/>
  <c r="AE249" i="142"/>
  <c r="AE263" i="142"/>
  <c r="AE95" i="142"/>
  <c r="AE290" i="142"/>
  <c r="AE126" i="142"/>
  <c r="Q353" i="142"/>
  <c r="U353" i="142" s="1"/>
  <c r="AE238" i="142"/>
  <c r="AE157" i="142"/>
  <c r="AE22" i="142"/>
  <c r="AE284" i="142"/>
  <c r="AE335" i="142"/>
  <c r="Q259" i="142"/>
  <c r="U259" i="142" s="1"/>
  <c r="AE254" i="142"/>
  <c r="AE97" i="142"/>
  <c r="AE209" i="142"/>
  <c r="AE331" i="142"/>
  <c r="AE171" i="142"/>
  <c r="AE264" i="142"/>
  <c r="AE96" i="142"/>
  <c r="AE363" i="142"/>
  <c r="AE265" i="142"/>
  <c r="AE52" i="142"/>
  <c r="AE255" i="142"/>
  <c r="AE213" i="142"/>
  <c r="U373" i="142"/>
  <c r="AE258" i="142"/>
  <c r="AE159" i="142"/>
  <c r="AE375" i="142"/>
  <c r="U165" i="142"/>
  <c r="AE189" i="142"/>
  <c r="AE78" i="142"/>
  <c r="AE366" i="142"/>
  <c r="AE32" i="142"/>
  <c r="U41" i="142"/>
  <c r="U40" i="142"/>
  <c r="U337" i="142"/>
  <c r="AE341" i="142"/>
  <c r="AE394" i="142"/>
  <c r="AE333" i="142"/>
  <c r="U346" i="142"/>
  <c r="AE323" i="142"/>
  <c r="AE289" i="142"/>
  <c r="U289" i="142"/>
  <c r="AE266" i="142"/>
  <c r="AE253" i="142"/>
  <c r="R273" i="142"/>
  <c r="P273" i="142"/>
  <c r="AE274" i="142"/>
  <c r="AE251" i="142"/>
  <c r="AE257" i="142"/>
  <c r="U274" i="142"/>
  <c r="U273" i="142" s="1"/>
  <c r="Q273" i="142"/>
  <c r="U248" i="142"/>
  <c r="AE248" i="142"/>
  <c r="AE262" i="142"/>
  <c r="Q262" i="142"/>
  <c r="U262" i="142" s="1"/>
  <c r="U252" i="142"/>
  <c r="AE252" i="142"/>
  <c r="U231" i="142"/>
  <c r="AE231" i="142"/>
  <c r="AE240" i="142"/>
  <c r="AE220" i="142"/>
  <c r="U210" i="142"/>
  <c r="AE210" i="142"/>
  <c r="AE168" i="142"/>
  <c r="AE156" i="142"/>
  <c r="U145" i="142"/>
  <c r="U170" i="142"/>
  <c r="AE149" i="142"/>
  <c r="U149" i="142"/>
  <c r="U158" i="142"/>
  <c r="AE124" i="142"/>
  <c r="AE113" i="142"/>
  <c r="P102" i="142"/>
  <c r="AE86" i="142"/>
  <c r="AE80" i="142"/>
  <c r="AE58" i="142"/>
  <c r="U58" i="142"/>
  <c r="AE55" i="142"/>
  <c r="U48" i="142"/>
  <c r="AE48" i="142"/>
  <c r="AE71" i="142"/>
  <c r="U71" i="142"/>
  <c r="U39" i="142"/>
  <c r="AE34" i="142"/>
  <c r="AE16" i="142"/>
  <c r="AE21" i="142"/>
  <c r="AE301" i="142"/>
  <c r="AE295" i="142"/>
  <c r="U242" i="142"/>
  <c r="AE242" i="142"/>
  <c r="AE282" i="142"/>
  <c r="U282" i="142"/>
  <c r="AE206" i="142"/>
  <c r="U206" i="142"/>
  <c r="U117" i="142"/>
  <c r="AE117" i="142"/>
  <c r="U239" i="142"/>
  <c r="AE239" i="142"/>
  <c r="AE303" i="142"/>
  <c r="AE142" i="142"/>
  <c r="U345" i="142"/>
  <c r="AE42" i="142"/>
  <c r="U42" i="142"/>
  <c r="U313" i="142"/>
  <c r="U385" i="142"/>
  <c r="G68" i="148" s="1"/>
  <c r="AE385" i="142"/>
  <c r="AE270" i="142"/>
  <c r="AE267" i="142"/>
  <c r="U267" i="142"/>
  <c r="U208" i="142"/>
  <c r="AE208" i="142"/>
  <c r="AE75" i="142"/>
  <c r="U199" i="142"/>
  <c r="AE199" i="142"/>
  <c r="AE370" i="142"/>
  <c r="AE181" i="142"/>
  <c r="AE164" i="142"/>
  <c r="AE389" i="142"/>
  <c r="AE283" i="142"/>
  <c r="U283" i="142"/>
  <c r="AE321" i="142"/>
  <c r="U217" i="142"/>
  <c r="AE217" i="142"/>
  <c r="AE122" i="142"/>
  <c r="U122" i="142"/>
  <c r="AE342" i="142"/>
  <c r="U342" i="142"/>
  <c r="AE359" i="142"/>
  <c r="U359" i="142"/>
  <c r="U229" i="142"/>
  <c r="AE229" i="142"/>
  <c r="AE194" i="142"/>
  <c r="U194" i="142"/>
  <c r="G39" i="148" s="1"/>
  <c r="AE279" i="142"/>
  <c r="AE195" i="142"/>
  <c r="U195" i="142"/>
  <c r="G40" i="148" s="1"/>
  <c r="U233" i="142"/>
  <c r="AE233" i="142"/>
  <c r="U163" i="142"/>
  <c r="AE163" i="142"/>
  <c r="AE114" i="142"/>
  <c r="U114" i="142"/>
  <c r="AE47" i="142"/>
  <c r="AE212" i="142"/>
  <c r="U212" i="142"/>
  <c r="U62" i="142"/>
  <c r="AE62" i="142"/>
  <c r="AE28" i="142"/>
  <c r="U28" i="142"/>
  <c r="AE30" i="142"/>
  <c r="AE352" i="142"/>
  <c r="Q352" i="142"/>
  <c r="AE115" i="142"/>
  <c r="U115" i="142"/>
  <c r="U236" i="142"/>
  <c r="AE236" i="142"/>
  <c r="AE286" i="142"/>
  <c r="U286" i="142"/>
  <c r="U186" i="142"/>
  <c r="AE186" i="142"/>
  <c r="AE33" i="142"/>
  <c r="U154" i="142"/>
  <c r="AE154" i="142"/>
  <c r="AE235" i="142"/>
  <c r="U235" i="142"/>
  <c r="AE362" i="142"/>
  <c r="AE296" i="142"/>
  <c r="AE64" i="142"/>
  <c r="AE292" i="142"/>
  <c r="U120" i="142"/>
  <c r="AE120" i="142"/>
  <c r="U84" i="142"/>
  <c r="AE84" i="142"/>
  <c r="AE139" i="142"/>
  <c r="U139" i="142"/>
  <c r="G31" i="148" s="1"/>
  <c r="U15" i="142"/>
  <c r="AE15" i="142"/>
  <c r="AE68" i="142"/>
  <c r="U68" i="142"/>
  <c r="AE285" i="142"/>
  <c r="U285" i="142"/>
  <c r="U116" i="142"/>
  <c r="AE116" i="142"/>
  <c r="AE382" i="142"/>
  <c r="U277" i="142"/>
  <c r="G48" i="148" s="1"/>
  <c r="AE277" i="142"/>
  <c r="AE391" i="142"/>
  <c r="U218" i="142"/>
  <c r="AE218" i="142"/>
  <c r="AE368" i="142"/>
  <c r="AE105" i="142"/>
  <c r="AE256" i="142"/>
  <c r="Q256" i="142"/>
  <c r="U256" i="142" s="1"/>
  <c r="AE118" i="142"/>
  <c r="U118" i="142"/>
  <c r="AE182" i="142"/>
  <c r="U182" i="142"/>
  <c r="AE293" i="142"/>
  <c r="AE338" i="142"/>
  <c r="U152" i="142"/>
  <c r="AE152" i="142"/>
  <c r="Q316" i="142"/>
  <c r="U316" i="142" s="1"/>
  <c r="Q102" i="142"/>
  <c r="U179" i="142"/>
  <c r="AE27" i="142"/>
  <c r="AE371" i="142"/>
  <c r="U371" i="142"/>
  <c r="AE112" i="142"/>
  <c r="U112" i="142"/>
  <c r="AE77" i="142"/>
  <c r="U77" i="142"/>
  <c r="U63" i="142"/>
  <c r="AE63" i="142"/>
  <c r="AE291" i="142"/>
  <c r="AE228" i="142"/>
  <c r="U228" i="142"/>
  <c r="AE200" i="142"/>
  <c r="U200" i="142"/>
  <c r="AE31" i="142"/>
  <c r="U31" i="142"/>
  <c r="Q109" i="142"/>
  <c r="AE109" i="142"/>
  <c r="AE287" i="142"/>
  <c r="U287" i="142"/>
  <c r="AE83" i="142"/>
  <c r="AE66" i="142"/>
  <c r="U66" i="142"/>
  <c r="AE18" i="142"/>
  <c r="U18" i="142"/>
  <c r="AE306" i="142"/>
  <c r="AE379" i="142"/>
  <c r="U203" i="142"/>
  <c r="AE203" i="142"/>
  <c r="U361" i="142"/>
  <c r="U198" i="142"/>
  <c r="AE198" i="142"/>
  <c r="AE358" i="142"/>
  <c r="AE219" i="142"/>
  <c r="U219" i="142"/>
  <c r="U16" i="142"/>
  <c r="AE17" i="142"/>
  <c r="AE88" i="142"/>
  <c r="U88" i="142"/>
  <c r="AE294" i="142"/>
  <c r="AE129" i="142"/>
  <c r="U251" i="142"/>
  <c r="U76" i="142"/>
  <c r="G21" i="148" s="1"/>
  <c r="AE268" i="142"/>
  <c r="Q268" i="142"/>
  <c r="U268" i="142" s="1"/>
  <c r="AE395" i="142"/>
  <c r="AE269" i="142"/>
  <c r="Q269" i="142"/>
  <c r="U269" i="142" s="1"/>
  <c r="U312" i="142"/>
  <c r="AE227" i="142"/>
  <c r="AE59" i="142"/>
  <c r="AE367" i="142"/>
  <c r="F17" i="148" l="1"/>
  <c r="R99" i="142"/>
  <c r="V37" i="142"/>
  <c r="U37" i="142"/>
  <c r="AQ28" i="142" s="1"/>
  <c r="AR28" i="142" s="1"/>
  <c r="G16" i="148"/>
  <c r="F28" i="148"/>
  <c r="AE396" i="142"/>
  <c r="G64" i="148"/>
  <c r="AS367" i="142"/>
  <c r="AT367" i="142" s="1"/>
  <c r="AM367" i="142"/>
  <c r="AN367" i="142" s="1"/>
  <c r="AQ367" i="142"/>
  <c r="AR367" i="142" s="1"/>
  <c r="AO367" i="142"/>
  <c r="AP367" i="142" s="1"/>
  <c r="AE69" i="142"/>
  <c r="Q69" i="142"/>
  <c r="U69" i="142" s="1"/>
  <c r="P99" i="142"/>
  <c r="U100" i="142"/>
  <c r="T93" i="142" s="1"/>
  <c r="AE103" i="142"/>
  <c r="U279" i="142"/>
  <c r="G50" i="148" s="1"/>
  <c r="R329" i="142"/>
  <c r="R330" i="142"/>
  <c r="F58" i="148"/>
  <c r="U332" i="142"/>
  <c r="G58" i="148" s="1"/>
  <c r="F26" i="148"/>
  <c r="U103" i="142"/>
  <c r="G26" i="148" s="1"/>
  <c r="U320" i="142"/>
  <c r="G54" i="148" s="1"/>
  <c r="F54" i="148"/>
  <c r="F13" i="144"/>
  <c r="E141" i="142"/>
  <c r="G13" i="144" s="1"/>
  <c r="E6" i="144"/>
  <c r="D6" i="144"/>
  <c r="E8" i="144"/>
  <c r="D8" i="144"/>
  <c r="H13" i="144"/>
  <c r="F141" i="142"/>
  <c r="I13" i="144" s="1"/>
  <c r="E18" i="144"/>
  <c r="D18" i="144"/>
  <c r="E26" i="144"/>
  <c r="D26" i="144"/>
  <c r="U321" i="142"/>
  <c r="G55" i="148" s="1"/>
  <c r="F55" i="148"/>
  <c r="D9" i="144"/>
  <c r="E9" i="144"/>
  <c r="E12" i="144"/>
  <c r="D12" i="144"/>
  <c r="E25" i="144"/>
  <c r="D25" i="144"/>
  <c r="U178" i="142"/>
  <c r="G37" i="148" s="1"/>
  <c r="F37" i="148"/>
  <c r="U278" i="142"/>
  <c r="G49" i="148" s="1"/>
  <c r="F49" i="148"/>
  <c r="E11" i="144"/>
  <c r="D11" i="144"/>
  <c r="AQ248" i="142"/>
  <c r="AR248" i="142" s="1"/>
  <c r="G46" i="148"/>
  <c r="U94" i="142"/>
  <c r="F24" i="148"/>
  <c r="AQ164" i="142"/>
  <c r="AR164" i="142" s="1"/>
  <c r="AO164" i="142"/>
  <c r="AM164" i="142"/>
  <c r="AS164" i="142"/>
  <c r="AT164" i="142" s="1"/>
  <c r="AO141" i="142"/>
  <c r="AP141" i="142" s="1"/>
  <c r="AM141" i="142"/>
  <c r="AN141" i="142" s="1"/>
  <c r="AS141" i="142"/>
  <c r="AT141" i="142" s="1"/>
  <c r="AQ141" i="142"/>
  <c r="AR141" i="142" s="1"/>
  <c r="T161" i="142"/>
  <c r="S161" i="142"/>
  <c r="R137" i="142"/>
  <c r="P137" i="142"/>
  <c r="R138" i="142"/>
  <c r="V138" i="142"/>
  <c r="U137" i="142"/>
  <c r="V137" i="142"/>
  <c r="U162" i="142"/>
  <c r="Q160" i="142"/>
  <c r="P161" i="142"/>
  <c r="Q161" i="142"/>
  <c r="P160" i="142"/>
  <c r="Q137" i="142"/>
  <c r="P138" i="142"/>
  <c r="Q138" i="142"/>
  <c r="AI139" i="142"/>
  <c r="AI140" i="142"/>
  <c r="C13" i="144"/>
  <c r="D28" i="145"/>
  <c r="AO352" i="142"/>
  <c r="AP352" i="142" s="1"/>
  <c r="AM352" i="142"/>
  <c r="AN352" i="142" s="1"/>
  <c r="U14" i="142"/>
  <c r="T248" i="142"/>
  <c r="S248" i="142"/>
  <c r="T332" i="142"/>
  <c r="S332" i="142"/>
  <c r="T194" i="142"/>
  <c r="T320" i="142"/>
  <c r="T277" i="142"/>
  <c r="S277" i="142"/>
  <c r="S194" i="142"/>
  <c r="S320" i="142"/>
  <c r="T177" i="142"/>
  <c r="S177" i="142"/>
  <c r="T309" i="142"/>
  <c r="S309" i="142"/>
  <c r="F26" i="145"/>
  <c r="F27" i="145"/>
  <c r="H18" i="145"/>
  <c r="F17" i="145"/>
  <c r="H17" i="145"/>
  <c r="F18" i="145"/>
  <c r="F23" i="145"/>
  <c r="F24" i="145"/>
  <c r="F9" i="145"/>
  <c r="H8" i="145"/>
  <c r="H9" i="145"/>
  <c r="F8" i="145"/>
  <c r="F15" i="145"/>
  <c r="F14" i="145"/>
  <c r="H14" i="145"/>
  <c r="AF27" i="145"/>
  <c r="AH27" i="145"/>
  <c r="AL25" i="145"/>
  <c r="AF63" i="145"/>
  <c r="AH63" i="145"/>
  <c r="AL61" i="145"/>
  <c r="AH42" i="145"/>
  <c r="AF42" i="145"/>
  <c r="AL40" i="145"/>
  <c r="AH9" i="145"/>
  <c r="AF9" i="145"/>
  <c r="AL7" i="145"/>
  <c r="AL22" i="145"/>
  <c r="AF24" i="145"/>
  <c r="AH24" i="145"/>
  <c r="AH18" i="145"/>
  <c r="AF18" i="145"/>
  <c r="AL16" i="145"/>
  <c r="AF15" i="145"/>
  <c r="AL13" i="145"/>
  <c r="AH15" i="145"/>
  <c r="AH66" i="145"/>
  <c r="AF66" i="145"/>
  <c r="AL64" i="145"/>
  <c r="U18" i="145"/>
  <c r="Y16" i="145"/>
  <c r="S18" i="145"/>
  <c r="S63" i="145"/>
  <c r="Y61" i="145"/>
  <c r="U63" i="145"/>
  <c r="U42" i="145"/>
  <c r="Y40" i="145"/>
  <c r="S42" i="145"/>
  <c r="U9" i="145"/>
  <c r="Y7" i="145"/>
  <c r="S9" i="145"/>
  <c r="Y22" i="145"/>
  <c r="U24" i="145"/>
  <c r="S24" i="145"/>
  <c r="S15" i="145"/>
  <c r="U15" i="145"/>
  <c r="Y13" i="145"/>
  <c r="U66" i="145"/>
  <c r="S66" i="145"/>
  <c r="Y64" i="145"/>
  <c r="S27" i="145"/>
  <c r="Y25" i="145"/>
  <c r="U27" i="145"/>
  <c r="AI77" i="142"/>
  <c r="AQ322" i="142"/>
  <c r="AR322" i="142" s="1"/>
  <c r="L13" i="145"/>
  <c r="L25" i="145"/>
  <c r="H24" i="145"/>
  <c r="L64" i="145"/>
  <c r="L16" i="145"/>
  <c r="L61" i="145"/>
  <c r="AI249" i="142"/>
  <c r="AI47" i="142"/>
  <c r="AI15" i="142"/>
  <c r="L40" i="145"/>
  <c r="AQ333" i="142"/>
  <c r="AR333" i="142" s="1"/>
  <c r="AM248" i="142"/>
  <c r="AN248" i="142" s="1"/>
  <c r="AO322" i="142"/>
  <c r="AP322" i="142" s="1"/>
  <c r="AY333" i="142"/>
  <c r="AZ333" i="142" s="1"/>
  <c r="AM333" i="142"/>
  <c r="AN333" i="142" s="1"/>
  <c r="AQ196" i="142"/>
  <c r="AR196" i="142" s="1"/>
  <c r="AM249" i="142"/>
  <c r="AN249" i="142" s="1"/>
  <c r="AS249" i="142"/>
  <c r="AT249" i="142" s="1"/>
  <c r="AS196" i="142"/>
  <c r="AT196" i="142" s="1"/>
  <c r="AS248" i="142"/>
  <c r="AT248" i="142" s="1"/>
  <c r="AO249" i="142"/>
  <c r="AP249" i="142" s="1"/>
  <c r="BA333" i="142"/>
  <c r="BB333" i="142" s="1"/>
  <c r="AU333" i="142"/>
  <c r="AV333" i="142" s="1"/>
  <c r="AM196" i="142"/>
  <c r="AN196" i="142" s="1"/>
  <c r="AS322" i="142"/>
  <c r="AT322" i="142" s="1"/>
  <c r="AS386" i="142"/>
  <c r="AT386" i="142" s="1"/>
  <c r="AQ386" i="142"/>
  <c r="AR386" i="142" s="1"/>
  <c r="AO386" i="142"/>
  <c r="AP386" i="142" s="1"/>
  <c r="AM386" i="142"/>
  <c r="AN386" i="142" s="1"/>
  <c r="AS279" i="142"/>
  <c r="AT279" i="142" s="1"/>
  <c r="AO279" i="142"/>
  <c r="AP279" i="142" s="1"/>
  <c r="AM279" i="142"/>
  <c r="AN279" i="142" s="1"/>
  <c r="AQ279" i="142"/>
  <c r="AR279" i="142" s="1"/>
  <c r="AI381" i="142"/>
  <c r="AO179" i="142"/>
  <c r="AP179" i="142" s="1"/>
  <c r="AM179" i="142"/>
  <c r="AN179" i="142" s="1"/>
  <c r="AS179" i="142"/>
  <c r="AT179" i="142" s="1"/>
  <c r="AQ179" i="142"/>
  <c r="AR179" i="142" s="1"/>
  <c r="AO248" i="142"/>
  <c r="AP248" i="142" s="1"/>
  <c r="AQ249" i="142"/>
  <c r="AR249" i="142" s="1"/>
  <c r="AO333" i="142"/>
  <c r="AP333" i="142" s="1"/>
  <c r="AS333" i="142"/>
  <c r="AT333" i="142" s="1"/>
  <c r="AO196" i="142"/>
  <c r="AP196" i="142" s="1"/>
  <c r="AI105" i="142"/>
  <c r="AM322" i="142"/>
  <c r="AN322" i="142" s="1"/>
  <c r="AQ140" i="142"/>
  <c r="AR140" i="142" s="1"/>
  <c r="AO140" i="142"/>
  <c r="AP140" i="142" s="1"/>
  <c r="AM140" i="142"/>
  <c r="AN140" i="142" s="1"/>
  <c r="AS140" i="142"/>
  <c r="AT140" i="142" s="1"/>
  <c r="AS195" i="142"/>
  <c r="AT195" i="142" s="1"/>
  <c r="AQ195" i="142"/>
  <c r="AR195" i="142" s="1"/>
  <c r="AO195" i="142"/>
  <c r="AP195" i="142" s="1"/>
  <c r="AM195" i="142"/>
  <c r="AN195" i="142" s="1"/>
  <c r="AS387" i="142"/>
  <c r="AT387" i="142" s="1"/>
  <c r="AQ387" i="142"/>
  <c r="AR387" i="142" s="1"/>
  <c r="AO387" i="142"/>
  <c r="AP387" i="142" s="1"/>
  <c r="AU332" i="142"/>
  <c r="AV332" i="142" s="1"/>
  <c r="AO311" i="142"/>
  <c r="AP311" i="142" s="1"/>
  <c r="AM311" i="142"/>
  <c r="AN311" i="142" s="1"/>
  <c r="AS311" i="142"/>
  <c r="AT311" i="142" s="1"/>
  <c r="AQ311" i="142"/>
  <c r="AR311" i="142" s="1"/>
  <c r="AY225" i="142"/>
  <c r="AU225" i="142"/>
  <c r="BA225" i="142"/>
  <c r="AW225" i="142"/>
  <c r="AQ225" i="142"/>
  <c r="AR225" i="142" s="1"/>
  <c r="AO225" i="142"/>
  <c r="AP225" i="142" s="1"/>
  <c r="AM225" i="142"/>
  <c r="AN225" i="142" s="1"/>
  <c r="AS225" i="142"/>
  <c r="AT225" i="142" s="1"/>
  <c r="L22" i="145"/>
  <c r="L7" i="145"/>
  <c r="AW333" i="142"/>
  <c r="AX333" i="142" s="1"/>
  <c r="N17" i="144"/>
  <c r="O17" i="144" s="1"/>
  <c r="U356" i="142"/>
  <c r="G62" i="148" s="1"/>
  <c r="Q355" i="142"/>
  <c r="P355" i="142"/>
  <c r="R355" i="142"/>
  <c r="R102" i="142"/>
  <c r="Q329" i="142"/>
  <c r="P330" i="142"/>
  <c r="P329" i="142"/>
  <c r="Q330" i="142"/>
  <c r="Q365" i="142"/>
  <c r="N20" i="144"/>
  <c r="O20" i="144" s="1"/>
  <c r="N16" i="144"/>
  <c r="O16" i="144" s="1"/>
  <c r="N27" i="144"/>
  <c r="O27" i="144" s="1"/>
  <c r="N19" i="144"/>
  <c r="O19" i="144" s="1"/>
  <c r="N23" i="144"/>
  <c r="O23" i="144" s="1"/>
  <c r="N15" i="144"/>
  <c r="O15" i="144" s="1"/>
  <c r="N21" i="144"/>
  <c r="O21" i="144" s="1"/>
  <c r="U75" i="142"/>
  <c r="G20" i="148" s="1"/>
  <c r="R91" i="142"/>
  <c r="P104" i="142"/>
  <c r="R372" i="142"/>
  <c r="U372" i="142"/>
  <c r="R365" i="142"/>
  <c r="P365" i="142"/>
  <c r="U394" i="142"/>
  <c r="Q393" i="142"/>
  <c r="R387" i="142" s="1"/>
  <c r="P393" i="142"/>
  <c r="R393" i="142"/>
  <c r="V372" i="142"/>
  <c r="R318" i="142"/>
  <c r="P372" i="142"/>
  <c r="Q176" i="142"/>
  <c r="R349" i="142"/>
  <c r="P349" i="142"/>
  <c r="Q319" i="142"/>
  <c r="V273" i="142"/>
  <c r="Q372" i="142"/>
  <c r="R364" i="142" s="1"/>
  <c r="R360" i="142"/>
  <c r="P319" i="142"/>
  <c r="R350" i="142"/>
  <c r="R319" i="142"/>
  <c r="Q318" i="142"/>
  <c r="Q360" i="142"/>
  <c r="R354" i="142" s="1"/>
  <c r="Q350" i="142"/>
  <c r="P383" i="142"/>
  <c r="P384" i="142"/>
  <c r="R384" i="142"/>
  <c r="P360" i="142"/>
  <c r="P318" i="142"/>
  <c r="R175" i="142"/>
  <c r="R176" i="142"/>
  <c r="Q44" i="142"/>
  <c r="P44" i="142"/>
  <c r="P19" i="142"/>
  <c r="Q19" i="142" s="1"/>
  <c r="R12" i="142" s="1"/>
  <c r="R19" i="142"/>
  <c r="Q175" i="142"/>
  <c r="Q383" i="142"/>
  <c r="P176" i="142"/>
  <c r="Q384" i="142"/>
  <c r="R245" i="142"/>
  <c r="Q13" i="142"/>
  <c r="R383" i="142"/>
  <c r="P74" i="142"/>
  <c r="R24" i="142"/>
  <c r="Q119" i="142"/>
  <c r="R107" i="142" s="1"/>
  <c r="R193" i="142"/>
  <c r="V308" i="142"/>
  <c r="Q193" i="142"/>
  <c r="Q74" i="142"/>
  <c r="P175" i="142"/>
  <c r="R104" i="142"/>
  <c r="Q104" i="142"/>
  <c r="R101" i="142" s="1"/>
  <c r="U105" i="142"/>
  <c r="U391" i="142"/>
  <c r="P388" i="142"/>
  <c r="Q388" i="142"/>
  <c r="R388" i="142"/>
  <c r="R381" i="142"/>
  <c r="P381" i="142"/>
  <c r="Q381" i="142"/>
  <c r="R377" i="142" s="1"/>
  <c r="U382" i="142"/>
  <c r="U368" i="142"/>
  <c r="U47" i="142"/>
  <c r="U352" i="142"/>
  <c r="P350" i="142"/>
  <c r="Q349" i="142"/>
  <c r="V19" i="142"/>
  <c r="U19" i="142"/>
  <c r="R25" i="142"/>
  <c r="P119" i="142"/>
  <c r="P25" i="142"/>
  <c r="U27" i="142"/>
  <c r="G13" i="148" s="1"/>
  <c r="R275" i="142"/>
  <c r="P276" i="142"/>
  <c r="R276" i="142"/>
  <c r="Q275" i="142"/>
  <c r="P275" i="142"/>
  <c r="Q276" i="142"/>
  <c r="R192" i="142"/>
  <c r="Q192" i="142"/>
  <c r="V246" i="142"/>
  <c r="U246" i="142"/>
  <c r="U245" i="142" s="1"/>
  <c r="V245" i="142"/>
  <c r="U17" i="142"/>
  <c r="P13" i="142"/>
  <c r="P193" i="142"/>
  <c r="U384" i="142"/>
  <c r="V383" i="142"/>
  <c r="U383" i="142"/>
  <c r="V384" i="142"/>
  <c r="U59" i="142"/>
  <c r="P246" i="142"/>
  <c r="U358" i="142"/>
  <c r="V360" i="142"/>
  <c r="U360" i="142"/>
  <c r="P108" i="142"/>
  <c r="R108" i="142"/>
  <c r="U109" i="142"/>
  <c r="Q108" i="142"/>
  <c r="P192" i="142"/>
  <c r="R246" i="142"/>
  <c r="R13" i="142"/>
  <c r="P82" i="142"/>
  <c r="U83" i="142"/>
  <c r="V82" i="142" s="1"/>
  <c r="Q82" i="142"/>
  <c r="R73" i="142" s="1"/>
  <c r="U192" i="142"/>
  <c r="V192" i="142"/>
  <c r="U193" i="142"/>
  <c r="V193" i="142"/>
  <c r="U227" i="142"/>
  <c r="P222" i="142"/>
  <c r="P223" i="142"/>
  <c r="R223" i="142"/>
  <c r="Q223" i="142"/>
  <c r="Q222" i="142"/>
  <c r="R222" i="142"/>
  <c r="U129" i="142"/>
  <c r="V119" i="142" s="1"/>
  <c r="U309" i="142"/>
  <c r="G52" i="148" s="1"/>
  <c r="Q307" i="142"/>
  <c r="R307" i="142"/>
  <c r="Q308" i="142"/>
  <c r="R308" i="142"/>
  <c r="P307" i="142"/>
  <c r="P308" i="142"/>
  <c r="U379" i="142"/>
  <c r="G66" i="148" s="1"/>
  <c r="R378" i="142"/>
  <c r="Q378" i="142"/>
  <c r="P378" i="142"/>
  <c r="Q25" i="142"/>
  <c r="Q246" i="142"/>
  <c r="V175" i="142" l="1"/>
  <c r="V176" i="142"/>
  <c r="U176" i="142"/>
  <c r="V99" i="142"/>
  <c r="BA368" i="142"/>
  <c r="BB368" i="142" s="1"/>
  <c r="AW368" i="142"/>
  <c r="AX368" i="142" s="1"/>
  <c r="AQ368" i="142"/>
  <c r="AR368" i="142" s="1"/>
  <c r="S367" i="142"/>
  <c r="S368" i="142" s="1"/>
  <c r="AY368" i="142"/>
  <c r="AZ368" i="142" s="1"/>
  <c r="AM368" i="142"/>
  <c r="AN368" i="142" s="1"/>
  <c r="AO368" i="142"/>
  <c r="AP368" i="142" s="1"/>
  <c r="AS368" i="142"/>
  <c r="AT368" i="142" s="1"/>
  <c r="AU368" i="142"/>
  <c r="AV368" i="142" s="1"/>
  <c r="T367" i="142"/>
  <c r="T368" i="142" s="1"/>
  <c r="U99" i="142"/>
  <c r="G34" i="148"/>
  <c r="V161" i="142"/>
  <c r="V160" i="142"/>
  <c r="P57" i="142"/>
  <c r="G28" i="148"/>
  <c r="AU110" i="142"/>
  <c r="AV110" i="142" s="1"/>
  <c r="AO110" i="142"/>
  <c r="AP110" i="142" s="1"/>
  <c r="BA110" i="142"/>
  <c r="BB110" i="142" s="1"/>
  <c r="AS110" i="142"/>
  <c r="AT110" i="142" s="1"/>
  <c r="AW110" i="142"/>
  <c r="AX110" i="142" s="1"/>
  <c r="AY110" i="142"/>
  <c r="AZ110" i="142" s="1"/>
  <c r="AQ110" i="142"/>
  <c r="AR110" i="142" s="1"/>
  <c r="AM110" i="142"/>
  <c r="AN110" i="142" s="1"/>
  <c r="Q57" i="142"/>
  <c r="R43" i="142" s="1"/>
  <c r="R57" i="142"/>
  <c r="G70" i="148"/>
  <c r="AQ393" i="142"/>
  <c r="AR393" i="142" s="1"/>
  <c r="AO393" i="142"/>
  <c r="AP393" i="142" s="1"/>
  <c r="AM393" i="142"/>
  <c r="AS393" i="142"/>
  <c r="AT393" i="142" s="1"/>
  <c r="G24" i="148"/>
  <c r="V92" i="142"/>
  <c r="U92" i="142"/>
  <c r="AS178" i="142"/>
  <c r="AT178" i="142" s="1"/>
  <c r="S93" i="142"/>
  <c r="J10" i="144" s="1"/>
  <c r="AQ104" i="142"/>
  <c r="AR104" i="142" s="1"/>
  <c r="AO278" i="142"/>
  <c r="AP278" i="142" s="1"/>
  <c r="AO28" i="142"/>
  <c r="AP28" i="142" s="1"/>
  <c r="AS28" i="142"/>
  <c r="AT28" i="142" s="1"/>
  <c r="AM28" i="142"/>
  <c r="AN28" i="142" s="1"/>
  <c r="AO104" i="142"/>
  <c r="AP104" i="142" s="1"/>
  <c r="AS104" i="142"/>
  <c r="AT104" i="142" s="1"/>
  <c r="V102" i="142"/>
  <c r="AM104" i="142"/>
  <c r="AN104" i="142" s="1"/>
  <c r="V318" i="142"/>
  <c r="V91" i="142"/>
  <c r="AQ278" i="142"/>
  <c r="AR278" i="142" s="1"/>
  <c r="V319" i="142"/>
  <c r="U329" i="142"/>
  <c r="AW332" i="142"/>
  <c r="AX332" i="142" s="1"/>
  <c r="U330" i="142"/>
  <c r="AY332" i="142"/>
  <c r="AZ332" i="142" s="1"/>
  <c r="V329" i="142"/>
  <c r="AQ332" i="142"/>
  <c r="AR332" i="142" s="1"/>
  <c r="V330" i="142"/>
  <c r="AM332" i="142"/>
  <c r="AN332" i="142" s="1"/>
  <c r="BA332" i="142"/>
  <c r="BB332" i="142" s="1"/>
  <c r="AO332" i="142"/>
  <c r="AP332" i="142" s="1"/>
  <c r="AS332" i="142"/>
  <c r="AT332" i="142" s="1"/>
  <c r="AM278" i="142"/>
  <c r="AN278" i="142" s="1"/>
  <c r="AS278" i="142"/>
  <c r="AT278" i="142" s="1"/>
  <c r="AM94" i="142"/>
  <c r="AN94" i="142" s="1"/>
  <c r="AQ94" i="142"/>
  <c r="AR94" i="142" s="1"/>
  <c r="AS94" i="142"/>
  <c r="AT94" i="142" s="1"/>
  <c r="AO94" i="142"/>
  <c r="AP94" i="142" s="1"/>
  <c r="AS321" i="142"/>
  <c r="AT321" i="142" s="1"/>
  <c r="AQ321" i="142"/>
  <c r="AR321" i="142" s="1"/>
  <c r="AQ178" i="142"/>
  <c r="AR178" i="142" s="1"/>
  <c r="U318" i="142"/>
  <c r="U175" i="142"/>
  <c r="U161" i="142" s="1"/>
  <c r="AM321" i="142"/>
  <c r="AN321" i="142" s="1"/>
  <c r="AM178" i="142"/>
  <c r="AN178" i="142" s="1"/>
  <c r="AO321" i="142"/>
  <c r="AP321" i="142" s="1"/>
  <c r="U319" i="142"/>
  <c r="AO178" i="142"/>
  <c r="AP178" i="142" s="1"/>
  <c r="S178" i="142"/>
  <c r="K15" i="144" s="1"/>
  <c r="J15" i="144"/>
  <c r="D13" i="144"/>
  <c r="E13" i="144"/>
  <c r="T162" i="142"/>
  <c r="M14" i="144" s="1"/>
  <c r="L14" i="144"/>
  <c r="AQ46" i="142"/>
  <c r="AR46" i="142" s="1"/>
  <c r="G18" i="148"/>
  <c r="T178" i="142"/>
  <c r="M15" i="144" s="1"/>
  <c r="L15" i="144"/>
  <c r="S162" i="142"/>
  <c r="K14" i="144" s="1"/>
  <c r="J14" i="144"/>
  <c r="S321" i="142"/>
  <c r="K21" i="144" s="1"/>
  <c r="J21" i="144"/>
  <c r="T321" i="142"/>
  <c r="M21" i="144" s="1"/>
  <c r="L21" i="144"/>
  <c r="T333" i="142"/>
  <c r="M22" i="144" s="1"/>
  <c r="L22" i="144"/>
  <c r="S333" i="142"/>
  <c r="K22" i="144" s="1"/>
  <c r="J22" i="144"/>
  <c r="S310" i="142"/>
  <c r="K20" i="144" s="1"/>
  <c r="J20" i="144"/>
  <c r="T310" i="142"/>
  <c r="M20" i="144" s="1"/>
  <c r="L20" i="144"/>
  <c r="T278" i="142"/>
  <c r="M19" i="144" s="1"/>
  <c r="L19" i="144"/>
  <c r="S278" i="142"/>
  <c r="K19" i="144" s="1"/>
  <c r="J19" i="144"/>
  <c r="S249" i="142"/>
  <c r="K18" i="144" s="1"/>
  <c r="J18" i="144"/>
  <c r="T249" i="142"/>
  <c r="M18" i="144" s="1"/>
  <c r="L18" i="144"/>
  <c r="S195" i="142"/>
  <c r="K16" i="144" s="1"/>
  <c r="J16" i="144"/>
  <c r="T195" i="142"/>
  <c r="M16" i="144" s="1"/>
  <c r="L16" i="144"/>
  <c r="AM14" i="142"/>
  <c r="AN14" i="142" s="1"/>
  <c r="G10" i="148"/>
  <c r="T94" i="142"/>
  <c r="M10" i="144" s="1"/>
  <c r="L10" i="144"/>
  <c r="AN164" i="142"/>
  <c r="AP164" i="142"/>
  <c r="T351" i="142"/>
  <c r="S351" i="142"/>
  <c r="AS163" i="142"/>
  <c r="AT163" i="142" s="1"/>
  <c r="AQ163" i="142"/>
  <c r="AR163" i="142" s="1"/>
  <c r="AO163" i="142"/>
  <c r="AP163" i="142" s="1"/>
  <c r="AM163" i="142"/>
  <c r="AN163" i="142" s="1"/>
  <c r="U160" i="142"/>
  <c r="U138" i="142" s="1"/>
  <c r="AI141" i="142"/>
  <c r="F30" i="145"/>
  <c r="AL28" i="145"/>
  <c r="H30" i="145"/>
  <c r="U30" i="145"/>
  <c r="AH30" i="145"/>
  <c r="S30" i="145"/>
  <c r="L28" i="145"/>
  <c r="F29" i="145"/>
  <c r="AF30" i="145"/>
  <c r="Y28" i="145"/>
  <c r="V74" i="142"/>
  <c r="V44" i="142"/>
  <c r="V365" i="142"/>
  <c r="AM353" i="142"/>
  <c r="AN353" i="142" s="1"/>
  <c r="AO353" i="142"/>
  <c r="AP353" i="142" s="1"/>
  <c r="AQ14" i="142"/>
  <c r="AR14" i="142" s="1"/>
  <c r="AO14" i="142"/>
  <c r="AP14" i="142" s="1"/>
  <c r="U13" i="142"/>
  <c r="U12" i="142" s="1"/>
  <c r="T13" i="142"/>
  <c r="S13" i="142"/>
  <c r="V364" i="142"/>
  <c r="AS14" i="142"/>
  <c r="AT14" i="142" s="1"/>
  <c r="T224" i="142"/>
  <c r="S224" i="142"/>
  <c r="S356" i="142"/>
  <c r="T356" i="142"/>
  <c r="T102" i="142"/>
  <c r="S102" i="142"/>
  <c r="T26" i="142"/>
  <c r="T27" i="142" s="1"/>
  <c r="S26" i="142"/>
  <c r="AS46" i="142"/>
  <c r="AT46" i="142" s="1"/>
  <c r="AO46" i="142"/>
  <c r="AP46" i="142" s="1"/>
  <c r="AS95" i="142"/>
  <c r="AT95" i="142" s="1"/>
  <c r="AU226" i="142"/>
  <c r="AM226" i="142"/>
  <c r="AN226" i="142" s="1"/>
  <c r="AQ226" i="142"/>
  <c r="AR226" i="142" s="1"/>
  <c r="AY226" i="142"/>
  <c r="BA226" i="142"/>
  <c r="AS226" i="142"/>
  <c r="AT226" i="142" s="1"/>
  <c r="AO226" i="142"/>
  <c r="AP226" i="142" s="1"/>
  <c r="AW226" i="142"/>
  <c r="AS105" i="142"/>
  <c r="AT105" i="142" s="1"/>
  <c r="AQ105" i="142"/>
  <c r="AR105" i="142" s="1"/>
  <c r="AO105" i="142"/>
  <c r="AP105" i="142" s="1"/>
  <c r="AM105" i="142"/>
  <c r="AN105" i="142" s="1"/>
  <c r="AO95" i="142"/>
  <c r="AP95" i="142" s="1"/>
  <c r="U365" i="142"/>
  <c r="U364" i="142" s="1"/>
  <c r="AN393" i="142"/>
  <c r="AQ76" i="142"/>
  <c r="AR76" i="142" s="1"/>
  <c r="AS76" i="142"/>
  <c r="AT76" i="142" s="1"/>
  <c r="AM76" i="142"/>
  <c r="AN76" i="142" s="1"/>
  <c r="AO76" i="142"/>
  <c r="AP76" i="142" s="1"/>
  <c r="AM95" i="142"/>
  <c r="AN95" i="142" s="1"/>
  <c r="AY380" i="142"/>
  <c r="AZ380" i="142" s="1"/>
  <c r="AQ380" i="142"/>
  <c r="AR380" i="142" s="1"/>
  <c r="AW380" i="142"/>
  <c r="AX380" i="142" s="1"/>
  <c r="AO380" i="142"/>
  <c r="AP380" i="142" s="1"/>
  <c r="AU380" i="142"/>
  <c r="AV380" i="142" s="1"/>
  <c r="AM380" i="142"/>
  <c r="AN380" i="142" s="1"/>
  <c r="BA380" i="142"/>
  <c r="BB380" i="142" s="1"/>
  <c r="AS380" i="142"/>
  <c r="AT380" i="142" s="1"/>
  <c r="AQ310" i="142"/>
  <c r="AR310" i="142" s="1"/>
  <c r="AO310" i="142"/>
  <c r="AP310" i="142" s="1"/>
  <c r="AM310" i="142"/>
  <c r="AN310" i="142" s="1"/>
  <c r="AS310" i="142"/>
  <c r="AT310" i="142" s="1"/>
  <c r="AM359" i="142"/>
  <c r="AN359" i="142" s="1"/>
  <c r="AY359" i="142"/>
  <c r="AZ359" i="142" s="1"/>
  <c r="AU359" i="142"/>
  <c r="AV359" i="142" s="1"/>
  <c r="BA359" i="142"/>
  <c r="BB359" i="142" s="1"/>
  <c r="AW359" i="142"/>
  <c r="AX359" i="142" s="1"/>
  <c r="AS359" i="142"/>
  <c r="AT359" i="142" s="1"/>
  <c r="AO359" i="142"/>
  <c r="AP359" i="142" s="1"/>
  <c r="AQ359" i="142"/>
  <c r="AR359" i="142" s="1"/>
  <c r="AW358" i="142"/>
  <c r="AX358" i="142" s="1"/>
  <c r="AO358" i="142"/>
  <c r="AP358" i="142" s="1"/>
  <c r="AU358" i="142"/>
  <c r="AV358" i="142" s="1"/>
  <c r="AM358" i="142"/>
  <c r="AN358" i="142" s="1"/>
  <c r="AS358" i="142"/>
  <c r="AT358" i="142" s="1"/>
  <c r="BA358" i="142"/>
  <c r="BB358" i="142" s="1"/>
  <c r="AY358" i="142"/>
  <c r="AZ358" i="142" s="1"/>
  <c r="AQ358" i="142"/>
  <c r="AR358" i="142" s="1"/>
  <c r="AQ95" i="142"/>
  <c r="AR95" i="142" s="1"/>
  <c r="AM46" i="142"/>
  <c r="AN46" i="142" s="1"/>
  <c r="V25" i="142"/>
  <c r="AM27" i="142"/>
  <c r="AN27" i="142" s="1"/>
  <c r="AQ27" i="142"/>
  <c r="AR27" i="142" s="1"/>
  <c r="AO27" i="142"/>
  <c r="AP27" i="142" s="1"/>
  <c r="AS27" i="142"/>
  <c r="AT27" i="142" s="1"/>
  <c r="AQ15" i="142"/>
  <c r="AR15" i="142" s="1"/>
  <c r="AO15" i="142"/>
  <c r="AP15" i="142" s="1"/>
  <c r="AM15" i="142"/>
  <c r="AN15" i="142" s="1"/>
  <c r="AS15" i="142"/>
  <c r="AT15" i="142" s="1"/>
  <c r="V354" i="142"/>
  <c r="V355" i="142"/>
  <c r="U355" i="142"/>
  <c r="Q12" i="142"/>
  <c r="U25" i="142"/>
  <c r="U24" i="142" s="1"/>
  <c r="V24" i="142"/>
  <c r="N12" i="144"/>
  <c r="O12" i="144" s="1"/>
  <c r="N26" i="144"/>
  <c r="O26" i="144" s="1"/>
  <c r="N8" i="144"/>
  <c r="O8" i="144" s="1"/>
  <c r="N18" i="144"/>
  <c r="O18" i="144" s="1"/>
  <c r="N9" i="144"/>
  <c r="O9" i="144" s="1"/>
  <c r="N10" i="144"/>
  <c r="O10" i="144" s="1"/>
  <c r="N25" i="144"/>
  <c r="O25" i="144" s="1"/>
  <c r="N11" i="144"/>
  <c r="O11" i="144" s="1"/>
  <c r="N6" i="144"/>
  <c r="O6" i="144" s="1"/>
  <c r="U74" i="142"/>
  <c r="V393" i="142"/>
  <c r="U393" i="142"/>
  <c r="T390" i="142" s="1"/>
  <c r="T391" i="142" s="1"/>
  <c r="Q101" i="142"/>
  <c r="P101" i="142"/>
  <c r="P73" i="142"/>
  <c r="P12" i="142"/>
  <c r="U44" i="142"/>
  <c r="U388" i="142"/>
  <c r="V388" i="142"/>
  <c r="V104" i="142"/>
  <c r="U104" i="142"/>
  <c r="V101" i="142" s="1"/>
  <c r="Q73" i="142"/>
  <c r="Q364" i="142"/>
  <c r="P364" i="142"/>
  <c r="V13" i="142"/>
  <c r="U350" i="142"/>
  <c r="V349" i="142"/>
  <c r="V350" i="142"/>
  <c r="U349" i="142"/>
  <c r="V381" i="142"/>
  <c r="U381" i="142"/>
  <c r="U108" i="142"/>
  <c r="V108" i="142"/>
  <c r="U82" i="142"/>
  <c r="V73" i="142" s="1"/>
  <c r="P377" i="142"/>
  <c r="Q377" i="142"/>
  <c r="U119" i="142"/>
  <c r="V107" i="142" s="1"/>
  <c r="U57" i="142"/>
  <c r="V43" i="142" s="1"/>
  <c r="V57" i="142"/>
  <c r="Q43" i="142"/>
  <c r="V276" i="142"/>
  <c r="U276" i="142"/>
  <c r="V275" i="142"/>
  <c r="U275" i="142"/>
  <c r="V222" i="142"/>
  <c r="U223" i="142"/>
  <c r="V223" i="142"/>
  <c r="U222" i="142"/>
  <c r="V12" i="142"/>
  <c r="Q24" i="142"/>
  <c r="P24" i="142"/>
  <c r="Q245" i="142"/>
  <c r="P245" i="142"/>
  <c r="V378" i="142"/>
  <c r="U378" i="142"/>
  <c r="U308" i="142"/>
  <c r="V307" i="142"/>
  <c r="U307" i="142"/>
  <c r="Q107" i="142"/>
  <c r="P107" i="142"/>
  <c r="P43" i="142" l="1"/>
  <c r="S94" i="142"/>
  <c r="K10" i="144" s="1"/>
  <c r="AU111" i="142"/>
  <c r="AV111" i="142" s="1"/>
  <c r="AS111" i="142"/>
  <c r="AT111" i="142" s="1"/>
  <c r="AM111" i="142"/>
  <c r="AN111" i="142" s="1"/>
  <c r="BA111" i="142"/>
  <c r="BB111" i="142" s="1"/>
  <c r="AQ111" i="142"/>
  <c r="AR111" i="142" s="1"/>
  <c r="AY111" i="142"/>
  <c r="AZ111" i="142" s="1"/>
  <c r="AO111" i="142"/>
  <c r="AP111" i="142" s="1"/>
  <c r="AW111" i="142"/>
  <c r="AX111" i="142" s="1"/>
  <c r="S390" i="142"/>
  <c r="S391" i="142" s="1"/>
  <c r="V387" i="142"/>
  <c r="T357" i="142"/>
  <c r="M24" i="144" s="1"/>
  <c r="L24" i="144"/>
  <c r="S357" i="142"/>
  <c r="K24" i="144" s="1"/>
  <c r="J24" i="144"/>
  <c r="S352" i="142"/>
  <c r="K23" i="144" s="1"/>
  <c r="J23" i="144"/>
  <c r="T352" i="142"/>
  <c r="M23" i="144" s="1"/>
  <c r="L23" i="144"/>
  <c r="M25" i="144"/>
  <c r="L25" i="144"/>
  <c r="K25" i="144"/>
  <c r="J25" i="144"/>
  <c r="S225" i="142"/>
  <c r="K17" i="144" s="1"/>
  <c r="J17" i="144"/>
  <c r="T225" i="142"/>
  <c r="M17" i="144" s="1"/>
  <c r="L17" i="144"/>
  <c r="T103" i="142"/>
  <c r="M11" i="144" s="1"/>
  <c r="L11" i="144"/>
  <c r="S103" i="142"/>
  <c r="K11" i="144" s="1"/>
  <c r="J11" i="144"/>
  <c r="S27" i="142"/>
  <c r="K7" i="144" s="1"/>
  <c r="J7" i="144"/>
  <c r="M7" i="144"/>
  <c r="L7" i="144"/>
  <c r="S14" i="142"/>
  <c r="J6" i="144"/>
  <c r="T14" i="142"/>
  <c r="L6" i="144"/>
  <c r="N14" i="144"/>
  <c r="O14" i="144" s="1"/>
  <c r="N13" i="144"/>
  <c r="O13" i="144" s="1"/>
  <c r="T140" i="142"/>
  <c r="S140" i="142"/>
  <c r="AU352" i="142"/>
  <c r="AV352" i="142" s="1"/>
  <c r="BA352" i="142"/>
  <c r="BB352" i="142" s="1"/>
  <c r="AS352" i="142"/>
  <c r="AT352" i="142" s="1"/>
  <c r="AY352" i="142"/>
  <c r="AZ352" i="142" s="1"/>
  <c r="AQ352" i="142"/>
  <c r="AR352" i="142" s="1"/>
  <c r="AW352" i="142"/>
  <c r="AX352" i="142" s="1"/>
  <c r="T379" i="142"/>
  <c r="S379" i="142"/>
  <c r="S44" i="142"/>
  <c r="T44" i="142"/>
  <c r="S75" i="142"/>
  <c r="AU77" i="142"/>
  <c r="AV77" i="142" s="1"/>
  <c r="T75" i="142"/>
  <c r="T109" i="142"/>
  <c r="T110" i="142" s="1"/>
  <c r="S109" i="142"/>
  <c r="S110" i="142" s="1"/>
  <c r="AM394" i="142"/>
  <c r="AN394" i="142" s="1"/>
  <c r="AS394" i="142"/>
  <c r="AT394" i="142" s="1"/>
  <c r="AM77" i="142"/>
  <c r="AN77" i="142" s="1"/>
  <c r="AS77" i="142"/>
  <c r="AT77" i="142" s="1"/>
  <c r="AQ77" i="142"/>
  <c r="AR77" i="142" s="1"/>
  <c r="AO77" i="142"/>
  <c r="AP77" i="142" s="1"/>
  <c r="AO47" i="142"/>
  <c r="AP47" i="142" s="1"/>
  <c r="AQ47" i="142"/>
  <c r="AR47" i="142" s="1"/>
  <c r="AM47" i="142"/>
  <c r="AN47" i="142" s="1"/>
  <c r="AS47" i="142"/>
  <c r="AT47" i="142" s="1"/>
  <c r="AO394" i="142"/>
  <c r="AP394" i="142" s="1"/>
  <c r="AQ394" i="142"/>
  <c r="AR394" i="142" s="1"/>
  <c r="V377" i="142"/>
  <c r="AW381" i="142"/>
  <c r="AX381" i="142" s="1"/>
  <c r="BA381" i="142"/>
  <c r="BB381" i="142" s="1"/>
  <c r="AO381" i="142"/>
  <c r="AP381" i="142" s="1"/>
  <c r="AS381" i="142"/>
  <c r="AT381" i="142" s="1"/>
  <c r="AU381" i="142"/>
  <c r="AV381" i="142" s="1"/>
  <c r="AY381" i="142"/>
  <c r="AZ381" i="142" s="1"/>
  <c r="AM381" i="142"/>
  <c r="AN381" i="142" s="1"/>
  <c r="AQ381" i="142"/>
  <c r="AR381" i="142" s="1"/>
  <c r="U73" i="142"/>
  <c r="U377" i="142"/>
  <c r="U101" i="142"/>
  <c r="U43" i="142"/>
  <c r="U107" i="142"/>
  <c r="T380" i="142" l="1"/>
  <c r="M26" i="144" s="1"/>
  <c r="L26" i="144"/>
  <c r="S380" i="142"/>
  <c r="K26" i="144" s="1"/>
  <c r="J26" i="144"/>
  <c r="M28" i="144"/>
  <c r="L28" i="144"/>
  <c r="K28" i="144"/>
  <c r="J28" i="144"/>
  <c r="S141" i="142"/>
  <c r="K13" i="144" s="1"/>
  <c r="J13" i="144"/>
  <c r="T141" i="142"/>
  <c r="M13" i="144" s="1"/>
  <c r="L13" i="144"/>
  <c r="M12" i="144"/>
  <c r="L12" i="144"/>
  <c r="K12" i="144"/>
  <c r="J12" i="144"/>
  <c r="S76" i="142"/>
  <c r="K9" i="144" s="1"/>
  <c r="J9" i="144"/>
  <c r="T76" i="142"/>
  <c r="M9" i="144" s="1"/>
  <c r="L9" i="144"/>
  <c r="T45" i="142"/>
  <c r="M8" i="144" s="1"/>
  <c r="L8" i="144"/>
  <c r="S45" i="142"/>
  <c r="K8" i="144" s="1"/>
  <c r="J8" i="144"/>
  <c r="M6" i="144"/>
  <c r="K6" i="144"/>
  <c r="G387" i="142" l="1"/>
  <c r="L387" i="142"/>
  <c r="D70" i="145" l="1"/>
  <c r="AI393" i="142"/>
  <c r="AI392" i="142"/>
  <c r="C28" i="144"/>
  <c r="P387" i="142"/>
  <c r="Q387" i="142"/>
  <c r="E28" i="144" l="1"/>
  <c r="D28" i="144"/>
  <c r="AL70" i="145"/>
  <c r="AF72" i="145"/>
  <c r="AJ72" i="145"/>
  <c r="AH72" i="145"/>
  <c r="Y70" i="145"/>
  <c r="W72" i="145"/>
  <c r="U72" i="145"/>
  <c r="S72" i="145"/>
  <c r="AI394" i="142"/>
  <c r="L70" i="145"/>
  <c r="J72" i="145"/>
  <c r="U387" i="142"/>
  <c r="N28" i="144" l="1"/>
  <c r="O28" i="144" s="1"/>
  <c r="C22" i="144" l="1"/>
  <c r="E22" i="144" l="1"/>
  <c r="D22" i="144"/>
  <c r="G354" i="142"/>
  <c r="L354" i="142"/>
  <c r="AI358" i="142" l="1"/>
  <c r="AI357" i="142"/>
  <c r="N22" i="144"/>
  <c r="O22" i="144" s="1"/>
  <c r="D58" i="145"/>
  <c r="C24" i="144"/>
  <c r="M400" i="142" l="1"/>
  <c r="L91" i="142"/>
  <c r="E24" i="144"/>
  <c r="D24" i="144"/>
  <c r="AL58" i="145"/>
  <c r="AF60" i="145"/>
  <c r="AH60" i="145"/>
  <c r="Y58" i="145"/>
  <c r="U60" i="145"/>
  <c r="S60" i="145"/>
  <c r="AI359" i="142"/>
  <c r="L58" i="145"/>
  <c r="AI93" i="142" l="1"/>
  <c r="AI94" i="142"/>
  <c r="C10" i="144"/>
  <c r="D19" i="145"/>
  <c r="N24" i="144"/>
  <c r="O24" i="144" s="1"/>
  <c r="P354" i="142"/>
  <c r="Q354" i="142"/>
  <c r="F20" i="145" l="1"/>
  <c r="AF21" i="145"/>
  <c r="Y19" i="145"/>
  <c r="F21" i="145"/>
  <c r="H21" i="145"/>
  <c r="AL19" i="145"/>
  <c r="U21" i="145"/>
  <c r="H20" i="145"/>
  <c r="AH21" i="145"/>
  <c r="S21" i="145"/>
  <c r="L19" i="145"/>
  <c r="D10" i="144"/>
  <c r="E10" i="144"/>
  <c r="AI95" i="142"/>
  <c r="U354" i="142"/>
  <c r="P91" i="142" l="1"/>
  <c r="Q91" i="142"/>
  <c r="U91" i="142"/>
  <c r="V414" i="142" s="1"/>
  <c r="AY353" i="142"/>
  <c r="AZ353" i="142" s="1"/>
  <c r="AQ353" i="142"/>
  <c r="AR353" i="142" s="1"/>
  <c r="AS353" i="142"/>
  <c r="AT353" i="142" s="1"/>
  <c r="AW353" i="142"/>
  <c r="AX353" i="142" s="1"/>
  <c r="AU353" i="142"/>
  <c r="AV353" i="142" s="1"/>
  <c r="BA353" i="142"/>
  <c r="BB353" i="142" s="1"/>
  <c r="V405" i="142"/>
  <c r="V416" i="142" l="1"/>
  <c r="V412" i="142"/>
  <c r="V406" i="142"/>
  <c r="V413" i="142"/>
  <c r="V409" i="142"/>
  <c r="V415" i="142"/>
  <c r="V410" i="142"/>
  <c r="V407" i="142"/>
  <c r="V408" i="142"/>
  <c r="V411" i="142"/>
  <c r="M24" i="142"/>
  <c r="E26" i="142"/>
  <c r="G24" i="142"/>
  <c r="M401" i="142"/>
  <c r="M399" i="142" s="1"/>
  <c r="F26" i="142"/>
  <c r="G12" i="145"/>
  <c r="G10" i="145" s="1"/>
  <c r="G73" i="145" s="1"/>
  <c r="E79" i="145" s="1"/>
  <c r="E12" i="145"/>
  <c r="E10" i="145" s="1"/>
  <c r="E73" i="145" s="1"/>
  <c r="E78" i="145" s="1"/>
  <c r="I12" i="145"/>
  <c r="I10" i="145" s="1"/>
  <c r="I73" i="145" s="1"/>
  <c r="E80" i="145" s="1"/>
  <c r="L24" i="142"/>
  <c r="M415" i="142" s="1"/>
  <c r="K12" i="145"/>
  <c r="K10" i="145" s="1"/>
  <c r="K73" i="145" s="1"/>
  <c r="E81" i="145" s="1"/>
  <c r="V404" i="142" l="1"/>
  <c r="F7" i="144"/>
  <c r="E27" i="142"/>
  <c r="G7" i="144" s="1"/>
  <c r="F27" i="142"/>
  <c r="I7" i="144" s="1"/>
  <c r="H7" i="144"/>
  <c r="M406" i="142"/>
  <c r="M408" i="142"/>
  <c r="D10" i="145"/>
  <c r="F11" i="145" s="1"/>
  <c r="M407" i="142"/>
  <c r="M409" i="142"/>
  <c r="M411" i="142"/>
  <c r="M414" i="142"/>
  <c r="C7" i="144"/>
  <c r="M413" i="142"/>
  <c r="M416" i="142"/>
  <c r="AI26" i="142"/>
  <c r="AI27" i="142"/>
  <c r="M405" i="142"/>
  <c r="M410" i="142"/>
  <c r="M412" i="142"/>
  <c r="E7" i="144" l="1"/>
  <c r="D7" i="144"/>
  <c r="Y10" i="145"/>
  <c r="Y73" i="145" s="1"/>
  <c r="AF12" i="145"/>
  <c r="D73" i="145"/>
  <c r="H11" i="145"/>
  <c r="U12" i="145"/>
  <c r="AL10" i="145"/>
  <c r="AL73" i="145" s="1"/>
  <c r="AH12" i="145"/>
  <c r="L10" i="145"/>
  <c r="L73" i="145" s="1"/>
  <c r="H12" i="145"/>
  <c r="S12" i="145"/>
  <c r="F12" i="145"/>
  <c r="C29" i="144"/>
  <c r="M404" i="142"/>
  <c r="N7" i="144" l="1"/>
  <c r="O7" i="144" s="1"/>
  <c r="F84" i="145"/>
  <c r="F79" i="145"/>
  <c r="F87" i="145"/>
  <c r="F83" i="145"/>
  <c r="AF82" i="145"/>
  <c r="H84" i="145"/>
  <c r="S78" i="145"/>
  <c r="H79" i="145"/>
  <c r="F82" i="145"/>
  <c r="F80" i="145"/>
  <c r="F81" i="145"/>
  <c r="H82" i="145"/>
  <c r="H83" i="145"/>
  <c r="H86" i="145"/>
  <c r="H85" i="145"/>
  <c r="H78" i="145"/>
  <c r="H87" i="145"/>
  <c r="F78" i="145"/>
  <c r="AF78" i="145"/>
  <c r="H81" i="145"/>
  <c r="H80" i="145"/>
  <c r="S82" i="145"/>
  <c r="F85" i="145"/>
  <c r="F86" i="145"/>
  <c r="R406" i="142" l="1"/>
  <c r="R408" i="142"/>
  <c r="R416" i="142"/>
  <c r="R410" i="142"/>
  <c r="R413" i="142"/>
  <c r="R412" i="142"/>
  <c r="R414" i="142"/>
  <c r="R411" i="142"/>
  <c r="R415" i="142"/>
  <c r="R409" i="142"/>
  <c r="R407" i="142"/>
  <c r="R405" i="142"/>
  <c r="R404" i="142" l="1"/>
</calcChain>
</file>

<file path=xl/comments1.xml><?xml version="1.0" encoding="utf-8"?>
<comments xmlns="http://schemas.openxmlformats.org/spreadsheetml/2006/main">
  <authors>
    <author>Anh Phuong</author>
  </authors>
  <commentList>
    <comment ref="G42" authorId="0" shapeId="0">
      <text>
        <r>
          <rPr>
            <b/>
            <sz val="9"/>
            <color indexed="81"/>
            <rFont val="Tahoma"/>
            <family val="2"/>
          </rPr>
          <t>Anh Phuong:</t>
        </r>
        <r>
          <rPr>
            <sz val="9"/>
            <color indexed="81"/>
            <rFont val="Tahoma"/>
            <family val="2"/>
          </rPr>
          <t xml:space="preserve">
Bổ sung điều kiện mức A2 trong kỳ xét thi đua tháng 02/2023</t>
        </r>
      </text>
    </comment>
    <comment ref="AD95" authorId="0" shapeId="0">
      <text>
        <r>
          <rPr>
            <b/>
            <sz val="9"/>
            <color indexed="81"/>
            <rFont val="Tahoma"/>
            <family val="2"/>
          </rPr>
          <t>Anh Phuong:</t>
        </r>
        <r>
          <rPr>
            <sz val="9"/>
            <color indexed="81"/>
            <rFont val="Tahoma"/>
            <family val="2"/>
          </rPr>
          <t xml:space="preserve">
bảng chấm công</t>
        </r>
      </text>
    </comment>
    <comment ref="AD96" authorId="0" shapeId="0">
      <text>
        <r>
          <rPr>
            <b/>
            <sz val="9"/>
            <color indexed="81"/>
            <rFont val="Tahoma"/>
            <family val="2"/>
          </rPr>
          <t>Anh Phuong:</t>
        </r>
        <r>
          <rPr>
            <sz val="9"/>
            <color indexed="81"/>
            <rFont val="Tahoma"/>
            <family val="2"/>
          </rPr>
          <t xml:space="preserve">
bảng chấm công</t>
        </r>
      </text>
    </comment>
    <comment ref="AD100" authorId="0" shapeId="0">
      <text>
        <r>
          <rPr>
            <b/>
            <sz val="9"/>
            <color indexed="81"/>
            <rFont val="Tahoma"/>
            <family val="2"/>
          </rPr>
          <t>Anh Phuong:</t>
        </r>
        <r>
          <rPr>
            <sz val="9"/>
            <color indexed="81"/>
            <rFont val="Tahoma"/>
            <family val="2"/>
          </rPr>
          <t xml:space="preserve">
bảng chấm công</t>
        </r>
      </text>
    </comment>
    <comment ref="G140" authorId="0" shapeId="0">
      <text>
        <r>
          <rPr>
            <b/>
            <sz val="9"/>
            <color indexed="81"/>
            <rFont val="Tahoma"/>
            <family val="2"/>
          </rPr>
          <t>Anh Phuong:</t>
        </r>
        <r>
          <rPr>
            <sz val="9"/>
            <color indexed="81"/>
            <rFont val="Tahoma"/>
            <family val="2"/>
          </rPr>
          <t xml:space="preserve">
Bổ sung bài báo nhóm 4 tác giả trong kỳ xét thi đua tháng 2/2023</t>
        </r>
      </text>
    </comment>
    <comment ref="G143" authorId="0" shapeId="0">
      <text>
        <r>
          <rPr>
            <b/>
            <sz val="9"/>
            <color indexed="81"/>
            <rFont val="Tahoma"/>
            <family val="2"/>
          </rPr>
          <t>Anh Phuong:</t>
        </r>
        <r>
          <rPr>
            <sz val="9"/>
            <color indexed="81"/>
            <rFont val="Tahoma"/>
            <family val="2"/>
          </rPr>
          <t xml:space="preserve">
Bổ sung bài báo nhóm 4 tác giả trong kỳ xét thi đua tháng 2/2023</t>
        </r>
      </text>
    </comment>
    <comment ref="G145" authorId="0" shapeId="0">
      <text>
        <r>
          <rPr>
            <b/>
            <sz val="9"/>
            <color indexed="81"/>
            <rFont val="Tahoma"/>
            <family val="2"/>
          </rPr>
          <t>Anh Phuong:</t>
        </r>
        <r>
          <rPr>
            <sz val="9"/>
            <color indexed="81"/>
            <rFont val="Tahoma"/>
            <family val="2"/>
          </rPr>
          <t xml:space="preserve">
Bổ sung bài báo nhóm 4 tác giả trong kỳ xét thi đua tháng 2/2023</t>
        </r>
      </text>
    </comment>
    <comment ref="G179" authorId="0" shapeId="0">
      <text>
        <r>
          <rPr>
            <b/>
            <sz val="9"/>
            <color indexed="81"/>
            <rFont val="Tahoma"/>
            <family val="2"/>
          </rPr>
          <t>Anh Phuong:</t>
        </r>
        <r>
          <rPr>
            <sz val="9"/>
            <color indexed="81"/>
            <rFont val="Tahoma"/>
            <family val="2"/>
          </rPr>
          <t xml:space="preserve">
Bổ sung bài báo nhóm 1 tác giả trong kỳ xét thi đua tháng 2/2023</t>
        </r>
      </text>
    </comment>
    <comment ref="J220" authorId="0" shapeId="0">
      <text>
        <r>
          <rPr>
            <b/>
            <sz val="9"/>
            <color indexed="81"/>
            <rFont val="Tahoma"/>
            <family val="2"/>
          </rPr>
          <t>Anh Phuong:</t>
        </r>
        <r>
          <rPr>
            <sz val="9"/>
            <color indexed="81"/>
            <rFont val="Tahoma"/>
            <family val="2"/>
          </rPr>
          <t xml:space="preserve">
Chưa có minh chứng</t>
        </r>
      </text>
    </comment>
    <comment ref="G224" authorId="0" shapeId="0">
      <text>
        <r>
          <rPr>
            <b/>
            <sz val="9"/>
            <color indexed="81"/>
            <rFont val="Tahoma"/>
            <family val="2"/>
          </rPr>
          <t>Anh Phuong:</t>
        </r>
        <r>
          <rPr>
            <sz val="9"/>
            <color indexed="81"/>
            <rFont val="Tahoma"/>
            <family val="2"/>
          </rPr>
          <t xml:space="preserve">
Thiết kế trang Web 12 khoa không xét làm điều kiện thi đua mức A1 trong năm 2023</t>
        </r>
      </text>
    </comment>
    <comment ref="G295" authorId="0" shapeId="0">
      <text>
        <r>
          <rPr>
            <b/>
            <sz val="9"/>
            <color indexed="81"/>
            <rFont val="Tahoma"/>
            <family val="2"/>
          </rPr>
          <t>Anh Phuong:</t>
        </r>
        <r>
          <rPr>
            <sz val="9"/>
            <color indexed="81"/>
            <rFont val="Tahoma"/>
            <family val="2"/>
          </rPr>
          <t xml:space="preserve">
Bổ sung bài báo quốc tế nhóm 2 tác giả trong kỳ xét thi đua tháng 2/2023</t>
        </r>
      </text>
    </comment>
    <comment ref="G300" authorId="0" shapeId="0">
      <text>
        <r>
          <rPr>
            <b/>
            <sz val="9"/>
            <color indexed="81"/>
            <rFont val="Tahoma"/>
            <family val="2"/>
          </rPr>
          <t>Anh Phuong:</t>
        </r>
        <r>
          <rPr>
            <sz val="9"/>
            <color indexed="81"/>
            <rFont val="Tahoma"/>
            <family val="2"/>
          </rPr>
          <t xml:space="preserve">
Bổ sung bài báo quốc tế nhóm 2 tác giả trong kỳ xét thi đua tháng 2/2023</t>
        </r>
      </text>
    </comment>
    <comment ref="I351" authorId="0" shapeId="0">
      <text>
        <r>
          <rPr>
            <b/>
            <sz val="9"/>
            <color indexed="81"/>
            <rFont val="Tahoma"/>
            <family val="2"/>
          </rPr>
          <t>Anh Phuong:</t>
        </r>
        <r>
          <rPr>
            <sz val="9"/>
            <color indexed="81"/>
            <rFont val="Tahoma"/>
            <family val="2"/>
          </rPr>
          <t xml:space="preserve">
Đơn vị kê điều kiện A1</t>
        </r>
      </text>
    </comment>
  </commentList>
</comments>
</file>

<file path=xl/sharedStrings.xml><?xml version="1.0" encoding="utf-8"?>
<sst xmlns="http://schemas.openxmlformats.org/spreadsheetml/2006/main" count="7265" uniqueCount="1275">
  <si>
    <t>TT</t>
  </si>
  <si>
    <t>Lý do</t>
  </si>
  <si>
    <t>Tổng số CB-GV-NV</t>
  </si>
  <si>
    <t>Tổng hợp từ đơn vị :</t>
  </si>
  <si>
    <t>Ghi chú</t>
  </si>
  <si>
    <t>01</t>
  </si>
  <si>
    <t>02</t>
  </si>
  <si>
    <t>HĐ</t>
  </si>
  <si>
    <t>Ghi nhận từ các phòng chức năng</t>
  </si>
  <si>
    <t>Ý kiến của nhóm Thường trực</t>
  </si>
  <si>
    <t>03</t>
  </si>
  <si>
    <t>04</t>
  </si>
  <si>
    <t>05</t>
  </si>
  <si>
    <t>06</t>
  </si>
  <si>
    <t>07</t>
  </si>
  <si>
    <t>08</t>
  </si>
  <si>
    <t>09</t>
  </si>
  <si>
    <t>10</t>
  </si>
  <si>
    <t>11</t>
  </si>
  <si>
    <t>12</t>
  </si>
  <si>
    <t>A DN</t>
  </si>
  <si>
    <t>13</t>
  </si>
  <si>
    <t>14</t>
  </si>
  <si>
    <t>15</t>
  </si>
  <si>
    <t>16</t>
  </si>
  <si>
    <t>17</t>
  </si>
  <si>
    <t>18</t>
  </si>
  <si>
    <t>19</t>
  </si>
  <si>
    <t>20</t>
  </si>
  <si>
    <t>21</t>
  </si>
  <si>
    <t>22</t>
  </si>
  <si>
    <t>23</t>
  </si>
  <si>
    <t>24</t>
  </si>
  <si>
    <t>25</t>
  </si>
  <si>
    <t>26</t>
  </si>
  <si>
    <t>27</t>
  </si>
  <si>
    <t>28</t>
  </si>
  <si>
    <t>29</t>
  </si>
  <si>
    <t>30</t>
  </si>
  <si>
    <t>31</t>
  </si>
  <si>
    <t>32</t>
  </si>
  <si>
    <t>33</t>
  </si>
  <si>
    <t>35</t>
  </si>
  <si>
    <t>36</t>
  </si>
  <si>
    <t>BAN GIÁM HIỆU</t>
  </si>
  <si>
    <t>a</t>
  </si>
  <si>
    <t>Viên chức</t>
  </si>
  <si>
    <t>c</t>
  </si>
  <si>
    <t>Hợp đồng trường</t>
  </si>
  <si>
    <t>PHÒNG KẾ HOẠCH - TÀI CHÍNH</t>
  </si>
  <si>
    <t>PHÒNG QUẢN TRỊ - DỊCH VỤ</t>
  </si>
  <si>
    <t>b</t>
  </si>
  <si>
    <t>PHÒNG TUYỂN SINH - ĐÀO TẠO</t>
  </si>
  <si>
    <t>TRUNG TÂM QUAN HỆ DOANH NGHIỆP</t>
  </si>
  <si>
    <t>TRUNG TÂM Y TẾ</t>
  </si>
  <si>
    <t>TRUNG TÂM THƯ VIỆN</t>
  </si>
  <si>
    <t>KHOA KHOA HỌC CƠ BẢN</t>
  </si>
  <si>
    <t>KHOA LÝ LUẬN CHÍNH TRỊ</t>
  </si>
  <si>
    <t>KHOA CÔNG NGHỆ THÔNG TIN</t>
  </si>
  <si>
    <t>KHOA CƠ KHÍ</t>
  </si>
  <si>
    <t>KHOA KINH TẾ</t>
  </si>
  <si>
    <t>KHOA XÂY DỰNG</t>
  </si>
  <si>
    <t>Mã E-office</t>
  </si>
  <si>
    <t>Xếp loại</t>
  </si>
  <si>
    <t>Stt</t>
  </si>
  <si>
    <t>01004005</t>
  </si>
  <si>
    <t>01022013</t>
  </si>
  <si>
    <t>01004003</t>
  </si>
  <si>
    <t>01004008</t>
  </si>
  <si>
    <t>01004009</t>
  </si>
  <si>
    <t>01002020</t>
  </si>
  <si>
    <t>01012026</t>
  </si>
  <si>
    <t>01003002</t>
  </si>
  <si>
    <t>01003009</t>
  </si>
  <si>
    <t>01003005</t>
  </si>
  <si>
    <t>01023004</t>
  </si>
  <si>
    <t>01003008</t>
  </si>
  <si>
    <t>01003014</t>
  </si>
  <si>
    <t>01011017</t>
  </si>
  <si>
    <t>01022059</t>
  </si>
  <si>
    <t>01018006</t>
  </si>
  <si>
    <t>01004013</t>
  </si>
  <si>
    <t>A1</t>
  </si>
  <si>
    <t>A4</t>
  </si>
  <si>
    <t>A2</t>
  </si>
  <si>
    <t>A3</t>
  </si>
  <si>
    <t>01002002</t>
  </si>
  <si>
    <t>01009006</t>
  </si>
  <si>
    <t>01009018</t>
  </si>
  <si>
    <t>01009010</t>
  </si>
  <si>
    <t>01002004</t>
  </si>
  <si>
    <t>01009008</t>
  </si>
  <si>
    <t>01022058</t>
  </si>
  <si>
    <t>01007004</t>
  </si>
  <si>
    <t>01002008</t>
  </si>
  <si>
    <t>01009019</t>
  </si>
  <si>
    <t>01009011</t>
  </si>
  <si>
    <t>01009028</t>
  </si>
  <si>
    <t>01009026</t>
  </si>
  <si>
    <t>01009009</t>
  </si>
  <si>
    <t>01004004</t>
  </si>
  <si>
    <t>01006003</t>
  </si>
  <si>
    <t>01015027</t>
  </si>
  <si>
    <t>01022061</t>
  </si>
  <si>
    <t>01013032</t>
  </si>
  <si>
    <t>01006006</t>
  </si>
  <si>
    <t>01008028</t>
  </si>
  <si>
    <t>01008002</t>
  </si>
  <si>
    <t>01025007</t>
  </si>
  <si>
    <t>Số ngày/giờ vượt so với ngày công kế hoạch (đối với CB-NV)</t>
  </si>
  <si>
    <t>Công việc chung của trường</t>
  </si>
  <si>
    <t>Công việc riêng của đơn vị</t>
  </si>
  <si>
    <t>01014002</t>
  </si>
  <si>
    <t>01014004</t>
  </si>
  <si>
    <t>01023003</t>
  </si>
  <si>
    <t>01014007</t>
  </si>
  <si>
    <t>01014038</t>
  </si>
  <si>
    <t>01014005</t>
  </si>
  <si>
    <t>01014046</t>
  </si>
  <si>
    <t>01014026</t>
  </si>
  <si>
    <t>01014029</t>
  </si>
  <si>
    <t>01014033</t>
  </si>
  <si>
    <t>01014013</t>
  </si>
  <si>
    <t>01014017</t>
  </si>
  <si>
    <t>01014034</t>
  </si>
  <si>
    <t>01014020</t>
  </si>
  <si>
    <t>01014018</t>
  </si>
  <si>
    <t>01014019</t>
  </si>
  <si>
    <t>01014010</t>
  </si>
  <si>
    <t>01014030</t>
  </si>
  <si>
    <t>01014024</t>
  </si>
  <si>
    <t>01014048</t>
  </si>
  <si>
    <t>01014022</t>
  </si>
  <si>
    <t>01014025</t>
  </si>
  <si>
    <t>01014032</t>
  </si>
  <si>
    <t>01014006</t>
  </si>
  <si>
    <t>01014009</t>
  </si>
  <si>
    <t>01014045</t>
  </si>
  <si>
    <t>01014021</t>
  </si>
  <si>
    <t>01014016</t>
  </si>
  <si>
    <t>B2</t>
  </si>
  <si>
    <t>B1</t>
  </si>
  <si>
    <t>Lê Xuân Thiện</t>
  </si>
  <si>
    <t>Nguyễn Ngọc Hiệp</t>
  </si>
  <si>
    <t>Nguyễn Thị Kim Anh</t>
  </si>
  <si>
    <t>Phạm Thị Lê Chi</t>
  </si>
  <si>
    <t>Trần Thị Thu Hà</t>
  </si>
  <si>
    <t>Nguyễn Tất Thắng</t>
  </si>
  <si>
    <t>Nguyễn Thị Ngọc Anh</t>
  </si>
  <si>
    <t>Mai Thu Hương</t>
  </si>
  <si>
    <t>Nguyễn Trung Dũng</t>
  </si>
  <si>
    <t>Phạm Huy Hoàng</t>
  </si>
  <si>
    <t>Huỳnh Văn Hiếu</t>
  </si>
  <si>
    <t>Trần Anh Mỹ</t>
  </si>
  <si>
    <t>Bùi Đức Phước</t>
  </si>
  <si>
    <t>Nguyễn Chí Nhân</t>
  </si>
  <si>
    <t>Huỳnh Thị Mai</t>
  </si>
  <si>
    <t>Nguyễn Thanh Sơn</t>
  </si>
  <si>
    <t>Vũ Thị Thu Thủy</t>
  </si>
  <si>
    <t>Nguyễn Thị Tuyết</t>
  </si>
  <si>
    <t>Lương Minh Dũng</t>
  </si>
  <si>
    <t>Nguyễn Yến Nhi</t>
  </si>
  <si>
    <t>Lê Tiến Dũng</t>
  </si>
  <si>
    <t>Lê Quang Liêm</t>
  </si>
  <si>
    <t>Nguyễn Văn Thành</t>
  </si>
  <si>
    <t>Trịnh Hoàng Hiệp</t>
  </si>
  <si>
    <t>Nguyễn Trọng Phú</t>
  </si>
  <si>
    <t>01008004</t>
  </si>
  <si>
    <t>Phan Đức Long</t>
  </si>
  <si>
    <t>01009007</t>
  </si>
  <si>
    <t>Giáp Văn Thịnh</t>
  </si>
  <si>
    <t>01008008</t>
  </si>
  <si>
    <t>Vũ Ngọc Quang</t>
  </si>
  <si>
    <t>01008006</t>
  </si>
  <si>
    <t>Nguyễn Cao Thắng</t>
  </si>
  <si>
    <t>01002021</t>
  </si>
  <si>
    <t>Ninh Đỗ Hiệp</t>
  </si>
  <si>
    <t>01017009</t>
  </si>
  <si>
    <t>Nguyễn Tiến Việt Dũng</t>
  </si>
  <si>
    <t>01015026</t>
  </si>
  <si>
    <t>Bùi Đặng Hoàng Tuấn</t>
  </si>
  <si>
    <t>01015028</t>
  </si>
  <si>
    <t>Lê Hồng Anh Tuấn</t>
  </si>
  <si>
    <t>01008005</t>
  </si>
  <si>
    <t>Trần Văn Lý</t>
  </si>
  <si>
    <t>Bùi Thị Dương</t>
  </si>
  <si>
    <t>01009014</t>
  </si>
  <si>
    <t>Võ Tấn Kiệt</t>
  </si>
  <si>
    <t>01008034</t>
  </si>
  <si>
    <t>01008021</t>
  </si>
  <si>
    <t>Dương Thị Thủy</t>
  </si>
  <si>
    <t>01008009</t>
  </si>
  <si>
    <t>Nguyễn Thị Thảo</t>
  </si>
  <si>
    <t>01007003</t>
  </si>
  <si>
    <t>Đỗ Thị Bích Thủy</t>
  </si>
  <si>
    <t>01008031</t>
  </si>
  <si>
    <t>Trần Kim Tươi</t>
  </si>
  <si>
    <t>01008039</t>
  </si>
  <si>
    <t>Trương Thị Bắc</t>
  </si>
  <si>
    <t>01008040</t>
  </si>
  <si>
    <t>Trương Thị Định</t>
  </si>
  <si>
    <t>01008041</t>
  </si>
  <si>
    <t>01012027</t>
  </si>
  <si>
    <t>Tạ Quốc Tấn</t>
  </si>
  <si>
    <t>01008012</t>
  </si>
  <si>
    <t>01017008</t>
  </si>
  <si>
    <t>Huỳnh Bá Triết</t>
  </si>
  <si>
    <t>01008033</t>
  </si>
  <si>
    <t>Võ Thị Tuyết</t>
  </si>
  <si>
    <t>01013033</t>
  </si>
  <si>
    <t>01009015</t>
  </si>
  <si>
    <t>Nguyễn Thị Huyền Nga</t>
  </si>
  <si>
    <t>01010006</t>
  </si>
  <si>
    <t>01010012</t>
  </si>
  <si>
    <t>01004012</t>
  </si>
  <si>
    <t>01010026</t>
  </si>
  <si>
    <t>01010023</t>
  </si>
  <si>
    <t>01010029</t>
  </si>
  <si>
    <t>Đặng Thị Kiến Trúc</t>
  </si>
  <si>
    <t>01010024</t>
  </si>
  <si>
    <t>Nguyễn Văn Đông</t>
  </si>
  <si>
    <t>01010017</t>
  </si>
  <si>
    <t>Lê Minh Phong</t>
  </si>
  <si>
    <t>01022048</t>
  </si>
  <si>
    <t>Nguyễn Thị Thu Hà</t>
  </si>
  <si>
    <t>01010039</t>
  </si>
  <si>
    <t>Phạm Thị Thu Hiền</t>
  </si>
  <si>
    <t>01010040</t>
  </si>
  <si>
    <t>Lê Nguyễn Mỹ Trâm</t>
  </si>
  <si>
    <t>01010009</t>
  </si>
  <si>
    <t>Nguyễn Thị Bảo Trân</t>
  </si>
  <si>
    <t>01010020</t>
  </si>
  <si>
    <t>Vương Thanh Thủy</t>
  </si>
  <si>
    <t>01010018</t>
  </si>
  <si>
    <t>Nguyễn Thị Thu Tâm</t>
  </si>
  <si>
    <t>01010019</t>
  </si>
  <si>
    <t>Võ Thị Hồng Lan</t>
  </si>
  <si>
    <t>01010015</t>
  </si>
  <si>
    <t>Nguyễn Thị Thanh Tú</t>
  </si>
  <si>
    <t>01010027</t>
  </si>
  <si>
    <t>Trần Thanh Trúc</t>
  </si>
  <si>
    <t>01002025</t>
  </si>
  <si>
    <t>01010162</t>
  </si>
  <si>
    <t>Lâm Thị Phương Thảo</t>
  </si>
  <si>
    <t>01010141</t>
  </si>
  <si>
    <t>Nguyễn Văn Hậu</t>
  </si>
  <si>
    <t>01010033</t>
  </si>
  <si>
    <t>Dương Đức Kiên</t>
  </si>
  <si>
    <t>01010037</t>
  </si>
  <si>
    <t>Hà Như Mai</t>
  </si>
  <si>
    <t>01010031</t>
  </si>
  <si>
    <t>Nguyễn Thành Nam</t>
  </si>
  <si>
    <t>01005007</t>
  </si>
  <si>
    <t>Phạm Thị Thu Nga</t>
  </si>
  <si>
    <t>01010007</t>
  </si>
  <si>
    <t>Nguyễn Thị Cẩm Thạch</t>
  </si>
  <si>
    <t>01010016</t>
  </si>
  <si>
    <t>Nguyễn Thị Thủy</t>
  </si>
  <si>
    <t>01010028</t>
  </si>
  <si>
    <t>Trương Thị Hồng</t>
  </si>
  <si>
    <t>01010032</t>
  </si>
  <si>
    <t>Giang Phi Hùng</t>
  </si>
  <si>
    <t>Nguyễn Phú Tân</t>
  </si>
  <si>
    <t>01010022</t>
  </si>
  <si>
    <t>Lê Thái Hùng</t>
  </si>
  <si>
    <t>01010021</t>
  </si>
  <si>
    <t>Ngô Thanh Điền</t>
  </si>
  <si>
    <t>01022005</t>
  </si>
  <si>
    <t>Trần Thị Thu</t>
  </si>
  <si>
    <t>Nguyễn Thị Dinh</t>
  </si>
  <si>
    <t>Bùi Thành Dũng</t>
  </si>
  <si>
    <t>Lê Thị Mai Hường</t>
  </si>
  <si>
    <t>Đinh Thị Huyên</t>
  </si>
  <si>
    <t>Nguyễn Anh Kiệt</t>
  </si>
  <si>
    <t>Trần Văn Lượng</t>
  </si>
  <si>
    <t>Đỗ Thị Ngát</t>
  </si>
  <si>
    <t>Nguyễn Ngọc Quỳnh</t>
  </si>
  <si>
    <t>Cao Thị Hồng Thắm</t>
  </si>
  <si>
    <t>Đỗ Thị Thơm</t>
  </si>
  <si>
    <t>Trần Thị Hồng Thu</t>
  </si>
  <si>
    <t>Phan Thị Thùy Trang</t>
  </si>
  <si>
    <t>Hoàng Thị Trang</t>
  </si>
  <si>
    <t>Lê Thị Hồng Vân</t>
  </si>
  <si>
    <t>Phạm Thị Vinh</t>
  </si>
  <si>
    <t>Chung Trần Thế Vinh</t>
  </si>
  <si>
    <t>01012003</t>
  </si>
  <si>
    <t>Trần Đình Khải</t>
  </si>
  <si>
    <t>01012008</t>
  </si>
  <si>
    <t>Vũ Quang Khải</t>
  </si>
  <si>
    <t>01012007</t>
  </si>
  <si>
    <t>Vũ Đức Pháp</t>
  </si>
  <si>
    <t>01012013</t>
  </si>
  <si>
    <t>Bùi Anh Tuấn</t>
  </si>
  <si>
    <t>01012023</t>
  </si>
  <si>
    <t>Dương Minh Chung</t>
  </si>
  <si>
    <t>01012014</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</si>
  <si>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</si>
  <si>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</si>
  <si>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</si>
  <si>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</si>
  <si>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</si>
  <si>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</si>
  <si>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</si>
  <si>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</si>
  <si>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</si>
  <si>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</si>
  <si>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</si>
  <si>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</si>
  <si>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</si>
  <si>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</si>
  <si>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</si>
  <si>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</si>
  <si>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C1</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</si>
  <si>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</si>
  <si>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</si>
  <si>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</si>
  <si>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</si>
  <si>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</si>
  <si>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</si>
  <si>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</si>
  <si>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</si>
  <si>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</si>
  <si>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</si>
  <si>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</si>
  <si>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</si>
  <si>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</si>
  <si>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</si>
  <si>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</si>
  <si>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Nguyễn Hồng Phúc</t>
  </si>
  <si>
    <t>01025017</t>
  </si>
  <si>
    <t>Nguyễn Văn Sơn</t>
  </si>
  <si>
    <t>01006004</t>
  </si>
  <si>
    <t>Nguyễn Khắc Huy</t>
  </si>
  <si>
    <t>01013068</t>
  </si>
  <si>
    <t>Nguyễn Anh Tuấn</t>
  </si>
  <si>
    <t>Võ Đắc Thịnh</t>
  </si>
  <si>
    <t>Nguyễn Hữu Mạnh</t>
  </si>
  <si>
    <t>Hà Quốc Bảo</t>
  </si>
  <si>
    <t>Triệu Phú Nguyên</t>
  </si>
  <si>
    <t>Nguyễn Thành Đức</t>
  </si>
  <si>
    <t>Nguyễn Minh Thái</t>
  </si>
  <si>
    <t>Đặng Thái Sơn</t>
  </si>
  <si>
    <t>Nguyễn Thái Bình</t>
  </si>
  <si>
    <t>Kiều Trung Tín</t>
  </si>
  <si>
    <t>Trần Quốc Duy</t>
  </si>
  <si>
    <t>Hồ Văn Hóa</t>
  </si>
  <si>
    <t>Nguyễn Thanh Hùng</t>
  </si>
  <si>
    <t>Phan Anh Tuấn Kiệt</t>
  </si>
  <si>
    <t>Hoàng Phúc Bảo</t>
  </si>
  <si>
    <t>Nguyễn Lương Tâm</t>
  </si>
  <si>
    <t>Trần Thế Sơn</t>
  </si>
  <si>
    <t>Trần Văn Đông</t>
  </si>
  <si>
    <t>Lý Văn Trung</t>
  </si>
  <si>
    <t>Nguyễn Hoàng Vinh</t>
  </si>
  <si>
    <t>Đỗ Hoàng Duy</t>
  </si>
  <si>
    <t>Hồ Văn Sĩ</t>
  </si>
  <si>
    <t>Lương Xuân Thịnh</t>
  </si>
  <si>
    <t>Nguyễn Thị Thùy</t>
  </si>
  <si>
    <t>Võ Thị Xuân Thơ</t>
  </si>
  <si>
    <t>Nguyễn Thị Thanh Thảo</t>
  </si>
  <si>
    <t>Huỳnh Thị Cẩm Hoa</t>
  </si>
  <si>
    <t>Giáp Thị Vượng</t>
  </si>
  <si>
    <t>Thái Thị My Sa</t>
  </si>
  <si>
    <t>Mai Nguyễn Hoàng Yến</t>
  </si>
  <si>
    <t>Nguyễn Thị Hải Hà</t>
  </si>
  <si>
    <t>01005009</t>
  </si>
  <si>
    <t>01010038</t>
  </si>
  <si>
    <t>Sỹ Thị Chung</t>
  </si>
  <si>
    <t>Nguyễn Thị Tất</t>
  </si>
  <si>
    <t>Nguyễn Thị Nhung</t>
  </si>
  <si>
    <t>Nguyễn Việt Tiến</t>
  </si>
  <si>
    <t>Lâm Viết Dũng</t>
  </si>
  <si>
    <t>Vũ Như Quỳnh</t>
  </si>
  <si>
    <t>Phan Thị Ngọc Phượng</t>
  </si>
  <si>
    <t>Nguyễn Thị Bích Liễu</t>
  </si>
  <si>
    <t>Nguyễn Văn Chì</t>
  </si>
  <si>
    <t>Trần Thị Ánh Phượng</t>
  </si>
  <si>
    <t>Lưu Hoàng Hải Yến</t>
  </si>
  <si>
    <t>Nguyễn Thị Vân</t>
  </si>
  <si>
    <t>Trần Thị Phương Oanh</t>
  </si>
  <si>
    <t>Thân Thị Nhung</t>
  </si>
  <si>
    <t>Huỳnh Thị Xuân Mai</t>
  </si>
  <si>
    <t>Trần Văn Cu Anh</t>
  </si>
  <si>
    <t>Phạm Hữu Tấn</t>
  </si>
  <si>
    <t>Nguyễn Hữu Xuân Vũ</t>
  </si>
  <si>
    <t>Lê Hồng Phúc</t>
  </si>
  <si>
    <t>Phạm Hữu Thành Phú</t>
  </si>
  <si>
    <t>Đồng Anh Tuấn</t>
  </si>
  <si>
    <t>Lê Hồng Sơn</t>
  </si>
  <si>
    <t>Trần Thanh Phương</t>
  </si>
  <si>
    <t>Nguyễn Thanh Hiền</t>
  </si>
  <si>
    <t>Dương Văn Tâm</t>
  </si>
  <si>
    <t>Huỳnh Ngọc Liên</t>
  </si>
  <si>
    <t>Phạm Quang Tùng</t>
  </si>
  <si>
    <t>Phạm Hữu Lộc</t>
  </si>
  <si>
    <t>Đinh Hồng Minh</t>
  </si>
  <si>
    <t>Đinh Văn Đệ</t>
  </si>
  <si>
    <t>Châu Văn Bảo</t>
  </si>
  <si>
    <t>Nguyễn Khắc Huân</t>
  </si>
  <si>
    <t>Chế Vân Cầm</t>
  </si>
  <si>
    <t>Nguyễn Bạch Cẩm Dung</t>
  </si>
  <si>
    <t>Nguyễn Thị Hiền</t>
  </si>
  <si>
    <t>Bùi Thị Ngọc Sương</t>
  </si>
  <si>
    <t>Lê Thị Phương Thảo</t>
  </si>
  <si>
    <t>Trần Hồng Thảo</t>
  </si>
  <si>
    <t>Nguyễn Ngọc Thọ</t>
  </si>
  <si>
    <t>Lâm Thị Phương Thùy</t>
  </si>
  <si>
    <t>Phạm Thị Thanh Thúy</t>
  </si>
  <si>
    <t>Đinh Đồng Hiệp</t>
  </si>
  <si>
    <t>Hoàng Văn Viết</t>
  </si>
  <si>
    <t>Võ Anh Hào</t>
  </si>
  <si>
    <t xml:space="preserve">Đỗ Trọng Quý </t>
  </si>
  <si>
    <t>Trần Đình Khoa</t>
  </si>
  <si>
    <t>Đặng Thế Huân</t>
  </si>
  <si>
    <t>Nguyễn Vũ Xuân Thì</t>
  </si>
  <si>
    <t xml:space="preserve">Phan Văn Hòa </t>
  </si>
  <si>
    <t>01025001</t>
  </si>
  <si>
    <t>01025016</t>
  </si>
  <si>
    <t>01025018</t>
  </si>
  <si>
    <t>01025004</t>
  </si>
  <si>
    <t>01025020</t>
  </si>
  <si>
    <t>01025008</t>
  </si>
  <si>
    <t>01025012</t>
  </si>
  <si>
    <t>01025002</t>
  </si>
  <si>
    <t>01003013</t>
  </si>
  <si>
    <t>01025015</t>
  </si>
  <si>
    <t>01025009</t>
  </si>
  <si>
    <t>Phạm Quang Vũ</t>
  </si>
  <si>
    <t>01004014</t>
  </si>
  <si>
    <t>Trình Minh Phong</t>
  </si>
  <si>
    <t>01028013</t>
  </si>
  <si>
    <t>Nguyễn Thị Nhuận</t>
  </si>
  <si>
    <t>Nguyễn Tứ Cảnh</t>
  </si>
  <si>
    <t>Đặng Thu Hà</t>
  </si>
  <si>
    <t>Trần Thị Diễm Thúy</t>
  </si>
  <si>
    <t>Nguyễn Thị Trang</t>
  </si>
  <si>
    <t>Hà Thị Hậu</t>
  </si>
  <si>
    <t>Lư Diễm Phúc</t>
  </si>
  <si>
    <t>Lương Thị Thắm</t>
  </si>
  <si>
    <t>Đỗ Thị Tâm</t>
  </si>
  <si>
    <t>Đỗ Công Thành</t>
  </si>
  <si>
    <t>Trang Thị Xuân Uyên</t>
  </si>
  <si>
    <t>Bùi Thị Lan Anh</t>
  </si>
  <si>
    <t>Lê Thị Huyền</t>
  </si>
  <si>
    <t>Nguyễn Văn Chiến</t>
  </si>
  <si>
    <t>Nguyễn Thùy Dương</t>
  </si>
  <si>
    <t>Nguyễn Hữu Thiện</t>
  </si>
  <si>
    <t>Trương Hữu Lộc</t>
  </si>
  <si>
    <t>Vương Hội Khánh</t>
  </si>
  <si>
    <t>Phạm Huỳnh Kim Ngân</t>
  </si>
  <si>
    <t>Nguyễn Thị Thanh Hòa</t>
  </si>
  <si>
    <t>Lê Trần Thanh Nga</t>
  </si>
  <si>
    <t>Nguyễn Kính</t>
  </si>
  <si>
    <t>Nguyễn Thị Kim Dung</t>
  </si>
  <si>
    <t>Hồng Mộng Tuyết Dung</t>
  </si>
  <si>
    <t>Trần Thị Minh Thoa</t>
  </si>
  <si>
    <t>Nguyễn Thị Hồng Thắm</t>
  </si>
  <si>
    <t>Võ Thị Lệ Trân</t>
  </si>
  <si>
    <t>Trần Thị Thảo Vân</t>
  </si>
  <si>
    <t>Nguyễn Thụy Nghiêm</t>
  </si>
  <si>
    <r>
      <rPr>
        <sz val="12"/>
        <rFont val="Times New Roman"/>
        <family val="1"/>
      </rPr>
      <t xml:space="preserve">TRƯỜNG CAO ĐẲNG LÝ TỰ TRỌNG
THÀNH PHỐ HỒ CHÍ MINH
</t>
    </r>
    <r>
      <rPr>
        <b/>
        <sz val="12"/>
        <rFont val="Times New Roman"/>
        <family val="1"/>
      </rPr>
      <t>PHÒNG TỔ CHỨC - HÀNH CHÍNH - TỔNG HỢP</t>
    </r>
  </si>
  <si>
    <t>Họ và tên</t>
  </si>
  <si>
    <t>Hồ Ngọc Chi</t>
  </si>
  <si>
    <t>01015042</t>
  </si>
  <si>
    <t>Nguyễn Sanh Cường</t>
  </si>
  <si>
    <t>01015005</t>
  </si>
  <si>
    <t>Đặng Ngọc Đoàn</t>
  </si>
  <si>
    <t>01015018</t>
  </si>
  <si>
    <t>Nguyễn Văn Đôn</t>
  </si>
  <si>
    <t>01015023</t>
  </si>
  <si>
    <t>Bùi Văn Dũng</t>
  </si>
  <si>
    <t>01015020</t>
  </si>
  <si>
    <t>Huỳnh Quốc Dũng</t>
  </si>
  <si>
    <t>01015041</t>
  </si>
  <si>
    <t>Trần Việt Khánh</t>
  </si>
  <si>
    <t>01015019</t>
  </si>
  <si>
    <t>Vũ Thị Thái Linh</t>
  </si>
  <si>
    <t>01015013</t>
  </si>
  <si>
    <t>Huỳnh Thị Minh Ly</t>
  </si>
  <si>
    <t>Nguyễn Văn Minh</t>
  </si>
  <si>
    <t>01015006</t>
  </si>
  <si>
    <t>Nguyễn Cao Phong</t>
  </si>
  <si>
    <t>01018001</t>
  </si>
  <si>
    <t>Lê Quý Hưng Quốc</t>
  </si>
  <si>
    <t>01015004</t>
  </si>
  <si>
    <t>Ng Ng Hoàng Ngọc Quyên</t>
  </si>
  <si>
    <t>01015010</t>
  </si>
  <si>
    <t>Lê Hồng Thái</t>
  </si>
  <si>
    <t>01015017</t>
  </si>
  <si>
    <t xml:space="preserve">Nguyễn Thị Khánh Thư </t>
  </si>
  <si>
    <t>01015016</t>
  </si>
  <si>
    <t>Mai Chiếm Tuấn</t>
  </si>
  <si>
    <t>01015031</t>
  </si>
  <si>
    <t>Nguyễn Ngọc Tuyên</t>
  </si>
  <si>
    <t>01015025</t>
  </si>
  <si>
    <t>Đỗ Tuấn Việt</t>
  </si>
  <si>
    <t>01017001</t>
  </si>
  <si>
    <t>Dương Ngọc Vọng</t>
  </si>
  <si>
    <t>01015012</t>
  </si>
  <si>
    <t>Trần Vĩnh Xuyên</t>
  </si>
  <si>
    <t>01015008</t>
  </si>
  <si>
    <t>Đỗ Thị Hải Yến</t>
  </si>
  <si>
    <t>01015021</t>
  </si>
  <si>
    <t>Tạ Minh Cường</t>
  </si>
  <si>
    <t>Huỳnh Ngọc Mai</t>
  </si>
  <si>
    <t>Phạm Minh Nghĩa</t>
  </si>
  <si>
    <t>Quách Minh Thử</t>
  </si>
  <si>
    <t>Trần Nguyên Bảo Trân</t>
  </si>
  <si>
    <t>Ngô Hoàng Anh</t>
  </si>
  <si>
    <t>Trần Nam Anh</t>
  </si>
  <si>
    <t>Vũ Hạnh Chiêu</t>
  </si>
  <si>
    <t>Ngô Phong Cường</t>
  </si>
  <si>
    <t>Nguyễn Minh Đức Cường</t>
  </si>
  <si>
    <t>Nguyễn Hồng Đức</t>
  </si>
  <si>
    <t xml:space="preserve">Nguyễn Minh Đức </t>
  </si>
  <si>
    <t>Nguyễn Thị Ngọc Hiền</t>
  </si>
  <si>
    <t>Trần Trung Hiếu</t>
  </si>
  <si>
    <t>Mạnh Lê Hoàn</t>
  </si>
  <si>
    <t>Lê Thế Huân</t>
  </si>
  <si>
    <t>Tăng Cẩm Huê</t>
  </si>
  <si>
    <t>Nguyễn Thùy Linh</t>
  </si>
  <si>
    <t>Đặng Đức Minh</t>
  </si>
  <si>
    <t>Trần Giang Nam</t>
  </si>
  <si>
    <t>Nguyễn Thị Tố Nga</t>
  </si>
  <si>
    <t>Nguyễn Trần Thanh Nhàn</t>
  </si>
  <si>
    <t>Đỗ Huỳnh Thanh Phong</t>
  </si>
  <si>
    <t>Nguyễn Anh Tăng</t>
  </si>
  <si>
    <t>Trần Công Tiến</t>
  </si>
  <si>
    <t>Cao Văn Tuấn</t>
  </si>
  <si>
    <t>Trần Hiếu Trinh</t>
  </si>
  <si>
    <t>Nguyễn Văn Yên</t>
  </si>
  <si>
    <t>KHOA MAY - THỜI TRANG</t>
  </si>
  <si>
    <t>KHOA NHIỆT - LẠNH</t>
  </si>
  <si>
    <t>01013020</t>
  </si>
  <si>
    <t>01029001</t>
  </si>
  <si>
    <t>01013011</t>
  </si>
  <si>
    <t>01013023</t>
  </si>
  <si>
    <t>01013009</t>
  </si>
  <si>
    <t>01013008</t>
  </si>
  <si>
    <t>01013015</t>
  </si>
  <si>
    <t>Nguyễn Trọng Nghĩa</t>
  </si>
  <si>
    <t>Trần Thị Ngọc Dung</t>
  </si>
  <si>
    <t>Cao Xuân Giang</t>
  </si>
  <si>
    <t>Phạm Quỳnh Như</t>
  </si>
  <si>
    <t>Lê Thị Thúy Oanh</t>
  </si>
  <si>
    <t>Lê Thị Thu Thảo</t>
  </si>
  <si>
    <t>Võ Thị Kim Thư</t>
  </si>
  <si>
    <t>Lưu Thị Thúy</t>
  </si>
  <si>
    <t>Nguyễn Thị Minh Thùy</t>
  </si>
  <si>
    <t>Nguyễn Mỹ Tiên</t>
  </si>
  <si>
    <t>Lữ Xuân Trang</t>
  </si>
  <si>
    <t xml:space="preserve">Viên chức </t>
  </si>
  <si>
    <t>VC</t>
  </si>
  <si>
    <t>GV giải trình và ý kiến của đơn vị</t>
  </si>
  <si>
    <t>KHOA ĐỘNG LỰC</t>
  </si>
  <si>
    <t>KHOA ĐIỆN - ĐIỆN TỬ</t>
  </si>
  <si>
    <t>PHÒNG TTGD-CTSV</t>
  </si>
  <si>
    <t>PHÒNG QLKH-HTQT</t>
  </si>
  <si>
    <t>P. TỔ CHỨC - HÀNH CHÍNH - TỔNG HỢP</t>
  </si>
  <si>
    <t>TRƯỜNG CAO ĐẲNG LÝ TỰ TRỌNG</t>
  </si>
  <si>
    <t>CỘNG HÒA XÃ HỘI CHỦ NGHĨA VIỆT NAM</t>
  </si>
  <si>
    <t xml:space="preserve"> THÀNH PHỐ HỒ CHÍ MINH</t>
  </si>
  <si>
    <t>Độc lập - Tự do - Hạnh phúc</t>
  </si>
  <si>
    <t>Mẫu 3</t>
  </si>
  <si>
    <t>Tên nội dung công việc</t>
  </si>
  <si>
    <t xml:space="preserve">Công việc riêng của đơn vị </t>
  </si>
  <si>
    <t>Mã E-ofice</t>
  </si>
  <si>
    <t>Nhiệm vụ 1</t>
  </si>
  <si>
    <t>Nhiệm vụ 2</t>
  </si>
  <si>
    <t>Nhiệm vụ 3</t>
  </si>
  <si>
    <t>Nhiệm vụ 4</t>
  </si>
  <si>
    <t>Nhiệm vụ 5</t>
  </si>
  <si>
    <t>Nhiệm vụ 6</t>
  </si>
  <si>
    <t>Nhiệm vụ 7</t>
  </si>
  <si>
    <t>I. Viên chức</t>
  </si>
  <si>
    <t>01002024</t>
  </si>
  <si>
    <t>01003007</t>
  </si>
  <si>
    <t>II. Hợp đồng trường</t>
  </si>
  <si>
    <t>Lưu ý: Các đơn vị gửi file mềm qua hệ thống điện tử E-office nhà trường và văn bản giấy về phòng TC-HC-TH (Cô Trần Thị Ánh Phượng).</t>
  </si>
  <si>
    <t>TRƯỞNG ĐƠN VỊ</t>
  </si>
  <si>
    <t>THÀNH PHỐ HỒ CHÍ MINH</t>
  </si>
  <si>
    <t>X</t>
  </si>
  <si>
    <t>PHÒNG THANH TRA GIÁO DỤC - 
CÔNG TÁC SINH VIÊN</t>
  </si>
  <si>
    <t>ĐƠN VỊ: KHẢO THÍ &amp; ĐBCL</t>
  </si>
  <si>
    <t>PHÒNG QUẢN LÝ KHOA HỌC
- HỢP TÁC QUỐC TẾ</t>
  </si>
  <si>
    <t>ĐƠN VỊ :Phòng QT-DV</t>
  </si>
  <si>
    <t>01002003</t>
  </si>
  <si>
    <t>ĐƠN VỊ: KHOA HỌC CƠ BẢN</t>
  </si>
  <si>
    <t>Tổng</t>
  </si>
  <si>
    <t>KHOS LÝ LUẬN CHÍNH TRỊ</t>
  </si>
  <si>
    <t>ĐƠN VỊ: KHOA CƠ KHÍ</t>
  </si>
  <si>
    <t>I.  Viên chức</t>
  </si>
  <si>
    <t xml:space="preserve"> CHUNG TRẦN THẾ VINH</t>
  </si>
  <si>
    <t>ĐƠN VỊ: KHOA CÔNG NGHỆ THÔNG TIN</t>
  </si>
  <si>
    <t>01013003</t>
  </si>
  <si>
    <t>01013002</t>
  </si>
  <si>
    <t>ĐƠN VỊ: KHOA ĐIỆN-ĐIỆN TỬ</t>
  </si>
  <si>
    <t xml:space="preserve">                                                                                                                                                                                                                                                      </t>
  </si>
  <si>
    <r>
      <t>KHOA</t>
    </r>
    <r>
      <rPr>
        <b/>
        <u/>
        <sz val="12"/>
        <color indexed="8"/>
        <rFont val="Times New Roman"/>
        <family val="1"/>
      </rPr>
      <t xml:space="preserve"> NHIỆT-</t>
    </r>
    <r>
      <rPr>
        <b/>
        <sz val="12"/>
        <color indexed="8"/>
        <rFont val="Times New Roman"/>
        <family val="1"/>
      </rPr>
      <t xml:space="preserve"> LẠNH</t>
    </r>
  </si>
  <si>
    <t>ĐƠN VỊ: KHOA KINH TẾ</t>
  </si>
  <si>
    <t>TRUNG TÂM ĐÀO TẠO
LÝ TỰ TRỌNG</t>
  </si>
  <si>
    <t>PHÓ TRƯỞNG ĐƠN VỊ</t>
  </si>
  <si>
    <t>01018003</t>
  </si>
  <si>
    <t>01018002</t>
  </si>
  <si>
    <t>01018005</t>
  </si>
  <si>
    <t>01018008</t>
  </si>
  <si>
    <t>01018007</t>
  </si>
  <si>
    <t>01018009</t>
  </si>
  <si>
    <t xml:space="preserve">Nguyễn Văn Chiến </t>
  </si>
  <si>
    <t>01007008</t>
  </si>
  <si>
    <t>TRUNG TÂM ĐIỀU HÀNH
VÀ QUẢN LÝ DỮ LIỆU</t>
  </si>
  <si>
    <t>01017003</t>
  </si>
  <si>
    <t>01017010</t>
  </si>
  <si>
    <t>01018004</t>
  </si>
  <si>
    <t>01009027</t>
  </si>
  <si>
    <t>01025013</t>
  </si>
  <si>
    <t>PHÒNG TC-HC-TH</t>
  </si>
  <si>
    <t>Thường trực Hội đồng xếp loại</t>
  </si>
  <si>
    <t>Giáp Đức Nhận</t>
  </si>
  <si>
    <t>Nguyễn Xuân Lợi</t>
  </si>
  <si>
    <t>Trịnh Tuấn Vũ</t>
  </si>
  <si>
    <t>C2</t>
  </si>
  <si>
    <t>D</t>
  </si>
  <si>
    <t>E</t>
  </si>
  <si>
    <t>Xếp loại:</t>
  </si>
  <si>
    <t>Kết quả xếp loại của TTHĐ:</t>
  </si>
  <si>
    <t>Nguyễn Thanh Tú</t>
  </si>
  <si>
    <t>Trịnh Khắc Vũ</t>
  </si>
  <si>
    <t>Lê Văn Bình</t>
  </si>
  <si>
    <t>Nguyễn Phương Hà</t>
  </si>
  <si>
    <t>Trần Thị Ánh Tuyết</t>
  </si>
  <si>
    <t>Nguyễn Thiện Bình</t>
  </si>
  <si>
    <t>01023002</t>
  </si>
  <si>
    <t>Nguyễn Mạnh Phương</t>
  </si>
  <si>
    <t>01011005</t>
  </si>
  <si>
    <t>01011011</t>
  </si>
  <si>
    <t>01011013</t>
  </si>
  <si>
    <t>01011009</t>
  </si>
  <si>
    <t>01011001</t>
  </si>
  <si>
    <t>01011014</t>
  </si>
  <si>
    <t>01011016</t>
  </si>
  <si>
    <t>01011012</t>
  </si>
  <si>
    <t>01011007</t>
  </si>
  <si>
    <t>01011008</t>
  </si>
  <si>
    <t>01011015</t>
  </si>
  <si>
    <t>01011010</t>
  </si>
  <si>
    <t>01011018</t>
  </si>
  <si>
    <t>01011002</t>
  </si>
  <si>
    <t>01011006</t>
  </si>
  <si>
    <t>01013004</t>
  </si>
  <si>
    <t>01013021</t>
  </si>
  <si>
    <t>01013006</t>
  </si>
  <si>
    <t>01013018</t>
  </si>
  <si>
    <t>01013019</t>
  </si>
  <si>
    <t>01013016</t>
  </si>
  <si>
    <t>01013017</t>
  </si>
  <si>
    <t>01013027</t>
  </si>
  <si>
    <t>01013026</t>
  </si>
  <si>
    <t>01013029</t>
  </si>
  <si>
    <t>01013028</t>
  </si>
  <si>
    <t>01013022</t>
  </si>
  <si>
    <t>01013047</t>
  </si>
  <si>
    <t>01013070</t>
  </si>
  <si>
    <t>01014047</t>
  </si>
  <si>
    <t>01013079</t>
  </si>
  <si>
    <t>01013087</t>
  </si>
  <si>
    <t>01013061</t>
  </si>
  <si>
    <t>01013096</t>
  </si>
  <si>
    <t>01016004</t>
  </si>
  <si>
    <t>01016002</t>
  </si>
  <si>
    <t>01016006</t>
  </si>
  <si>
    <t>01016005</t>
  </si>
  <si>
    <t>01016012</t>
  </si>
  <si>
    <t>01016010</t>
  </si>
  <si>
    <t>01016008</t>
  </si>
  <si>
    <t>01016007</t>
  </si>
  <si>
    <t>01016003</t>
  </si>
  <si>
    <t>01021001</t>
  </si>
  <si>
    <t>01021003</t>
  </si>
  <si>
    <t>01021004</t>
  </si>
  <si>
    <t>01002023</t>
  </si>
  <si>
    <t>01002019</t>
  </si>
  <si>
    <t>01017006</t>
  </si>
  <si>
    <t>01002007</t>
  </si>
  <si>
    <t>01002012</t>
  </si>
  <si>
    <t>01002027</t>
  </si>
  <si>
    <t>01002013</t>
  </si>
  <si>
    <t>01002031</t>
  </si>
  <si>
    <t>01002018</t>
  </si>
  <si>
    <t>01002033</t>
  </si>
  <si>
    <t>01002028</t>
  </si>
  <si>
    <t>01002034</t>
  </si>
  <si>
    <t>01002010</t>
  </si>
  <si>
    <t>01002035</t>
  </si>
  <si>
    <t>01007005</t>
  </si>
  <si>
    <t>01004007</t>
  </si>
  <si>
    <t>01002036</t>
  </si>
  <si>
    <t>01002032</t>
  </si>
  <si>
    <t>01007007</t>
  </si>
  <si>
    <t>01007006</t>
  </si>
  <si>
    <t>01023001</t>
  </si>
  <si>
    <t>01002017</t>
  </si>
  <si>
    <t>01002005</t>
  </si>
  <si>
    <t>Nhiệm vụ 8</t>
  </si>
  <si>
    <t>Nhiệm vụ 9</t>
  </si>
  <si>
    <t>01019001</t>
  </si>
  <si>
    <t>01019002</t>
  </si>
  <si>
    <t>01005005</t>
  </si>
  <si>
    <t>01005011</t>
  </si>
  <si>
    <t>01005003</t>
  </si>
  <si>
    <t>01007009</t>
  </si>
  <si>
    <t>01001001</t>
  </si>
  <si>
    <t>01002001</t>
  </si>
  <si>
    <t>01001006</t>
  </si>
  <si>
    <t>01014037</t>
  </si>
  <si>
    <t>Bùi Trọng Tân</t>
  </si>
  <si>
    <t>01013094</t>
  </si>
  <si>
    <t>Nguyễn Thanh Dũng</t>
  </si>
  <si>
    <t>01029016</t>
  </si>
  <si>
    <t>01010068</t>
  </si>
  <si>
    <t>01008042</t>
  </si>
  <si>
    <t>I</t>
  </si>
  <si>
    <t>II</t>
  </si>
  <si>
    <t>III</t>
  </si>
  <si>
    <t>IV</t>
  </si>
  <si>
    <t>V</t>
  </si>
  <si>
    <t>VI</t>
  </si>
  <si>
    <t>VII</t>
  </si>
  <si>
    <t>VIII</t>
  </si>
  <si>
    <t>IX</t>
  </si>
  <si>
    <t>XI</t>
  </si>
  <si>
    <t>XII</t>
  </si>
  <si>
    <t>XIII</t>
  </si>
  <si>
    <t>XIV</t>
  </si>
  <si>
    <t>XV</t>
  </si>
  <si>
    <t>XVI</t>
  </si>
  <si>
    <t>XVII</t>
  </si>
  <si>
    <t>XVIII</t>
  </si>
  <si>
    <t>XIX</t>
  </si>
  <si>
    <t>XX</t>
  </si>
  <si>
    <t>XXI</t>
  </si>
  <si>
    <t>XXII</t>
  </si>
  <si>
    <t>XXIII</t>
  </si>
  <si>
    <t>KXL</t>
  </si>
  <si>
    <t>01010030</t>
  </si>
  <si>
    <t>Võ Tấn Đức</t>
  </si>
  <si>
    <t>TRUNG TÂM KONE</t>
  </si>
  <si>
    <t>I. Hợp đồng trường</t>
  </si>
  <si>
    <t>Nhiệm vụ 10</t>
  </si>
  <si>
    <t>Nhiệm vụ 11</t>
  </si>
  <si>
    <t>Nhiệm vụ 12</t>
  </si>
  <si>
    <t>Ngô Ngọc Của</t>
  </si>
  <si>
    <t>01008044</t>
  </si>
  <si>
    <t>Trần Việt Anh</t>
  </si>
  <si>
    <t>01002038</t>
  </si>
  <si>
    <t>Nguyễn Nguyên Hoàng Ngọc Quyên</t>
  </si>
  <si>
    <t>Trần Ngọc Tuấn</t>
  </si>
  <si>
    <t>Huỳnh Như Ý</t>
  </si>
  <si>
    <t>01003015</t>
  </si>
  <si>
    <t>Võ Quốc Duy</t>
  </si>
  <si>
    <t>01013120</t>
  </si>
  <si>
    <t>01012048</t>
  </si>
  <si>
    <t>Võ Hoài Sơn</t>
  </si>
  <si>
    <t>01028017</t>
  </si>
  <si>
    <t>01013005</t>
  </si>
  <si>
    <t>01014012</t>
  </si>
  <si>
    <t>Giang Văn Tiến</t>
  </si>
  <si>
    <t>Hồ Gia Bảo</t>
  </si>
  <si>
    <t>01025029</t>
  </si>
  <si>
    <t>Nguyễn Hoàng Thanh Ngân</t>
  </si>
  <si>
    <t>01025027</t>
  </si>
  <si>
    <t>01013117</t>
  </si>
  <si>
    <t>01013010</t>
  </si>
  <si>
    <t>01022003</t>
  </si>
  <si>
    <t>Phan Thanh Hoàng</t>
  </si>
  <si>
    <t>01014042</t>
  </si>
  <si>
    <t>Nguyễn Thị Xuân Chinh</t>
  </si>
  <si>
    <t>01012049</t>
  </si>
  <si>
    <t>Ghi chú
Bộ phận tổng hợp</t>
  </si>
  <si>
    <t>Huỳnh Thanh Nhàn</t>
  </si>
  <si>
    <t>Nhiệm vụ 13</t>
  </si>
  <si>
    <t>Họ tên</t>
  </si>
  <si>
    <t>Khoa</t>
  </si>
  <si>
    <t>Nội dung ghi nhận</t>
  </si>
  <si>
    <t>Nhiệm vụ 14</t>
  </si>
  <si>
    <t>CỘNG HÒA XÃ HỘI CHỦ NGHĨA VIỆT NAM
Độc lập - Tự do - Hạnh phúc</t>
  </si>
  <si>
    <t>PHÒNG KẾ HOẠCH - TC</t>
  </si>
  <si>
    <t>Mức xếp loại tối đa trong năm</t>
  </si>
  <si>
    <t>Lý do đề nghị</t>
  </si>
  <si>
    <t>Tiêu chuẩn đạt mức xếp loại thi đua tối đa trong năm (Các đề tài/dự án/bài báo/sáng kiến được xem xét xếp loại thi đua A1, A2, A3 theo quy định)</t>
  </si>
  <si>
    <t>Nguyễn Thiện  Bình</t>
  </si>
  <si>
    <t>Khoa CNTT</t>
  </si>
  <si>
    <t>Đạt mức xếp loại</t>
  </si>
  <si>
    <t>Thống nhất xếp loại</t>
  </si>
  <si>
    <t>Đơn vị xếp loại thi đua tháng theo quy định 
(Không vượt quá mức thi đua tối đa)</t>
  </si>
  <si>
    <t>TT HĐ xét</t>
  </si>
  <si>
    <t>Nhiệm vụ 15</t>
  </si>
  <si>
    <t>Nhiệm vụ 16</t>
  </si>
  <si>
    <t>Đơn vị đề nghị 
mức xếp loại thi đua</t>
  </si>
  <si>
    <t>Nhóm TT đề nghị:</t>
  </si>
  <si>
    <t>Số lượng công việc tham gia (đã được HĐ duyệt)</t>
  </si>
  <si>
    <t>Số lượng công việc 
tham gia</t>
  </si>
  <si>
    <t>Ký tự a</t>
  </si>
  <si>
    <t>Bổ sung nhiệm vụ</t>
  </si>
  <si>
    <t>Ký tự b</t>
  </si>
  <si>
    <t>Không duyệt nhiệm vụ</t>
  </si>
  <si>
    <t>Kiểm tra công thức (Ẩn)</t>
  </si>
  <si>
    <t>Khoa KHCB</t>
  </si>
  <si>
    <t>Phạm Thị Hoàng Diễm</t>
  </si>
  <si>
    <t>01008045</t>
  </si>
  <si>
    <t>Nguyễn Chiến Thắng</t>
  </si>
  <si>
    <t>01003016</t>
  </si>
  <si>
    <t>Nguyễn Đan Trường</t>
  </si>
  <si>
    <t>01031001</t>
  </si>
  <si>
    <t>Trong đó:</t>
  </si>
  <si>
    <t>Đinh Thị Trâm</t>
  </si>
  <si>
    <t>01025033</t>
  </si>
  <si>
    <t>Khoa Động lực</t>
  </si>
  <si>
    <t>Lưu Hoàng Bảo Châu</t>
  </si>
  <si>
    <t>01009029</t>
  </si>
  <si>
    <t>Tên đơn vị</t>
  </si>
  <si>
    <t>Phòng Kế hoạch - TC</t>
  </si>
  <si>
    <t>Phòng Tuyển sinh - ĐT</t>
  </si>
  <si>
    <t>Phòng Tổ chức - HC -TH</t>
  </si>
  <si>
    <t>Phòng TTGD - CTSV</t>
  </si>
  <si>
    <t>Phòng Khảo thí và ĐBCL</t>
  </si>
  <si>
    <t>Phòng QLKH và HTQT</t>
  </si>
  <si>
    <t>Phòng Quản trị - DV</t>
  </si>
  <si>
    <t>Khoa Khoa học cơ bản</t>
  </si>
  <si>
    <t>Khoa Lý luận chính trị</t>
  </si>
  <si>
    <t>Khoa Cơ khí</t>
  </si>
  <si>
    <t>Khoa Công nghệ thông tin</t>
  </si>
  <si>
    <t>Khoa Điện - Điện tử</t>
  </si>
  <si>
    <t>Khoa May - Thời trang</t>
  </si>
  <si>
    <t>Khoa Nhiệt - Lạnh</t>
  </si>
  <si>
    <t>Khoa Kinh tế</t>
  </si>
  <si>
    <t>Khoa Xây dựng</t>
  </si>
  <si>
    <t>Trung tâm Thư viện</t>
  </si>
  <si>
    <t>Trung tâm Đào tạo LTT</t>
  </si>
  <si>
    <t>Trung tâm Y tế</t>
  </si>
  <si>
    <t>Trung tâm QHDN</t>
  </si>
  <si>
    <t>Trung tâm ĐH và QLDL</t>
  </si>
  <si>
    <t>Số lượng nhân sự</t>
  </si>
  <si>
    <t>Ban Giám hiệu</t>
  </si>
  <si>
    <t>Tỷ lệ</t>
  </si>
  <si>
    <t>1 bậc</t>
  </si>
  <si>
    <t>2 bậc</t>
  </si>
  <si>
    <t>Tổng tỷ lệ</t>
  </si>
  <si>
    <t xml:space="preserve"> * Giảng viên thỉnh giảng vi phạm nội quy:</t>
  </si>
  <si>
    <t xml:space="preserve">- Khoa CNTT: </t>
  </si>
  <si>
    <t xml:space="preserve">- Khoa KHCB: </t>
  </si>
  <si>
    <r>
      <t xml:space="preserve">Xếp loại A1
</t>
    </r>
    <r>
      <rPr>
        <b/>
        <i/>
        <sz val="13"/>
        <rFont val="Times New Roman"/>
        <family val="1"/>
      </rPr>
      <t>(tỷ lệ 20%)</t>
    </r>
  </si>
  <si>
    <t>Nguyễn Duy Tân</t>
  </si>
  <si>
    <t>Nguyễn Hữu Lương</t>
  </si>
  <si>
    <t>Nguyễn Khương Thành</t>
  </si>
  <si>
    <t>Lê Hồng Ngọc My</t>
  </si>
  <si>
    <t>Huỳnh Kim Liên</t>
  </si>
  <si>
    <t>01012050</t>
  </si>
  <si>
    <t>01013116</t>
  </si>
  <si>
    <t>01014052</t>
  </si>
  <si>
    <t>Huỳnh Duy An</t>
  </si>
  <si>
    <t>01014051</t>
  </si>
  <si>
    <t>01015053</t>
  </si>
  <si>
    <t>01025052</t>
  </si>
  <si>
    <t>Trưởng, Phó đơn vị</t>
  </si>
  <si>
    <t>GV/NV</t>
  </si>
  <si>
    <t>CBQL</t>
  </si>
  <si>
    <t>NV</t>
  </si>
  <si>
    <t>GV</t>
  </si>
  <si>
    <t>BGH</t>
  </si>
  <si>
    <t>KHTC</t>
  </si>
  <si>
    <t>TSDT</t>
  </si>
  <si>
    <t>TCHC</t>
  </si>
  <si>
    <t>TTGD</t>
  </si>
  <si>
    <t>ĐBCL</t>
  </si>
  <si>
    <t>QHQT</t>
  </si>
  <si>
    <t>QTDV</t>
  </si>
  <si>
    <t>KHCB</t>
  </si>
  <si>
    <t>LLCT</t>
  </si>
  <si>
    <t>CK</t>
  </si>
  <si>
    <t>CNTT</t>
  </si>
  <si>
    <t>DL</t>
  </si>
  <si>
    <t>DDT</t>
  </si>
  <si>
    <t>MTT</t>
  </si>
  <si>
    <t>NL</t>
  </si>
  <si>
    <t>KTE</t>
  </si>
  <si>
    <t>XD</t>
  </si>
  <si>
    <t>THUVIEN</t>
  </si>
  <si>
    <t>TTDT</t>
  </si>
  <si>
    <t>YT</t>
  </si>
  <si>
    <t>QHDN</t>
  </si>
  <si>
    <t>TTDH</t>
  </si>
  <si>
    <t>Mã đơn vị</t>
  </si>
  <si>
    <t>TTĐT</t>
  </si>
  <si>
    <t>TTĐH</t>
  </si>
  <si>
    <t>Tổng cộng</t>
  </si>
  <si>
    <t>SL</t>
  </si>
  <si>
    <t>Xếp loại A1</t>
  </si>
  <si>
    <t>Xếp loại A2</t>
  </si>
  <si>
    <t>Xếp loại A3</t>
  </si>
  <si>
    <t>Xếp loại A4</t>
  </si>
  <si>
    <t>Nhiệm vụ 17</t>
  </si>
  <si>
    <t>Xếp loại B1</t>
  </si>
  <si>
    <t>Xếp loại B2</t>
  </si>
  <si>
    <t>Xếp loại C1</t>
  </si>
  <si>
    <t>Xếp loại C2</t>
  </si>
  <si>
    <t>KẾT QUẢ XẾP LOẠI CỦA HỘI ĐỒNG</t>
  </si>
  <si>
    <t>Tổng nhân sự</t>
  </si>
  <si>
    <t>P. KHTC</t>
  </si>
  <si>
    <t>P. TSĐT</t>
  </si>
  <si>
    <t>TL</t>
  </si>
  <si>
    <t>Đơn vị xét</t>
  </si>
  <si>
    <t>Nhóm đề nghị</t>
  </si>
  <si>
    <t>Kết quả HĐ</t>
  </si>
  <si>
    <t>Kết quả HĐ
(Trưởng/Phó đơn vị)</t>
  </si>
  <si>
    <t>Đơn vị đề nghị nâng</t>
  </si>
  <si>
    <t>P. TCHCTH</t>
  </si>
  <si>
    <t>P. TTGD</t>
  </si>
  <si>
    <t>P. Khảo thí</t>
  </si>
  <si>
    <t>PHÒNG KHẢO THÍ VÀ ĐBCL</t>
  </si>
  <si>
    <t>P. QHQT</t>
  </si>
  <si>
    <t>P. QTDV</t>
  </si>
  <si>
    <t>K. KHCB</t>
  </si>
  <si>
    <t>K. LLCT</t>
  </si>
  <si>
    <t>K. Cơ khí</t>
  </si>
  <si>
    <t>K. CNTT</t>
  </si>
  <si>
    <t>K. Động lực</t>
  </si>
  <si>
    <t>K. Đ-ĐT</t>
  </si>
  <si>
    <t>K. MTT</t>
  </si>
  <si>
    <t>K. Nhiệt lạnh</t>
  </si>
  <si>
    <t>K. Kinh tế</t>
  </si>
  <si>
    <t>K. Xây dựng</t>
  </si>
  <si>
    <t>TT Thư viện</t>
  </si>
  <si>
    <t>TRUNG TÂM ĐÀO TẠO LTT</t>
  </si>
  <si>
    <t>TT. ĐT LTT</t>
  </si>
  <si>
    <t>TT Y tế</t>
  </si>
  <si>
    <t>TT QHDN</t>
  </si>
  <si>
    <t>TT ĐH QLDL</t>
  </si>
  <si>
    <t>- Khoa Kinh tế</t>
  </si>
  <si>
    <t>Không quá 20%</t>
  </si>
  <si>
    <t>Không quá 30%</t>
  </si>
  <si>
    <t>Đơn vị xếp loại</t>
  </si>
  <si>
    <t>Xếp loại D</t>
  </si>
  <si>
    <t>Nhóm TT đề nghị</t>
  </si>
  <si>
    <t>Kết quả của HĐ</t>
  </si>
  <si>
    <t>Xếp loại E</t>
  </si>
  <si>
    <t>Kết quả xếp loại</t>
  </si>
  <si>
    <t>Trần Hà Trang</t>
  </si>
  <si>
    <t>01010254</t>
  </si>
  <si>
    <t>Tỷ lệ A1</t>
  </si>
  <si>
    <t>Tỷ lệ A2</t>
  </si>
  <si>
    <t>Tỷ lệ xếp loại A1, A2 
của đơn vị</t>
  </si>
  <si>
    <t>Xếp loại A DN</t>
  </si>
  <si>
    <t>TRUNG TÂM QHDN</t>
  </si>
  <si>
    <t>- Bài viết sáng kiến được công nhận phạm vi ảnh hưởng cấp trường năm học 2021-2022 (QĐ số 189/QĐ-LTT-HĐSK ngày 15/4/2022)</t>
  </si>
  <si>
    <t>- Bài viết sáng kiến được công nhận phạm vi ảnh hưởng cấp ngành năm học 2021-2022 (QĐ số 1969/QĐ-SGDĐT ngày 03/8/2022)</t>
  </si>
  <si>
    <t/>
  </si>
  <si>
    <t>- GV đạt giải I trong Hội thi TBTL cấp thành phố năm 2022 (QĐ số 22258/QĐ-SLĐTBXH ngày 30/6/2022)</t>
  </si>
  <si>
    <t>- GV đạt giải KK trong Hội thi TBTL cấp thành phố năm 2022 (QĐ số 22258/QĐ-SLĐTBXH ngày 30/6/2022)</t>
  </si>
  <si>
    <t>- GV đạt giải III trong Hội thi TBTL cấp thành phố năm 2022 (QĐ số 22258/QĐ-SLĐTBXH ngày 30/6/2022)</t>
  </si>
  <si>
    <t>- GV đạt giải I trong Hội thi TBTL toàn quốc năm 2022 (QĐ số 963/QĐ-LĐTBXH ngày 14/10/2022).</t>
  </si>
  <si>
    <t>- GV đạt giải II trong Hội thi TBTL toàn quốc năm 2022 (QĐ số 963/QĐ-LĐTBXH ngày 14/10/2022).</t>
  </si>
  <si>
    <t>- Bài viết sáng kiến được công nhận phạm vi ảnh hưởng cấp ngành năm học 2021-2022 (QĐ số 1969/QĐ-SGDĐT ngày 03/8/2022)
- GV đạt giải I trong Hội thi TBTL cấp thành phố năm 2022 (QĐ số 22258/QĐ-SLĐTBXH ngày 30/6/2022)
- Cá nhân có tên trong 02 nhóm tác giả có bài đăng Kỷ yếu Hội thảo khoa học giáo dục kỹ thuật và giáo dục nghề nghiệp trong kỷ nguyên số - Trường ĐH Bách khoa Hà Nội 11/2022.
- Cá nhân có tên trong nhóm 5 tác giả có bài báo đăng tạp chí quốc tế (01/2022)</t>
  </si>
  <si>
    <t>- Bài viết đăng Kỷ yếu hội thảo cấp đơn vị</t>
  </si>
  <si>
    <t>Tham gia viết bài giới thiệu đơn vị trong Kỷ yếu Hội thảo 50 năm thành lập trường</t>
  </si>
  <si>
    <t>- Bài viết sáng kiến được công nhận phạm vi ảnh hưởng cấp ngành năm học 2021-2022 (QĐ số 1969/QĐ-SGDĐT ngày 03/8/2022)
- Bài viết đăng Kỷ yếu hội thảo cấp trường (ICSS 2022)</t>
  </si>
  <si>
    <t>- Bài viết đăng Kỷ yếu hội thảo cấp trường (ICSS 2022)</t>
  </si>
  <si>
    <t>- Bài viết sáng kiến được công nhận phạm vi ảnh hưởng cấp ngành năm học 2021-2022 (QĐ số 1969/QĐ-SGDĐT ngày 03/8/2022)
- Bài viết đăng Kỷ yếu hội thảo cấp trường (ICSS 2022)
- GV đạt giải KK trong Hội thi TBTL cấp thành phố năm 2022 (QĐ số 22258/QĐ-SLĐTBXH ngày 30/6/2022)</t>
  </si>
  <si>
    <t>- Bài viết sáng kiến được công nhận phạm vi ảnh hưởng cấp ngành năm học 2021-2022 (QĐ số 1969/QĐ-SGDĐT ngày 03/8/2022)
- Bài viết đăng Kỷ yếu hội thảo cấp trường (ICSS 2022)
- GV đạt giải III trong Hội thi TBTL cấp thành phố năm 2022 (QĐ số 22258/QĐ-SLĐTBXH ngày 30/6/2022)</t>
  </si>
  <si>
    <t>-</t>
  </si>
  <si>
    <t>- Bài viết sáng kiến được công nhận phạm vi ảnh hưởng cấp ngành năm học 2021-2022 (QĐ số 1969/QĐ-SGDĐT ngày 03/8/2022)
- Có 02 Bài viết đăng Kỷ yếu hội thảo cấp trường (ICSS 2022)</t>
  </si>
  <si>
    <t>- Cá nhân có tên trong nhóm 02 tác giả có bài báo được đăng trên tạp chí Bộ Xây dựng (ISSN 2734-9888) số 12/2022 
- Bài viết sáng kiến được công nhận phạm vi ảnh hưởng cấp ngành năm học 2021-2022 (QĐ số 1969/QĐ-SGDĐT ngày 03/8/2022)
- Bài viết đăng Kỷ yếu hội thảo cấp trường (ICSS 2022)</t>
  </si>
  <si>
    <t>- Bài viết sáng kiến được công nhận phạm vi ảnh hưởng cấp trường năm học 2021-2022 (QĐ số 189/QĐ-LTT-HĐSK ngày 15/4/2022)
- Bài viết đăng Kỷ yếu hội thảo cấp đơn vị</t>
  </si>
  <si>
    <t>- Có bài báo được đăng trên tạp chí quốc tế (nhóm 6 tác giả). GTSD 2022, Computational Intelligence Methods for Green Technology and Sustainable Development, vol 567, pp 257-270, 15/12/2022
- Bài viết sáng kiến được công nhận phạm vi ảnh hưởng cấp ngành năm học 2021-2022 (QĐ số 1969/QĐ-SGDĐT ngày 03/8/2022)
- Bài viết đăng Kỷ yếu hội thảo cấp trường (ICSS 2022)</t>
  </si>
  <si>
    <t>- Bài viết đăng Kỷ yếu hội thảo cấp trường (ICSS 2022)
- Bài viết được đăng trong Kỷ yếu 50 năm hình thành và phát triển trường</t>
  </si>
  <si>
    <t>- Có bài báo được đăng trên tạp chí quốc tế (nhóm 6 tác giả): Japanese Journal of Applied Physics 61, 046502, 16/3/2022.
- Bài viết sáng kiến được công nhận phạm vi ảnh hưởng cấp ngành năm học 2021-2022 (QĐ số 1969/QĐ-SGDĐT ngày 03/8/2022)
- Bài viết đăng Kỷ yếu hội thảo cấp trường (ICSS 2022)</t>
  </si>
  <si>
    <t>- Bài viết sáng kiến được công nhận phạm vi ảnh hưởng cấp trường năm học 2021-2022 (QĐ số 189/QĐ-LTT-HĐSK ngày 15/4/2022)
- Có bài viết đăng kỷ yếu hội thảo cấp khoa 06/2022</t>
  </si>
  <si>
    <t>- Có bài báo quốc tế (02 tác giả) đăng trên: STM Journals 2022, ISSN: 2393-8757; Volume 9, Issue 3, 2022; DOI (Journal): 10.37591/RTECS; Published Date: November 20, 2022
- Bài viết đăng Kỷ yếu hội thảo cấp trường (ICSS 2022)
- Có bài viết được đăng trong Kỷ yếu 50 năm hình thành và phát triển trường</t>
  </si>
  <si>
    <t>- Có bài viết đăng kỷ yếu hội thảo cấp khoa 06/2022</t>
  </si>
  <si>
    <t>- GV đạt giải I, II trong Hội thi TBTL toàn quốc năm 2022 (QĐ số 963/QĐ-LĐTBXH ngày 14/10/2022).
-Tham gia 01 đề tài NCKH cấp trường (5 tác giả) QĐ số 886/QĐ-LTT-QLKH 19-12-2022</t>
  </si>
  <si>
    <t>- Có bài báo quốc tế (02 tác giả)  đăng trên : STM Journals 2022, ISSN: 2349-8994; Volume 9, Issue 3, 2022; DOI (Journal): 10.37591/JoTEA; Published Date: November/24/2022
- Có bài viết được đăng trong Kỷ yếu 50 năm hình thành và phát triển trường</t>
  </si>
  <si>
    <t>- Có bài viết đăng kỷ yếu hội thảo  cấp khoa  06/2022</t>
  </si>
  <si>
    <t>- GV đạt giải II trong Hội thi TBTL toàn quốc năm 2022 (QĐ số 963/QĐ-LĐTBXH ngày 14/10/2022).
- Tham gia 01 đề tài NCKH cấp trường (5 tác giả) QĐ số 886/QĐ-LTT-QLKH 19-12-2022</t>
  </si>
  <si>
    <t>- Bài viết sáng kiến được công nhận phạm vi ảnh hưởng cấp trường năm học 2021-2022 (QĐ số 189/QĐ-LTT-HĐSK ngày 15/4/2022)
- Có bài viết đăng kỷ yếu hội thảo  cấp khoa  06/2022</t>
  </si>
  <si>
    <t>- Có bài báo quốc tế (03 tác giả)  đăng trên : STM Journals 2022, ISSN: 2393-8757; Volume 9, Issue 3, 2022; DOI (Journal): 10.37591/RTECS; Published Date: September 30, 2022</t>
  </si>
  <si>
    <t>- Năm 2022 có tham gia nhiều dự án cấp trường và cấp Sở (BTC Dự án ODA; Dự toán tài chính DA lên trường ĐH Lý Tự Trọng...);
- Trong năm 2022 thực hiện hoàn thiện bổ sung hồ sơ dự toán tài chính trung hạn của nhà trường  (2021-2025);
- Tham gia phối hợp hoàn thiện hồ sơ thực hiện dự án "Trung tâm Đào tạo Xuất sắc" dự kiến đưa vào hoạt động năm 2023;
- Thực hiện nhiều Báo cáo; giải trình theo yêu cầu trong năm 2022 của Sở Giáo dục, Sở Tài chính và Cục thuế TP;</t>
  </si>
  <si>
    <t>- Bài viết sáng kiến được công nhận phạm vi ảnh hưởng cấp ngành năm học 2021-2022 (QĐ số 1969/QĐ-SGDĐT ngày 03/8/2022)
- Có bài báo được đăng trên tạp chí - Cơ quan thông tin Lý luận của Bộ Công Thương Số 21-tháng 09/2022 (nhóm 2 tác giả).</t>
  </si>
  <si>
    <t>- Bài viết sáng kiến được công nhận phạm vi ảnh hưởng cấp ngành năm học 2021-2022 (QĐ số 1969/QĐ-SGDĐT ngày 03/8/2022)
- Bài viết đăng Kỷ yếu hội thảo cấp trường (ICSS 2022)
- Có bài báo (nhóm 5 tác giả) được đăng trên tạp chí quốc tế ISSN: 2945-3542 (Development of Optimal Educational Theory and Digital Transformation in Vietnamese Universities, Sarcouncil Journal of Education and Sociology, Volume 1, Issue 08/2022)
- Bài viết đăng Kỷ yếu Hội thảo quốc tế trường ĐH Kinh tế Quốc Dân (6/2022)</t>
  </si>
  <si>
    <t>- NV đạt giải I trong Hội thi TBTL toàn quốc năm 2022 (QĐ số 963/QĐ-LĐTBXH ngày 14/10/2022).</t>
  </si>
  <si>
    <t>- Bài viết sáng kiến được công nhận phạm vi ảnh hưởng cấp ngành năm học 2021-2022 (QĐ số 1969/QĐ-SGDĐT ngày 03/8/2022)
- Viết bài giới thiệu đơn vị trong Kỷ yếu 50 năm hình thành và phát triển trường</t>
  </si>
  <si>
    <t>''</t>
  </si>
  <si>
    <t>- Có bài báo quốc tế (02 tác giả)  đăng trên : STM Journals 2022, ISSN: 2349-8994; Volume 9, Issue 3, 2022; DOI (Journal): 10.37591/JoTEA; Published Date: November/24/2022
- Tham gia viết bài giới thiệu đơn vị trong Kỷ yếu Hội thảo 50 năm thành lập trường</t>
  </si>
  <si>
    <t>- Có bài báo quốc tế (03 tác giả)  đăng trên : STM Journals 2022, ISSN: 2393-8757; Volume 9, Issue 3, 2022; DOI (Journal): 10.37591/RTECS; Published Date: September 30, 2022
- Bài viết sáng kiến được công nhận phạm vi ảnh hưởng cấp ngành năm học 2021-2022 (QĐ số 1969/QĐ-SGDĐT ngày 03/8/2022)
- Có 2 Bài viết đăng Kỷ yếu hội thảo cấp trường (ICSS 2022)
- Có bài viết được đăng trong Kỷ yếu 50 năm hình thành và phát triển trường
- GV đạt giải I trong Hội thi TBTL cấp thành phố năm 2022 (QĐ số 22258/QĐ-SLĐTBXH ngày 30/6/2022)</t>
  </si>
  <si>
    <t>- Bài viết sáng kiến được công nhận phạm vi ảnh hưởng cấp ngành năm học 2021-2022 (QĐ số 1969/QĐ-SGDĐT ngày 03/8/2022)
- Bài viết đăng Kỷ yếu hội thảo cấp trường (ICSS 2022)
- GV đạt giải III trong Hội thi TBTL cấp thành phố năm 2022 (QĐ số 22258/QĐ-SLĐTBXH ngày 30/6/2022)
- Tham gia viết bài giới thiệu đơn vị trong Kỷ yếu Hội thảo 50 năm thành lập trường</t>
  </si>
  <si>
    <t>- Bài viết sáng kiến được công nhận phạm vi ảnh hưởng cấp ngành năm học 2021-2022 (QĐ số 1969/QĐ-SGDĐT ngày 03/8/2022)
- Bài viết đăng Kỷ yếu hội thảo cấp trường (ICSS 2022)
- GV đạt giải I trong Hội thi TBTL cấp thành phố năm 2022 (QĐ số 22258/QĐ-SLĐTBXH ngày 30/6/2022)</t>
  </si>
  <si>
    <t>- Có bài báo quốc tế (03 tác giả)  đăng trên : STM Journals 2022, ISSN: 2393-8757; Volume 9, Issue 3, 2022; DOI (Journal): 10.37591/RTECS; Published Date: September 30, 2022
- Có bài viết được đăng trong Kỷ yếu 50 năm hình thành và phát triển trường
- Bài viết sáng kiến được công nhận phạm vi ảnh hưởng cấp ngành năm học 2021-2022 (QĐ số 1969/QĐ-SGDĐT ngày 03/8/2022)
- GV đạt giải III trong Hội thi TBTL cấp thành phố năm 2022 (QĐ số 22258/QĐ-SLĐTBXH ngày 30/6/2022)</t>
  </si>
  <si>
    <t>- Bài viết đăng Kỷ yếu hội thảo cấp trường (ICSS 2022)
- GV đạt giải I trong Hội thi TBTL cấp thành phố năm 2022 (QĐ số 22258/QĐ-SLĐTBXH ngày 30/6/2022)</t>
  </si>
  <si>
    <t>- Bài viết sáng kiến được công nhận phạm vi ảnh hưởng cấp ngành năm học 2021-2022 (QĐ số 1969/QĐ-SGDĐT ngày 03/8/2022)
- GV đạt giải III trong Hội thi TBTL cấp thành phố năm 2022 (QĐ số 22258/QĐ-SLĐTBXH ngày 30/6/2022)</t>
  </si>
  <si>
    <t>- Bài viết đăng Kỷ yếu hội thảo cấp trường (ICSS 2022)
- Viết bài giới thiệu về khoa Lý luận chính trị đăng Kỷ yếu 50 năm hình thành và phát triển trường</t>
  </si>
  <si>
    <t>- Bài viết đăng Kỷ yếu hội thảo cấp trường (ICSS 2022)
- Bài viết đăng Tạp chí thiết bị giáo dục số 257 kỳ 2 tháng 01 năm 2022 (2 tác giả)</t>
  </si>
  <si>
    <t>- Bài viết sáng kiến được công nhận phạm vi ảnh hưởng cấp ngành năm học 2021-2022 (QĐ số 1969/QĐ-SGDĐT ngày 03/8/2022)
- 02 Bài viết đăng Kỷ yếu hội thảo cấp trường (ICSS 2022)</t>
  </si>
  <si>
    <t>- Bài viết đăng Kỷ yếu hội thảo cấp trường (ICSS 2022)
- Bài viết đăng Kỷ yếu 50 năm hình thành và phát triển trường</t>
  </si>
  <si>
    <t>- 02 Bài viết đăng Kỷ yếu hội thảo cấp trường (ICSS 2022)</t>
  </si>
  <si>
    <t>- Bài viết đăng Kỷ yếu hội thảo cấp trường (ICSS 2022)
- Tham gia viết bài giới thiệu đơn vị trong Kỷ yếu Hội thảo 50 năm thành lập trường</t>
  </si>
  <si>
    <t>- Có bài viết đăng kỷ yếu hội thảo  cấp khoa 06/2022</t>
  </si>
  <si>
    <t>- Tham gia viết bài giới thiệu đơn vị trong Kỷ yếu Hội thảo 50 năm thành lập trường</t>
  </si>
  <si>
    <t>Bài viết đăng kỷ yếu hội thảo cấp đơn vị năm 2022</t>
  </si>
  <si>
    <t>- Bài viết sáng kiến được công nhận phạm vi ảnh hưởng cấp trường năm học 2021-2022 (QĐ số 189/QĐ-LTT-HĐSK ngày 15/4/2022)
- Bài viết đăng kỷ yếu hội thảo cấp đơn vị năm 2022</t>
  </si>
  <si>
    <t>- Bài viết đăng Kỷ yếu hội thảo cấp trường (ICSS 2022)
- GV đạt giải III trong Hội thi TBTL cấp thành phố năm 2022 (QĐ số 22258/QĐ-SLĐTBXH ngày 30/6/2022)</t>
  </si>
  <si>
    <t>- Bài viết đăng Kỷ yếu hội thảo cấp trường (ICSS 2022)
- GV đạt giải III trong Hội thi TBTL cấp thành phố năm 2022 (QĐ số 22258/QĐ-SLĐTBXH ngày 30/6/2022)
 - Hướng dẫn SV thi Startup Kite 2022 vòng bán kết.</t>
  </si>
  <si>
    <t>'</t>
  </si>
  <si>
    <t>- Bài viết đăng Kỷ yếu 50 năm hình thành và phát triển trường</t>
  </si>
  <si>
    <t>Tham gia viết bài giới thiệu đơn vị đăng Kỷ yếu Hội thảo 50 năm thành lập trường</t>
  </si>
  <si>
    <t>- Bài báo đăng Tạp chí Công Thương số 22, tháng 10/2022
- Trực tiếp tham gia xây dựng đề án cấp trường.</t>
  </si>
  <si>
    <t>Bài báo đăng Tạp chí quốc tế: Journal of Thermal Engineering and Applications, ISSN 2349-8994, 12/2022</t>
  </si>
  <si>
    <t>Tham gia hỗ trợ viết bài kỷ yếu 50 năm của đơn vị</t>
  </si>
  <si>
    <t>- Bài viết sáng kiến được công nhận phạm vi ảnh hưởng cấp ngành năm học 2021-2022 (QĐ số 1969/QĐ-SGDĐT ngày 03/8/2022)
- Bài viết đăng Kỷ yếu hội thảo cấp trường (ICSS 2022)
- Bài viết đăng Kỷ yếu 50 năm hình thành và phát triển trường</t>
  </si>
  <si>
    <t>- Bài viết đăng kỷ yếu hội thảo cấp đơn vị năm 2022</t>
  </si>
  <si>
    <t>Bài viết đăng Tạp chí của Bộ Văn Hoá , Thể Thao Và Du Lịch, Số 503 tháng 7 năm 2022 "Chuyển đổi số trong giáo dục thể chất tại trường Cao đẳng Lý Tự Trọng TP.HCM"</t>
  </si>
  <si>
    <t>Có bài báo được đăng tạp chí quốc tế, tạp chí:
Webology (ISSN: 1735-188X) Volume 19, Number 2, 2022</t>
  </si>
  <si>
    <t>- Có bài báo đăng tạp chí Thiết bị Giáo dục (ISSN 1859-0810), số 275, Kỳ 2, tháng 10/2022
- Có bài báo đăng tạp chí quốc tế: International Journal of Research and Innovation in Social Science (IJRISS), Volume VI, Issue X, October 2022|ISSN 2454-6186</t>
  </si>
  <si>
    <t>01 bài báo đăng tạp chí Dạy và Học Ngày nay (Kì 2 - 1/2022) 0,25 điểm (150 giờ), ISSN 1859-2694</t>
  </si>
  <si>
    <t>Có bài báo đăng Tạp chí Thiết bị giáo dục, số 279, kỳ 2, tháng 12 năm 2022) (ISSN 1859 - 0810)</t>
  </si>
  <si>
    <t>1 bài báo đăng trên Tạp chí Quốc tế "International Journal of Social Science and Education Research Studies"
ISSN(print): 2770-2782, ISSN(online): 2770-2790, đăng ngày 29/11/2022</t>
  </si>
  <si>
    <t>- Có bài báo đăng trên tạp chí quốc tế: International Journal of Scientific Research and Engineering Development - Volume 5 Issue 6, Nov- Dec 2022 (ISSN: 2581-7175)</t>
  </si>
  <si>
    <t>- GV đạt giải KK trong Hội thi TBTL toàn quốc năm 2022 (QĐ số 594/QĐ-TCGDNN ngày 14/10/2022).</t>
  </si>
  <si>
    <t>- GV đạt giải I trong Hội thi TBTL cấp thành phố năm 2022 (QĐ số 22258/QĐ-SLĐTBXH ngày 30/6/2022)
- Viết bài giới thiệu đơn vị đăng Kỷ yếu Hội thảo 50 năm thành lập trường</t>
  </si>
  <si>
    <r>
      <rPr>
        <sz val="10"/>
        <color rgb="FFFF0000"/>
        <rFont val="Times New Roman"/>
        <family val="1"/>
      </rPr>
      <t>- Bài viết đăng Tạp chí Khoa học quản lý Giáo dục ISSN 2354-0788, số 04 (36) tháng 12/2022</t>
    </r>
    <r>
      <rPr>
        <sz val="10"/>
        <color rgb="FF7030A0"/>
        <rFont val="Times New Roman"/>
        <family val="1"/>
      </rPr>
      <t xml:space="preserve">
- GV đạt giải II trong Hội thi TBTL toàn quốc năm 2022 (QĐ số 963/QĐ-LĐTBXH ngày 14/10/2022).
- Chủ nhiệm đề tài NCKH cấp trường: Nghiên cứu và chế tạo mô hình mạng truyền thông trên ô tô. 
Mã số đề tài: T2021-TN05 (Theo Biên bản họp HĐ nghiệm thu đề tài ngày 26/9/2022)</t>
    </r>
  </si>
  <si>
    <t>- Chủ nhiệm đề tài NCKH cấp trường. Mã số đề tài: T2020-TN05 (Theo Biên bản họp HĐ nghiệm thu đề tài ngày 26/09/2022)
- Tham gia đề tài NCKH cấp trường. Mã số đề tài: T2021-TN04  (Theo Biên bản họp HĐ nghiệm thu đề tài ngày 26/09/2022)
- GV đạt giải nhất trong Hội thi TBTL toàn quốc năm 2022 (QĐ số 963/QĐ-LĐTBXH ngày 14/10/2022)</t>
  </si>
  <si>
    <t>- Tham gia đề tài NCKH cấp trường: Thi công mô hình tổng thành cắt bổ ô tô BMW series 3. Mã số đề tài: T2020-TN05 (Theo Biên bản họp HĐ nghiệm thu đề tài ngày 26/09/2022)</t>
  </si>
  <si>
    <t>- Tham gia đề tài NCKH cấp trường. Mã số đề tài: T2021-TN04  (Theo Biên bản họp HĐ nghiệm thu đề tài ngày 26/09/2022)
- GV đạt giải nhất trong Hội thi TBTL toàn quốc năm 2022 (QĐ số 963/QĐ-LĐTBXH ngày 14/10/2022).</t>
  </si>
  <si>
    <t>- Tham gia đề tài NCKH cấp trường. Mã số đề tài: T2021-TN04  (Theo Biên bản họp HĐ nghiệm thu đề tài ngày 26/09/2022)
- GV đạt giải KK trong Hội thi TBTL toàn quốc năm 2022 (QĐ số 594/QĐ-TCGDNN ngày 14/10/2022).</t>
  </si>
  <si>
    <t>- Tham gia đề tài NCKH cấp trường. Mã số đề tài: T2021-TN04  (Theo Biên bản họp HĐ nghiệm thu đề tài ngày 26/09/2022)
- GV đạt giải I trong Hội thi TBTL toàn quốc năm 2022 (QĐ số 963/QĐ-LĐTBXH ngày 14/10/2022).</t>
  </si>
  <si>
    <t>- Chủ nhiệm đề tài NCKH cấp trường. Mã số đề tài: T2021-TN04  (Theo Biên bản họp HĐ nghiệm thu đề tài ngày 26/09/2022)
- GV đạt giải I trong Hội thi TBTL toàn quốc năm 2022 (QĐ số 963/QĐ-LĐTBXH ngày 14/10/2022).</t>
  </si>
  <si>
    <t>- Tham gia đề tài NCKH cấp trường. Mã số đề tài: T2021-TN04  (Theo Biên bản họp HĐ nghiệm thu đề tài ngày 26/09/2022)</t>
  </si>
  <si>
    <t>- Bài viết sáng kiến được công nhận phạm vi ảnh hưởng cấp ngành năm học 2021-2022 (QĐ số 1969/QĐ-SGDĐT ngày 03/8/2022)
- Huấn luyện SV dự thi Starup Kite 2022</t>
  </si>
  <si>
    <t>- Bài viết sáng kiến được công nhận phạm vi ảnh hưởng cấp trường năm học 2021-2022 (QĐ số 189/QĐ-LTT-HĐSK ngày 15/4/2022)
- Có bài viết Hội thảo khoa học cấp Khoa năm 2022</t>
  </si>
  <si>
    <t>- Có bài viết Hội thảo khoa học cấp Khoa năm 2022</t>
  </si>
  <si>
    <t>- Bài viết sáng kiến được công nhận phạm vi ảnh hưởng cấp ngành năm học 2021-2022 (QĐ số 1969/QĐ-SGDĐT ngày 03/8/2022)
- Bài viết đăng Kỷ yếu hội thảo cấp trường (ICSS 2022)
- Tham gia viết bài giới thiệu đơn vị trong Kỷ yếu Hội thảo 50 năm thành lập trường</t>
  </si>
  <si>
    <t>- Chủ nhiệm đề tài NCKH cấp trường: Nghiên cứu và chế tạo mô hình mạng truyền thông trên ô tô. 
Mã số đề tài: T2021-TN05 (Theo Biên bản họp HĐ nghiệm thu đề tài ngày 26/9/2022)
- GV đạt 2 giải KK trong Hội thi TBTL toàn quốc năm 2022 (QĐ số 594/QĐ-TCGDNN ngày 14/10/2022).</t>
  </si>
  <si>
    <t>- Bài viết sáng kiến được công nhận phạm vi ảnh hưởng cấp trường năm học 2021-2022 (QĐ số 189/QĐ-LTT-HĐSK ngày 15/4/2022)
- Bài viết đăng kỷ yếu Hội thảo  cấp Khoa năm 2022</t>
  </si>
  <si>
    <t>- Tham gia đề tài NCKH cấp trường: Nghiên cứu và chế tạo mô hình mạng truyền thông trên ô tô. 
Mã số đề tài: T2021-TN05 (Theo Biên bản họp HĐ nghiệm thu đề tài ngày 26/9/2022)
- GV đạt giải KK trong Hội thi TBTL toàn quốc năm 2022 (QĐ số 594/QĐ-TCGDNN ngày 14/10/2022).</t>
  </si>
  <si>
    <t>- Bài viết sáng kiến được công nhận phạm vi ảnh hưởng cấp ngành năm học 2021-2022 (QĐ số 1969/QĐ-SGDĐT ngày 03/8/2022)
- GV đạt giải KK trong Hội thi TBTL cấp thành phố năm 2022 (QĐ số 22258/QĐ-SLĐTBXH ngày 30/6/2022)</t>
  </si>
  <si>
    <t>- Tham gia đề tài NCKH cấp trường: Nghiên cứu và chế tạo mô hình mạng truyền thông trên ô tô. 
Mã số đề tài: T2021-TN05 (Theo Biên bản họp HĐ nghiệm thu đề tài ngày 26/9/2022)</t>
  </si>
  <si>
    <t>- Bài viết sáng kiến được công nhận phạm vi ảnh hưởng cấp ngành năm học 2021-2022 (QĐ số 1969/QĐ-SGDĐT ngày 03/8/2022)
- GV đạt giải KK (2 giải) trong Hội thi TBTL cấp thành phố năm 2022 (QĐ số 22258/QĐ-SLĐTBXH ngày 30/6/2022)</t>
  </si>
  <si>
    <t>- Tham gia đề tài NCKH cấp trường: Nghiên cứu và chế tạo mô hình mạng truyền thông trên ô tô. 
Mã số đề tài: T2021-TN05 (Theo Biên bản họp HĐ nghiệm thu đề tài ngày 26/9/2022)
- GV đạt giải KK trong Hội thi TBTL toàn quốc năm 2022 (QĐ số 594/QĐ-TCGDNN ngày 14/10/2022).
- Trực tiếp hướng dẫn SV tham dự các cuộc thi đạt giải cấp toàn quốc năm 2022 (QĐ số 1150/QĐ-LĐTBXH ngày 27/11/2022)</t>
  </si>
  <si>
    <t>Có bài báo nhóm 02 tác giả</t>
  </si>
  <si>
    <t>Có bài báo 01 tác giả</t>
  </si>
  <si>
    <t>- Bài viết sáng kiến được công nhận phạm vi ảnh hưởng cấp ngành năm học 2021-2022 (QĐ số 1969/QĐ-SGDĐT ngày 03/8/2022)
- - Bài viết đăng Kỷ yếu 50 năm hình thành và phát triển trường</t>
  </si>
  <si>
    <t>- Bài viết sáng kiến được công nhận phạm vi ảnh hưởng cấp ngành năm học 2021-2022 (QĐ số 1969/QĐ-SGDĐT ngày 03/8/2022)
- Bài viết đăng Kỷ yếu hội thảo cấp trường (ICSS 2022)
- - Bài viết đăng Kỷ yếu 50 năm hình thành và phát triển trường</t>
  </si>
  <si>
    <t>Có bài báo đăng tạp chí quốc tế nhóm 05 tác giả</t>
  </si>
  <si>
    <t>Có bài báo đăng tạp chí quốc tế nhóm 05 tác giả (T Lộc, T Đệ, T Nghĩa, T Nam, T Dũng)</t>
  </si>
  <si>
    <t>Có bài báo đăng tạp chí quốc tế 01 tác giả</t>
  </si>
  <si>
    <t>- Có 01 bài báo đăng tạp chí quốc tế 01 tác giả
- Có 01 bài báo đăng tạp chí Thiết bị giáo dục 01 tác giả</t>
  </si>
  <si>
    <t>Có bài báo đăng tạp chí quốc tế nhóm 06 tác giả</t>
  </si>
  <si>
    <t>Có bài báo đăng tạp chí quốc tế nhóm 03 tác giả (T Anh Tăng, Minh Cường, Đức Cường)</t>
  </si>
  <si>
    <t>Có bài báo đăng tạp chí quốc tế nhóm 02 tác giả (T Minh Nghĩa, Minh Thử)</t>
  </si>
  <si>
    <t>Có bài báo đăng tạp chí quốc tế nhóm 02 tác giả (T Văn Yên, Trung Hiếu)</t>
  </si>
  <si>
    <t>Có bài báo đăng tạp chí quốc tế nhóm 03 tác giả</t>
  </si>
  <si>
    <t>- 01 bài báo đăng trên tạp chí quốc tế (nhóm 3 tác giả): Energies (Thuộc tạp chí ISI, ISSN: 1996-1073), ngày đăng 19/12/2022
- Bài viết đăng Kỷ yếu hội thảo cấp trường (ICSS 2022)</t>
  </si>
  <si>
    <t>- Bài viết sáng kiến được công nhận phạm vi ảnh hưởng cấp ngành năm học 2021-2022 (QĐ số 1969/QĐ-SGDĐT ngày 03/8/2022)
- Bài viết đăng Kỷ yếu hội thảo cấp trường (ICSS 2022)
- GV đạt giải I, KK trong Hội thi TBTL cấp thành phố năm 2022 (QĐ số 22258/QĐ-SLĐTBXH ngày 30/6/2022)
- Viết bài giới thiệu đơn vị đăng Kỷ yếu Hội thảo 50 năm thành lập trường</t>
  </si>
  <si>
    <t>- Tham gia đề tài NCKH cấp trường: Nghiên cứu và chế tạo mô hình mạng truyền thông trên ô tô. 
Mã số đề tài: T2021-TN05 (Theo Biên bản họp HĐ nghiệm thu đề tài ngày 26/9/2022)
- GV đạt giải II trong Hội thi TBTL toàn quốc năm 2022 (QĐ số 963/QĐ-LĐTBXH ngày 14/10/2022).</t>
  </si>
  <si>
    <t>Đề án Trường ĐH LTT</t>
  </si>
  <si>
    <t xml:space="preserve">Cá nhân bổ sung CSTD cơ sở ở đơn vị cũ, xin ý kiến HĐ xem xét mức thi đua tối đa trong năm 2023 --&gt; Không xét điều kiện thi đua </t>
  </si>
  <si>
    <t>Thiết kế trang Web 12 khoa không xét làm điều kiện thi đua mức A1 trong năm 2023</t>
  </si>
  <si>
    <t>TT ĐIỀU HÀNH VÀ QLDL</t>
  </si>
  <si>
    <t>Nguyễn Văn Hiển</t>
  </si>
  <si>
    <t>Cá nhân tham gia viết bài kỷ yếu 50 năm của trường (Đoàn Thanh niên)</t>
  </si>
  <si>
    <t xml:space="preserve">Cá nhân tích cực tham gia các công việc của phòng </t>
  </si>
  <si>
    <t>01008048</t>
  </si>
  <si>
    <t>Bổ sung trong kỳ xét thi đua tháng 2/2023</t>
  </si>
  <si>
    <r>
      <t xml:space="preserve">- Bài viết đăng Kỷ yếu hội thảo cấp trường (ICSS 2022)
</t>
    </r>
    <r>
      <rPr>
        <sz val="10"/>
        <color rgb="FFFF0000"/>
        <rFont val="Times New Roman"/>
        <family val="1"/>
      </rPr>
      <t>- Bổ sung bài báo quốc tế 02 tác giả (Đỗ Huỳnh Thanh Phong, Nguyễn Thùy Linh)</t>
    </r>
  </si>
  <si>
    <t>Bổ sung bài báo trong kỳ xét thi đua tháng 2/2023</t>
  </si>
  <si>
    <t>Bổ sung bài báo đăng tạp chí giáo dục ngày 20/12/2022 (nhóm 4 tác giả)</t>
  </si>
  <si>
    <t>Bổ sung bài báo trong kỳ xét thi đua tháng 2/2023 (Phạm Thị Thu Nga, Nguyễn Thị Thủy, Hà Như Mai)</t>
  </si>
  <si>
    <r>
      <t xml:space="preserve">- Bài viết sáng kiến được công nhận phạm vi ảnh hưởng cấp ngành năm học 2021-2022 (QĐ số 1969/QĐ-SGDĐT ngày 03/8/2022)
- Bài viết đăng Kỷ yếu hội thảo cấp trường (ICSS 2022)
- Tham gia viết bài giới thiệu đơn vị đăng Kỷ yếu Hội thảo 50 năm thành lập trường
- </t>
    </r>
    <r>
      <rPr>
        <sz val="10"/>
        <color rgb="FFFF0000"/>
        <rFont val="Times New Roman"/>
        <family val="1"/>
      </rPr>
      <t>Bổ sung bài báo đăng tạp chí giáo dục ngày 20/12/2022 (nhóm 4 tác giả)</t>
    </r>
  </si>
  <si>
    <t>Bổ sung bài báo đăng Tạp chí Dạy và học ngày nay Tháng 01/2023 (ISSN 2851-5769)</t>
  </si>
  <si>
    <t>Đi học nước ngoài từ ngày 01/3/2023</t>
  </si>
  <si>
    <t>Lê Thị Hải Đăng</t>
  </si>
  <si>
    <t>01002039</t>
  </si>
  <si>
    <t>Nhiệm vụ 18</t>
  </si>
  <si>
    <t>Nhiệm vụ 19</t>
  </si>
  <si>
    <t>Nhiệm vụ 20</t>
  </si>
  <si>
    <t>Tính 3 việc chung</t>
  </si>
  <si>
    <t>Tính 2 việc chung</t>
  </si>
  <si>
    <t>Tính 2  việc chung</t>
  </si>
  <si>
    <t>Nhiệm vụ 4 tính 2  việc chung</t>
  </si>
  <si>
    <t>Nhiệm vụ 5 tính 4  việc chung</t>
  </si>
  <si>
    <t>KHOA NGOẠI NGỮ</t>
  </si>
  <si>
    <t>Nguyễn Thị Thu Hà</t>
  </si>
  <si>
    <t>Phan Hữu Tước</t>
  </si>
  <si>
    <t>01008049</t>
  </si>
  <si>
    <t>Đào Lê Phương Anh</t>
  </si>
  <si>
    <t>01015108</t>
  </si>
  <si>
    <t>Huỳnh Đình Văn</t>
  </si>
  <si>
    <t>01013128</t>
  </si>
  <si>
    <t>XXIV</t>
  </si>
  <si>
    <t xml:space="preserve">Kính trình HĐ thi đua xem xét xét loại A1 do cá nhân tham gia hỗ trợ tích cực xử lý dữ liệu và nhắn tin thông báo nhập học, quảng bá tuyển sinh 2023 </t>
  </si>
  <si>
    <t>Khoa Ngoại ngữ</t>
  </si>
  <si>
    <t xml:space="preserve"> </t>
  </si>
  <si>
    <t>K. Ngoại ngữ</t>
  </si>
  <si>
    <t>Ngoại ngữ</t>
  </si>
  <si>
    <t>Đơn vị đề nghị xếp loại thi đua</t>
  </si>
  <si>
    <r>
      <t xml:space="preserve">Xếp loại A2
</t>
    </r>
    <r>
      <rPr>
        <b/>
        <i/>
        <sz val="13"/>
        <rFont val="Times New Roman"/>
        <family val="1"/>
      </rPr>
      <t>(tỷ lệ 30%)</t>
    </r>
  </si>
  <si>
    <t>Kết luận của HĐ</t>
  </si>
  <si>
    <t>Tổng nhân sự toàn trường</t>
  </si>
  <si>
    <t>Mức chuẩn A4. Đề nghị xếp loại A3. Cá nhân thường xuyên làm việc ngoài giờ chuẩn bị chứng từ, hồ sơ sổ sách để phục vụ cho công tác thanh tra,  thu học phí sinh viên , có nhiều tích cực trong công việc của phòng và của trường</t>
  </si>
  <si>
    <t>Mức chuẩn A4. Đề nghị xếp loại A3. Cá nhân tham gia nhiều công tác của trường, đơn vị và vượt ngày công kế hoạch</t>
  </si>
  <si>
    <t>Nguyễn Hoàng Hải</t>
  </si>
  <si>
    <t>01019003</t>
  </si>
  <si>
    <t>Đề xuất A1 do việc trường, việc đơn vị nhiều, vượt ngày công</t>
  </si>
  <si>
    <t>Thực hiện hiệu quả các công việc chung của Trường và của Phòng</t>
  </si>
  <si>
    <t>Cá nhân tham gia nhiều công tác của trường, đơn vị và vượt ngày công kế hoạch</t>
  </si>
  <si>
    <t>TRÍCH DANH SÁCH VIÊN CHỨC QUẢN LÝ XẾP LOẠI THI ĐUA THÁNG 7/2023</t>
  </si>
  <si>
    <t>Trần Thanh Cường</t>
  </si>
  <si>
    <t>01002040</t>
  </si>
  <si>
    <t>Không đăng ký định danh mức 2 đúng thời hạn (đăng ký ngày 16/8/2023)</t>
  </si>
  <si>
    <t xml:space="preserve">2 GV, </t>
  </si>
  <si>
    <t xml:space="preserve">Tích cực tham gia các hoạt động của Trường, đơn vị </t>
  </si>
  <si>
    <t>Lê Thu Hà</t>
  </si>
  <si>
    <t>01010260</t>
  </si>
  <si>
    <t>Nguyễn Duy Lộc</t>
  </si>
  <si>
    <t>Vũ Anh Hiếu</t>
  </si>
  <si>
    <t>01002041</t>
  </si>
  <si>
    <t>Mức chuẩn A2. Đề nghị xếp loại A1. Cá nhân thường xuyên làm việc ngoài giờ, thu học phí sinh viên , có nhiều tích cực trong công việc của phòng và của trường</t>
  </si>
  <si>
    <t>Vận động DN tài trợ lễ khai giảng trị giá 5 triệu đồng</t>
  </si>
  <si>
    <t>Vận động DN tài trợ lễ khai giảng trị giá 10 triệu đồng</t>
  </si>
  <si>
    <t>Lương Công Phi</t>
  </si>
  <si>
    <t>01031002</t>
  </si>
  <si>
    <t>Nguyễn Huỳnh Lưu Phương</t>
  </si>
  <si>
    <t>01025101</t>
  </si>
  <si>
    <t>Trần Nhật Thịnh</t>
  </si>
  <si>
    <t>01004020</t>
  </si>
  <si>
    <t>Thử việc 01/10/2023</t>
  </si>
  <si>
    <t>THỐNG KÊ CHI TIẾT KHỐI LƯỢNG CÔNG VIỆC THỰC HIỆN THÁNG 10/2023</t>
  </si>
  <si>
    <t>TP. HCM, ngày 2 tháng 11 năm 2023</t>
  </si>
  <si>
    <t>Nghỉ không hưởng lương đi học nước ngoài từ ngày 01/9/2023</t>
  </si>
  <si>
    <r>
      <t xml:space="preserve">Tăng 3: </t>
    </r>
    <r>
      <rPr>
        <sz val="10"/>
        <rFont val="Times New Roman"/>
        <family val="1"/>
      </rPr>
      <t xml:space="preserve">Lưu Phương (K. Kinh tế), Nhật Thịnh (P. TSDT), Công Phi (TTDHDL)
</t>
    </r>
    <r>
      <rPr>
        <b/>
        <sz val="10"/>
        <rFont val="Times New Roman"/>
        <family val="1"/>
      </rPr>
      <t>Giàm 2:</t>
    </r>
    <r>
      <rPr>
        <sz val="10"/>
        <rFont val="Times New Roman"/>
        <family val="1"/>
      </rPr>
      <t xml:space="preserve"> Đặng Thị Nhật Minh (K. LLCT), Lê Tiến Đạt (K. DDT)</t>
    </r>
  </si>
  <si>
    <t>Nghỉ ốm hưởng BHXH từ 12/9/2023</t>
  </si>
  <si>
    <t>BÁO CÁO TỔNG HỢP THI ĐUA THÁNG 10/2023</t>
  </si>
  <si>
    <t>01015142</t>
  </si>
  <si>
    <t>x</t>
  </si>
  <si>
    <t>Đã vận động tài trợ lễ khai giảng, Tính đến ngày 25/10/2023 số tiền là :  100.000.000 đồng.</t>
  </si>
  <si>
    <t>Đề xuất A1 do việc trường nhiều, Thư ký HĐ KĐ ngành QTM</t>
  </si>
  <si>
    <t>Đề xuất A1 do việc trường, việc đơn vị nhiều, Thư ký HĐ KĐ ngành CĐT</t>
  </si>
  <si>
    <t>Nghỉ 2 ngày</t>
  </si>
  <si>
    <t>Nghỉ 02 ngày phép: 12, 13/10/2023.</t>
  </si>
  <si>
    <t>Nghỉ 01 ngày phép: 24/10/2023.</t>
  </si>
  <si>
    <t>Nghỉ 02 ngày phép: 17, 18/10/2023.</t>
  </si>
  <si>
    <t>Nghỉ 01 ngày phép: 13/10/2023.</t>
  </si>
  <si>
    <t>Chưa vận động doanh nghiệp tài trợ cho Nhà trường</t>
  </si>
  <si>
    <t>Cá nhân tích cực hỗ trợ đơn vị trong công tác</t>
  </si>
  <si>
    <t>Tích cực hoạt động trong công việc chung của Phòng và của Trường</t>
  </si>
  <si>
    <t>Chưa ghi nhận vận động DN tài trợ Lễ khai giảng</t>
  </si>
  <si>
    <t>Tích cực tham gia công việc của khoa và trường</t>
  </si>
  <si>
    <t>Tích cực tham gia hoạt động của Trường, của Khoa</t>
  </si>
  <si>
    <t>Vận động doanh nghiệp tài trợ Lễ khai giảng 10tr đồng</t>
  </si>
  <si>
    <t>Vận động doanh nghiệp tài trợ Lễ khai giảng 5tr đồng</t>
  </si>
  <si>
    <t>GV tích cực trong hoạt động trường</t>
  </si>
  <si>
    <t>02/10/2023 Tiết 7-10, 12h40: GV vào lớp. Tiết 7 bắt đầu lúc 12h30. 
12/10/2023 Tiết 5-6, 23T4-CTM1, Có SV, không có GV, 10h36: LĐ khoa báo cho SV về .</t>
  </si>
  <si>
    <t>Xét hoàn cảnh tiền sử có bệnh cao huyết áp, nhiệt tình giảng dạy lớp tối</t>
  </si>
  <si>
    <t>Tích cực hỗ trợ Lãnh đạo Khoa</t>
  </si>
  <si>
    <t>Vận động DN 16 triệu tính 2 tháng 9,10</t>
  </si>
  <si>
    <t>Chưa vận động tài trợ khai giảng NH 2023-2024, hạ một bậc thi đua</t>
  </si>
  <si>
    <t>Vận động tài trợ 10 triệu đồng.</t>
  </si>
  <si>
    <t>Hướng dẫn sinh viện 20T4 Thực tập doanh nghiệp</t>
  </si>
  <si>
    <t>-Hoàn thành tốt nhiệm vụ phân công
- Tích cực xây dựng mô hình phòng thực hành Logistics</t>
  </si>
  <si>
    <t>- Hoàn thành rất tốt nhiệm vụ phân công.
- Tích cực tham gia các phong trào của khoa và trường</t>
  </si>
  <si>
    <t>- Hoàn thành tốt nhiệm vụ phân công.</t>
  </si>
  <si>
    <t>- Hoàn thành rất tốt nhiệm vụ phân công.
-  Tích cực tham gia các hoạt động, phong trào của khoa.</t>
  </si>
  <si>
    <t>- Hoàn thành tốt nhiệm vụ phân công.
-  Tích cực tham gia các hoạt động, phong trào của khoa</t>
  </si>
  <si>
    <t>Cá nhân tích cực trong công tác và vượt ngày công kế hoạch</t>
  </si>
  <si>
    <t>Đưa sinh viên bị rối loạn hoang tưởng đi khám và điều trị bệnh tại Bệnh viện Tâm Thần. Chỉ đạo công tác khám sức khỏe đầu năm học cho sinh viên toàn trường. Vận động tài trợ Lễ khai giảng năm học 2023-2024.</t>
  </si>
  <si>
    <t xml:space="preserve">Chưa thực hiên nhiên vụ trưởng trung tâm giao, đăng tuyển thông tin 2 lân trên trang web giới thiệu việc làm không báo Trưởng trung tâm </t>
  </si>
  <si>
    <t>Đề nghị xếp loại A1 vì đã thực hiện nhiều công tác của đơn vị, Nhà trường và có vận động doanh nghiệp hỗ trợ Nhà trường</t>
  </si>
  <si>
    <t>Nghỉ 8 ngày không hưởng lương</t>
  </si>
  <si>
    <r>
      <rPr>
        <b/>
        <sz val="10"/>
        <rFont val="Times New Roman"/>
        <family val="1"/>
      </rPr>
      <t>P. TTGD-CTSV:</t>
    </r>
    <r>
      <rPr>
        <sz val="10"/>
        <rFont val="Times New Roman"/>
        <family val="1"/>
      </rPr>
      <t xml:space="preserve">
- Ngày 25/9/2023, tiết 2-5, 7h52: GV vào lớp (trễ 7 phút). TKB tiết 2 bắt đầu lúc 7h45
- Ngày 29/9/2023, tiết 1, 7h05: GV vào lớp (trễ 5 phút). TKB tiết 1 bắt đầu lúc 7h00</t>
    </r>
  </si>
  <si>
    <t>GV có bản giải trình</t>
  </si>
  <si>
    <r>
      <rPr>
        <b/>
        <sz val="11"/>
        <rFont val="Times New Roman"/>
        <family val="1"/>
      </rPr>
      <t>P. TTGD-CTSV:</t>
    </r>
    <r>
      <rPr>
        <sz val="11"/>
        <rFont val="Times New Roman"/>
        <family val="1"/>
      </rPr>
      <t xml:space="preserve">
- Ngày 02/10/2023, Tiết 7-10, 12h40: GV vào lớp (trễ 10 phút). Tiết 7 bắt đầu lúc 12h30. 
- Ngày 12/10/2023, Tiết 5-6, 23T4-CTM1, Có SV, không có GV, 10h36: LĐ khoa báo cho SV về .</t>
    </r>
  </si>
  <si>
    <r>
      <rPr>
        <b/>
        <sz val="10"/>
        <rFont val="Times New Roman"/>
        <family val="1"/>
      </rPr>
      <t>P. TTGD-CTSV:</t>
    </r>
    <r>
      <rPr>
        <sz val="10"/>
        <rFont val="Times New Roman"/>
        <family val="1"/>
      </rPr>
      <t xml:space="preserve">
- Ngày 10/10/2023, Tiết 5 (SHCN), Có SV, không có GV, lớp nghỉ</t>
    </r>
  </si>
  <si>
    <r>
      <rPr>
        <b/>
        <sz val="11"/>
        <rFont val="Times New Roman"/>
        <family val="1"/>
      </rPr>
      <t>TTĐH-QLDL:</t>
    </r>
    <r>
      <rPr>
        <sz val="11"/>
        <rFont val="Times New Roman"/>
        <family val="1"/>
      </rPr>
      <t xml:space="preserve">
- Ngày 17/10/2023, tiết 13-16, Ko có GV, Có SV. TKB tiết 13 bắt đầu lúc 18h00</t>
    </r>
  </si>
  <si>
    <t>Nhắc nhở GV thực hiện đúng quy định thời gian lên lớp</t>
  </si>
  <si>
    <t>Tình hình ra vào cổng: 27 cá nhân, 20 lượt đi công tác, 15 lượt đi vì lý do cá nhân</t>
  </si>
  <si>
    <t>- P. KHTC: 5 cá nhân ; 10 lượt đi công tác</t>
  </si>
  <si>
    <t>Nghỉ không lương từ 10/10 đến 30/11/2023</t>
  </si>
  <si>
    <t>Vận động DN tài trợ lễ khai giảng trị giá 62 triệu đồng</t>
  </si>
  <si>
    <t>Vận động doanh nghiệp tài trợ cho Nhà trường 16 triệu đồng</t>
  </si>
  <si>
    <t>Vận động DN tài trợ lễ khai giảng trị giá 40 triệu đồng</t>
  </si>
  <si>
    <t>Vận động DN tài trợ lễ khai giảng trị giá 8 triệu đồng</t>
  </si>
  <si>
    <t>Vận động DN tài trợ lễ khai giảng trị giá 607 triệu đồng</t>
  </si>
  <si>
    <t>Có vận động tài trợ khai giảng NH 2023-2024 - 5 triệu đồng</t>
  </si>
  <si>
    <t>Vận động tài trợ khai giảng NH 2023-2024 - 10 triệu đồng</t>
  </si>
  <si>
    <t>Vận động DN tài trợ Lễ khai giảng - 77 triệu đồng</t>
  </si>
  <si>
    <t>Vận động DN tài trợ lễ khai giảng - 8 triệu đồng</t>
  </si>
  <si>
    <t>Vận động DN tài trợ lễ khai giảng - 30,5 triệu đồng</t>
  </si>
  <si>
    <t>Đã vận động tài trợ lễ khai giảng đến ngày 06/11/2023  số tiền là :  10.000.000 đồng.</t>
  </si>
  <si>
    <t>Đã vận động tài trợ lễ khai giảng đến ngày 06/11/2023  số tiền là :  17.000.000 đồng.</t>
  </si>
  <si>
    <t>Vận động DN tài trợ lễ khai giảng - 15 triệu đồng (đã tính tháng 9/2023)</t>
  </si>
  <si>
    <t>Vận động DN tài trợ Lễ khai giảng - 21 triệu (đã tính tháng 9/2023)</t>
  </si>
  <si>
    <t>Vận động DN tài trợ Lễ khai giảng - 15,5 triệu (đã tính tháng 9/2023)</t>
  </si>
  <si>
    <t>Vận động DN tài trợ Lễ khai giảng - 10 triệu (đã tính tháng 9/2023)</t>
  </si>
  <si>
    <t>Vận động DN tài trợ Lễ khai giảng - 10 triệu</t>
  </si>
  <si>
    <t>Vận động 10 triệu (đã tính tháng 9/2023)</t>
  </si>
  <si>
    <t>Vận động Lễ (màn hình led)</t>
  </si>
  <si>
    <t>Vận động DN tài trợ Lễ khai giảng 10 triệu đồng</t>
  </si>
  <si>
    <t>Huy động hỗ trợ ngày họp PH, lễ hội Halloween</t>
  </si>
  <si>
    <t>Huy động hỗ trợ ngày họp PH, hỗ trợ đơn vị xếp lịch trực khi tổ trưởng nghỉ ốm</t>
  </si>
  <si>
    <t>Nhóm TT đề nghị xếp A1</t>
  </si>
  <si>
    <t>Vận động DN tài trợ lễ khai giảng 5 triệu đồng</t>
  </si>
  <si>
    <t>Nhóm TT đề nghị xếp A2</t>
  </si>
  <si>
    <t>Vận động DN tài trợ Lế Khai giảng 10 triệu đồng</t>
  </si>
  <si>
    <t>GV đến lớp trễ ngày 02/10/2023 (10 phút), ngày 12/10/2023 báo LĐK cho lớp nghỉ (trễ 15 phút). Thống nhất xếp loại B1</t>
  </si>
  <si>
    <t>Ngày 17/10/2023, GV báo LĐK cho lớp nghỉ (trễ 20 phút). Thống nhất xếp loại B1</t>
  </si>
  <si>
    <t>Nhắc nhở GV thực hiện đúng quy định giờ lên lớp</t>
  </si>
  <si>
    <t>- P. TSĐT: 9 cá nhân; 2 lượt đi công tác, 5 lượt đi vì lý do cá nhân</t>
  </si>
  <si>
    <t>- P. TCHCTH: 3 cá nhân; 2 lượt đi công tác, 1 lượt đi vì lý do cá nhân</t>
  </si>
  <si>
    <t>- P. KT&amp;ĐBCL: 2 cá nhân; 2 lượt đi vì lý do cá nhân</t>
  </si>
  <si>
    <t>- P. TTGD-CTSV: 2 cá nhân; 2 lượt đi vì lý do cá nhân</t>
  </si>
  <si>
    <t>- TTĐH-QLDL: 3 cá nhân; 3 lượt đi công tác</t>
  </si>
  <si>
    <t>- P. QLKH-HQTT: 2 cá nhân; 4 lượt đi công tác, 1 lượt đi vì lý do cá nhân</t>
  </si>
  <si>
    <t>- TT TV: 2 cá nhân; 3 lượt đi vì lý do cá nhân</t>
  </si>
  <si>
    <t>5 GV,</t>
  </si>
  <si>
    <t>5 lượt vi phạm</t>
  </si>
  <si>
    <t xml:space="preserve">9 GV, </t>
  </si>
  <si>
    <t>12 lượt vi phạm</t>
  </si>
  <si>
    <t xml:space="preserve">6 GV, </t>
  </si>
  <si>
    <t>9 lượt vi phạm</t>
  </si>
  <si>
    <t xml:space="preserve">- Khoa Ngoại ngữ: </t>
  </si>
  <si>
    <t>4 lượt vi phạm</t>
  </si>
  <si>
    <t>Võ Thanh Tâm</t>
  </si>
  <si>
    <t xml:space="preserve">- Ngày 7/10/2023, tiết 13, 18h21: GV vào lớp (trễ 21 phút). TKB tiết 13 bắt đầu lúc 18h00. </t>
  </si>
  <si>
    <t>Nguyễn Thị Mai Lệ</t>
  </si>
  <si>
    <t xml:space="preserve">- Ngày 10/10/2023, tiết 13-16, 18h16: GV vào lớp (trễ 16 phút). TKB tiết 13 bắt đầu lúc 18h00. </t>
  </si>
  <si>
    <t>Lê Thị Ái Nhi</t>
  </si>
  <si>
    <t xml:space="preserve">- Ngày 12/10/2023, tiết 14, 18h55: GV vào lớp (trễ 10 phút). TKB tiết 14 bắt đầu lúc 18h45. </t>
  </si>
  <si>
    <t>Dương Văn Bình</t>
  </si>
  <si>
    <t>- Ngày 13/10/2023, tiết 13-16, Có SV, không có GV, 18h45 SV ra về. TKB tiết 13 bắt đầu lúc 18h00. LĐ khoa không báo</t>
  </si>
  <si>
    <t>Trần Minh Quân</t>
  </si>
  <si>
    <t>- Ngày 24/10/2023, tiết 13-16, GV dạy tại phòng C2.2-01. LĐ khoa không báo</t>
  </si>
  <si>
    <t>Lê Ngọc Minh Thiên</t>
  </si>
  <si>
    <t>- Ngày 28/9/2023, tiết 2-5, 9h14: GV vào lớp. Tiết 3 bắt đầu lúc 08h40. Không tính KL tiết 3</t>
  </si>
  <si>
    <t>Huỳnh Chấn Đức</t>
  </si>
  <si>
    <t xml:space="preserve">- Ngày 30/9/2023, tiết 1-2, 7h08: GV vào lớp (trễ 8 phút). TKB tiết 1 bắt đầu lúc 7h00. </t>
  </si>
  <si>
    <t>Trần Thị Họa My</t>
  </si>
  <si>
    <t>- Ngày 03/10/2023, tiết 1-3, 08h20: Có 01 SV ngủ trong lớp. Đang trong giờ học tiết 2 từ 07h45-08h30</t>
  </si>
  <si>
    <t>Lê Sỹ Trọng</t>
  </si>
  <si>
    <t xml:space="preserve">- Ngày 03/10/2023, tiết 4-6, 9h36: GV vào lớp (trễ 11 phút). TKB tiết 4 bắt đầu lúc 9h25. 
- Ngày 10/10/2023, tiết 1-3, 7h10: GV vào lớp (trễ 10 phút). TKB tiết 1 bắt đầu lúc 7h00. 
- Ngày 24/10/2023, tiết 1-3, 7h08: GV vào lớp (trễ 8 phút). TKB tiết 1 bắt đầu lúc 7h00. </t>
  </si>
  <si>
    <t>Trần Kiến Năng</t>
  </si>
  <si>
    <t xml:space="preserve">- Ngày 03/10/2023, tiết 1-4, 7h29: GV vào lớp (trễ 29 phút). TKB tiết 1 bắt đầu lúc 7h00. </t>
  </si>
  <si>
    <t>Lê Thị Nga</t>
  </si>
  <si>
    <t xml:space="preserve">- Ngày 04/10/2023, tiết 7-8, 12h45: GV vào lớp (trễ 15 phút). TKB tiết 7 bắt đầu lúc 12h30. </t>
  </si>
  <si>
    <t>Châu Quốc Cường</t>
  </si>
  <si>
    <t xml:space="preserve">- Ngày 09/10/2023, tiết 1-5, 7h07: GV vào lớp (trễ 7 phút). TKB tiết 1 bắt đầu lúc 7h00. </t>
  </si>
  <si>
    <t>Nguyễn Quang Diệu</t>
  </si>
  <si>
    <t>- Ngày 16/10/2023, tiết 1-4, 9h04: Có 01 SV ngủ trên ghế. Đang trong giờ học tiết 3 từ 8h40-9h25</t>
  </si>
  <si>
    <t>Mai Lạc Cần</t>
  </si>
  <si>
    <t>- Ngày 24/10/2023, tiết 7-9, GV dạy từ tiết 8. LĐ khoa không báo</t>
  </si>
  <si>
    <t>Nguyễn Thế Chỉnh</t>
  </si>
  <si>
    <t xml:space="preserve">- Ngày 29/9/2023, tiết 1-5, 7h14: GV vào lớp (trễ 14 phút). TKB tiết 1 bắt đầu lúc 7h00. </t>
  </si>
  <si>
    <t>Trần Tấn Tài</t>
  </si>
  <si>
    <t>- Ngày 04/10/2023, tiết 7-11, 12h38: GV vào lớp (trễ 8 phút). TKB tiết 7 bắt đầu lúc 12h30. 
- Ngày 23/10/2023, tiết 13-16 tại phòng E2.2-05 nhưng GV dạy tại phòng E2-01.</t>
  </si>
  <si>
    <t>Nguyễn Thị Oanh</t>
  </si>
  <si>
    <t>- Ngày 04/10/2023, tiết 13-16, Không có GV + SV. TKB tiết 13 bắt đầu lúc 18h. 
- Ngày 06/10/2023, tiết 13-16, Không có GV + SV. TKB tiết 13 bắt đầu lúc 18h. 
- Ngày 09/10/2023, tiết 14-16, Có SV, không có GV, 19h00: LĐ khoa cho lớp TN.
- Ngày 13/10/2023, tiết 13-16, Có SV, không có GV, 18h20: LĐ khoa cho lớp về.</t>
  </si>
  <si>
    <t>Trần Tấn Lộc</t>
  </si>
  <si>
    <t xml:space="preserve">- Ngày 6/10/2023, tiết 13-16, 18h18: GV vào lớp (trễ 18 phút). TKB tiết 13 bắt đầu lúc 18h00. </t>
  </si>
  <si>
    <t>Nguyễn Ngọc Trang</t>
  </si>
  <si>
    <t xml:space="preserve">- Ngày 10/10/2023, tiết 13-16, Có SV, không có GV, 18h12: LĐ khoa cho lớp TN. TKB tiết 13 bắt đầu lúc 18h. </t>
  </si>
  <si>
    <t xml:space="preserve">Trần Thị Vân Hồng </t>
  </si>
  <si>
    <t xml:space="preserve">- Ngày 10/10/2023, tiết 13-16, Không có GV + SV. TKB tiết 13 bắt đầu lúc 18h. </t>
  </si>
  <si>
    <t xml:space="preserve">Lê Thị Yến Nhi </t>
  </si>
  <si>
    <t>- Ngày 26/10/2023, tiết 7-10, 12h53: GV vào lớp (trễ 23 phút). TKB tiết 7 bắt đầu lúc 12h30. 
- Ngày 18/10/2023, tiết 7-10, Có SV, không có GV, 13h10: LĐ khoa cho lớp về.</t>
  </si>
  <si>
    <t>Phạm Xuân Lan</t>
  </si>
  <si>
    <t xml:space="preserve">- Ngày 03/10/2023, tiết 7-9, Không có GV + SV.  
- Ngày 18/10/2023, tiết 1-4, 7h08: GV vào lớp (trễ 8 phút). TKB tiết 1 bắt đầu lúc 7h00. </t>
  </si>
  <si>
    <t>GV quên tiết SHCN ngày 10/10/2023 theo quy định xếp loại C1. Tuy nhiên, nhóm TT xét do GV vi phạm lần đầu, đề nghị xếp loại B1</t>
  </si>
  <si>
    <t>Tiết 5-5, 23C1-CNÔ8, 
Ngày 10/10/2023, Có SV, không có GV, lớp nghỉ</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</si>
</sst>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4" formatCode="_(&quot;$&quot;* #,##0.00_);_(&quot;$&quot;* \(#,##0.00\);_(&quot;$&quot;* &quot;-&quot;??_);_(@_)"/>
    <numFmt numFmtId="43" formatCode="_(* #,##0.00_);_(* \(#,##0.00\);_(* &quot;-&quot;??_);_(@_)"/>
    <numFmt numFmtId="164" formatCode="_(* #,##0_);_(* \(#,##0\);_(* &quot;-&quot;??_);_(@_)"/>
    <numFmt numFmtId="165" formatCode="00000000"/>
    <numFmt numFmtId="166" formatCode="0_);\(0\)"/>
    <numFmt numFmtId="167" formatCode="0.0%"/>
  </numFmts>
  <fonts count="120"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1"/>
      <color indexed="8"/>
      <name val="Calibri"/>
      <family val="2"/>
    </font>
    <font>
      <sz val="10"/>
      <name val="Arial"/>
      <family val="2"/>
    </font>
    <font>
      <sz val="10"/>
      <name val="Times New Roman"/>
      <family val="1"/>
    </font>
    <font>
      <b/>
      <sz val="10"/>
      <name val="Times New Roman"/>
      <family val="1"/>
    </font>
    <font>
      <b/>
      <sz val="16"/>
      <name val="Times New Roman"/>
      <family val="1"/>
    </font>
    <font>
      <i/>
      <sz val="12"/>
      <name val="Times New Roman"/>
      <family val="1"/>
    </font>
    <font>
      <b/>
      <i/>
      <sz val="12"/>
      <name val="Times New Roman"/>
      <family val="1"/>
    </font>
    <font>
      <i/>
      <sz val="10"/>
      <name val="Times New Roman"/>
      <family val="1"/>
    </font>
    <font>
      <b/>
      <sz val="13"/>
      <color indexed="8"/>
      <name val="Times New Roman"/>
      <family val="1"/>
    </font>
    <font>
      <b/>
      <sz val="9"/>
      <color indexed="8"/>
      <name val="Times New Roman"/>
      <family val="1"/>
    </font>
    <font>
      <sz val="13"/>
      <color indexed="8"/>
      <name val="Times New Roman"/>
      <family val="1"/>
    </font>
    <font>
      <sz val="13"/>
      <name val="Times New Roman"/>
      <family val="1"/>
    </font>
    <font>
      <sz val="11"/>
      <color indexed="8"/>
      <name val="Times New Roman"/>
      <family val="1"/>
    </font>
    <font>
      <b/>
      <sz val="13"/>
      <name val="Times New Roman"/>
      <family val="1"/>
    </font>
    <font>
      <b/>
      <sz val="12"/>
      <color indexed="8"/>
      <name val="Times New Roman"/>
      <family val="1"/>
    </font>
    <font>
      <sz val="12"/>
      <color indexed="8"/>
      <name val="Times New Roman"/>
      <family val="1"/>
    </font>
    <font>
      <sz val="11"/>
      <name val="Times New Roman"/>
      <family val="1"/>
    </font>
    <font>
      <b/>
      <u/>
      <sz val="12"/>
      <color indexed="8"/>
      <name val="Times New Roman"/>
      <family val="1"/>
    </font>
    <font>
      <sz val="8"/>
      <name val="Calibri"/>
      <family val="2"/>
    </font>
    <font>
      <b/>
      <sz val="9"/>
      <name val="Times New Roman"/>
      <family val="1"/>
    </font>
    <font>
      <sz val="14"/>
      <name val="Times New Roman"/>
      <family val="1"/>
    </font>
    <font>
      <sz val="11"/>
      <color indexed="8"/>
      <name val="Calibri"/>
      <family val="2"/>
    </font>
    <font>
      <sz val="11"/>
      <color indexed="9"/>
      <name val="Calibri"/>
      <family val="2"/>
    </font>
    <font>
      <sz val="12"/>
      <color indexed="8"/>
      <name val="Times New Roman"/>
      <family val="1"/>
    </font>
    <font>
      <b/>
      <sz val="13"/>
      <color indexed="8"/>
      <name val="Times New Roman"/>
      <family val="1"/>
    </font>
    <font>
      <b/>
      <sz val="12"/>
      <color indexed="8"/>
      <name val="Times New Roman"/>
      <family val="1"/>
    </font>
    <font>
      <sz val="13"/>
      <color indexed="8"/>
      <name val="Times New Roman"/>
      <family val="1"/>
    </font>
    <font>
      <sz val="13"/>
      <color indexed="8"/>
      <name val="Calibri"/>
      <family val="2"/>
    </font>
    <font>
      <sz val="12"/>
      <color indexed="8"/>
      <name val="Calibri"/>
      <family val="2"/>
    </font>
    <font>
      <i/>
      <sz val="12"/>
      <color indexed="8"/>
      <name val="Times New Roman"/>
      <family val="1"/>
    </font>
    <font>
      <sz val="14"/>
      <color indexed="8"/>
      <name val="Times New Roman"/>
      <family val="1"/>
    </font>
    <font>
      <sz val="10"/>
      <color indexed="10"/>
      <name val="Times New Roman"/>
      <family val="1"/>
    </font>
    <font>
      <sz val="12"/>
      <color indexed="9"/>
      <name val="Times New Roman"/>
      <family val="1"/>
    </font>
    <font>
      <b/>
      <sz val="12"/>
      <color indexed="10"/>
      <name val="Times New Roman"/>
      <family val="1"/>
    </font>
    <font>
      <sz val="12"/>
      <color indexed="10"/>
      <name val="Times New Roman"/>
      <family val="1"/>
    </font>
    <font>
      <i/>
      <sz val="13"/>
      <color indexed="8"/>
      <name val="Times New Roman"/>
      <family val="1"/>
    </font>
    <font>
      <sz val="14"/>
      <color indexed="8"/>
      <name val="Calibri"/>
      <family val="2"/>
    </font>
    <font>
      <b/>
      <sz val="16"/>
      <color indexed="8"/>
      <name val="Times New Roman"/>
      <family val="1"/>
    </font>
    <font>
      <sz val="11"/>
      <color indexed="8"/>
      <name val="Calibri"/>
      <family val="2"/>
      <charset val="163"/>
    </font>
    <font>
      <b/>
      <sz val="11"/>
      <name val="Times New Roman"/>
      <family val="1"/>
    </font>
    <font>
      <i/>
      <sz val="11"/>
      <name val="Times New Roman"/>
      <family val="1"/>
    </font>
    <font>
      <sz val="11"/>
      <color indexed="8"/>
      <name val="Calibri"/>
      <family val="2"/>
    </font>
    <font>
      <sz val="11"/>
      <color indexed="10"/>
      <name val="Calibri"/>
      <family val="2"/>
    </font>
    <font>
      <sz val="13"/>
      <color indexed="8"/>
      <name val="Times New Roman"/>
      <family val="1"/>
    </font>
    <font>
      <sz val="12"/>
      <color indexed="10"/>
      <name val="Times New Roman"/>
      <family val="1"/>
    </font>
    <font>
      <sz val="13"/>
      <color indexed="10"/>
      <name val="Calibri"/>
      <family val="2"/>
    </font>
    <font>
      <sz val="13"/>
      <color indexed="10"/>
      <name val="Times New Roman"/>
      <family val="1"/>
    </font>
    <font>
      <sz val="11"/>
      <color indexed="8"/>
      <name val="Calibri"/>
      <family val="2"/>
    </font>
    <font>
      <sz val="11"/>
      <color indexed="10"/>
      <name val="Calibri"/>
      <family val="2"/>
    </font>
    <font>
      <sz val="12"/>
      <color indexed="10"/>
      <name val="Times New Roman"/>
      <family val="1"/>
    </font>
    <font>
      <sz val="13"/>
      <color indexed="10"/>
      <name val="Times New Roman"/>
      <family val="1"/>
    </font>
    <font>
      <b/>
      <sz val="13"/>
      <color indexed="10"/>
      <name val="Times New Roman"/>
      <family val="1"/>
    </font>
    <font>
      <b/>
      <sz val="10"/>
      <color indexed="10"/>
      <name val="Times New Roman"/>
      <family val="1"/>
    </font>
    <font>
      <i/>
      <sz val="13"/>
      <color indexed="10"/>
      <name val="Times New Roman"/>
      <family val="1"/>
    </font>
    <font>
      <sz val="13"/>
      <color indexed="10"/>
      <name val="Calibri"/>
      <family val="2"/>
    </font>
    <font>
      <i/>
      <sz val="13"/>
      <name val="Times New Roman"/>
      <family val="1"/>
    </font>
    <font>
      <sz val="11"/>
      <color indexed="8"/>
      <name val="Calibri"/>
      <family val="2"/>
    </font>
    <font>
      <sz val="11"/>
      <color indexed="10"/>
      <name val="Times New Roman"/>
      <family val="1"/>
    </font>
    <font>
      <sz val="13"/>
      <color indexed="8"/>
      <name val="Times New Roman"/>
      <family val="1"/>
    </font>
    <font>
      <b/>
      <sz val="14"/>
      <color indexed="8"/>
      <name val="Times New Roman"/>
      <family val="1"/>
    </font>
    <font>
      <sz val="12"/>
      <color indexed="8"/>
      <name val="Times New Roman"/>
      <family val="1"/>
    </font>
    <font>
      <sz val="14"/>
      <color indexed="8"/>
      <name val="Times New Roman"/>
      <family val="1"/>
    </font>
    <font>
      <b/>
      <sz val="11"/>
      <color indexed="10"/>
      <name val="Times New Roman"/>
      <family val="1"/>
    </font>
    <font>
      <sz val="10"/>
      <color indexed="10"/>
      <name val="Times New Roman"/>
      <family val="1"/>
    </font>
    <font>
      <i/>
      <sz val="11"/>
      <color indexed="10"/>
      <name val="Times New Roman"/>
      <family val="1"/>
    </font>
    <font>
      <sz val="12"/>
      <color indexed="10"/>
      <name val="Times New Roman"/>
      <family val="1"/>
    </font>
    <font>
      <b/>
      <sz val="10"/>
      <color indexed="10"/>
      <name val="Times New Roman"/>
      <family val="1"/>
    </font>
    <font>
      <sz val="12"/>
      <color indexed="18"/>
      <name val="Times New Roman"/>
      <family val="1"/>
    </font>
    <font>
      <sz val="12"/>
      <color indexed="30"/>
      <name val="Times New Roman"/>
      <family val="1"/>
    </font>
    <font>
      <sz val="10"/>
      <color indexed="30"/>
      <name val="Times New Roman"/>
      <family val="1"/>
    </font>
    <font>
      <sz val="11"/>
      <color indexed="8"/>
      <name val="Calibri"/>
      <family val="2"/>
    </font>
    <font>
      <sz val="10"/>
      <name val="Arial"/>
      <family val="2"/>
    </font>
    <font>
      <sz val="11"/>
      <name val="Calibri"/>
      <family val="2"/>
    </font>
    <font>
      <sz val="13"/>
      <name val="Calibri"/>
      <family val="2"/>
    </font>
    <font>
      <b/>
      <sz val="9"/>
      <name val="Times New Roman"/>
      <family val="1"/>
      <charset val="163"/>
    </font>
    <font>
      <sz val="12"/>
      <name val="Calibri"/>
      <family val="2"/>
    </font>
    <font>
      <i/>
      <sz val="12"/>
      <name val="Times New Roman"/>
      <family val="1"/>
      <charset val="163"/>
    </font>
    <font>
      <b/>
      <i/>
      <sz val="13"/>
      <name val="Times New Roman"/>
      <family val="1"/>
    </font>
    <font>
      <sz val="11"/>
      <color theme="1"/>
      <name val="Calibri"/>
      <family val="2"/>
      <scheme val="minor"/>
    </font>
    <font>
      <sz val="10"/>
      <color rgb="FF000000"/>
      <name val="Arial"/>
      <family val="2"/>
    </font>
    <font>
      <sz val="11"/>
      <color theme="1"/>
      <name val="Calibri"/>
      <family val="2"/>
    </font>
    <font>
      <sz val="12"/>
      <color theme="0"/>
      <name val="Times New Roman"/>
      <family val="1"/>
    </font>
    <font>
      <sz val="10"/>
      <color rgb="FFFF0000"/>
      <name val="Times New Roman"/>
      <family val="1"/>
    </font>
    <font>
      <b/>
      <sz val="12"/>
      <color rgb="FFFF0000"/>
      <name val="Times New Roman"/>
      <family val="1"/>
    </font>
    <font>
      <sz val="12"/>
      <color rgb="FFFF0000"/>
      <name val="Times New Roman"/>
      <family val="1"/>
    </font>
    <font>
      <sz val="14"/>
      <color theme="1"/>
      <name val="Times New Roman"/>
      <family val="1"/>
    </font>
    <font>
      <sz val="11"/>
      <name val="Calibri"/>
      <family val="2"/>
      <scheme val="minor"/>
    </font>
    <font>
      <sz val="13"/>
      <color theme="1"/>
      <name val="Times New Roman"/>
      <family val="1"/>
    </font>
    <font>
      <sz val="11"/>
      <color theme="1"/>
      <name val="Times New Roman"/>
      <family val="1"/>
    </font>
    <font>
      <sz val="12"/>
      <color theme="1"/>
      <name val="Times New Roman"/>
      <family val="1"/>
    </font>
    <font>
      <b/>
      <sz val="12"/>
      <color theme="1"/>
      <name val="Times New Roman"/>
      <family val="1"/>
    </font>
    <font>
      <sz val="13"/>
      <color rgb="FFFF0000"/>
      <name val="Times New Roman"/>
      <family val="1"/>
    </font>
    <font>
      <b/>
      <sz val="12"/>
      <color theme="0"/>
      <name val="Times New Roman"/>
      <family val="1"/>
    </font>
    <font>
      <sz val="12"/>
      <color theme="1"/>
      <name val="Calibri"/>
      <family val="2"/>
      <scheme val="minor"/>
    </font>
    <font>
      <sz val="11"/>
      <color theme="0"/>
      <name val="Times New Roman"/>
      <family val="1"/>
    </font>
    <font>
      <sz val="13"/>
      <color theme="1"/>
      <name val="Calibri"/>
      <family val="2"/>
      <scheme val="minor"/>
    </font>
    <font>
      <sz val="12"/>
      <name val="Calibri"/>
      <family val="2"/>
      <scheme val="minor"/>
    </font>
    <font>
      <sz val="13"/>
      <color rgb="FF0070C0"/>
      <name val="Times New Roman"/>
      <family val="1"/>
    </font>
    <font>
      <strike/>
      <sz val="13"/>
      <name val="Times New Roman"/>
      <family val="1"/>
    </font>
    <font>
      <sz val="13"/>
      <color theme="1"/>
      <name val="Times New Roman"/>
      <family val="1"/>
    </font>
    <font>
      <sz val="10"/>
      <color theme="1"/>
      <name val="Times New Roman"/>
      <family val="1"/>
    </font>
    <font>
      <sz val="13"/>
      <color indexed="8"/>
      <name val="Times New Roman"/>
      <family val="1"/>
    </font>
    <font>
      <sz val="12"/>
      <color theme="1"/>
      <name val="Times New Roman"/>
      <family val="1"/>
    </font>
    <font>
      <b/>
      <sz val="11"/>
      <color rgb="FFFF0000"/>
      <name val="Times New Roman"/>
      <family val="1"/>
    </font>
    <font>
      <sz val="11"/>
      <color rgb="FFFF0000"/>
      <name val="Times New Roman"/>
      <family val="1"/>
    </font>
    <font>
      <sz val="10"/>
      <color rgb="FF7030A0"/>
      <name val="Times New Roman"/>
      <family val="1"/>
    </font>
    <font>
      <sz val="9"/>
      <color indexed="81"/>
      <name val="Tahoma"/>
      <family val="2"/>
    </font>
    <font>
      <b/>
      <sz val="9"/>
      <color indexed="81"/>
      <name val="Tahoma"/>
      <family val="2"/>
    </font>
    <font>
      <sz val="11"/>
      <color rgb="FF0070C0"/>
      <name val="Times New Roman"/>
      <family val="1"/>
    </font>
    <font>
      <sz val="10"/>
      <color theme="0"/>
      <name val="Times New Roman"/>
      <family val="1"/>
    </font>
    <font>
      <b/>
      <sz val="11"/>
      <color theme="1"/>
      <name val="Times New Roman"/>
      <family val="1"/>
    </font>
    <font>
      <sz val="13"/>
      <color indexed="8"/>
      <name val="Times New Roman"/>
      <family val="1"/>
    </font>
    <font>
      <sz val="12"/>
      <color theme="1"/>
      <name val="Times New Roman"/>
      <family val="1"/>
    </font>
    <font>
      <b/>
      <sz val="11"/>
      <color rgb="FF0070C0"/>
      <name val="Times New Roman"/>
      <family val="1"/>
    </font>
    <font>
      <sz val="13"/>
      <color theme="1"/>
      <name val="Times New Roman"/>
      <family val="1"/>
    </font>
    <font>
      <b/>
      <sz val="13"/>
      <color theme="1"/>
      <name val="Times New Roman"/>
      <family val="1"/>
    </font>
  </fonts>
  <fills count="22">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22"/>
        <bgColor indexed="64"/>
      </patternFill>
    </fill>
    <fill>
      <patternFill patternType="solid">
        <fgColor indexed="26"/>
        <bgColor indexed="64"/>
      </patternFill>
    </fill>
    <fill>
      <patternFill patternType="solid">
        <fgColor indexed="42"/>
        <bgColor indexed="64"/>
      </patternFill>
    </fill>
    <fill>
      <patternFill patternType="solid">
        <fgColor indexed="51"/>
        <bgColor indexed="64"/>
      </patternFill>
    </fill>
    <fill>
      <patternFill patternType="solid">
        <fgColor rgb="FF92D050"/>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theme="0"/>
        <bgColor theme="0"/>
      </patternFill>
    </fill>
    <fill>
      <patternFill patternType="solid">
        <fgColor rgb="FFFFFFCC"/>
        <bgColor indexed="64"/>
      </patternFill>
    </fill>
    <fill>
      <patternFill patternType="solid">
        <fgColor theme="0" tint="-0.14999847407452621"/>
        <bgColor indexed="64"/>
      </patternFill>
    </fill>
  </fills>
  <borders count="11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style="thin">
        <color indexed="8"/>
      </diagonal>
    </border>
    <border>
      <left style="thin">
        <color indexed="8"/>
      </left>
      <right style="thin">
        <color indexed="8"/>
      </right>
      <top style="thin">
        <color indexed="8"/>
      </top>
      <bottom style="thin">
        <color indexed="8"/>
      </bottom>
      <diagonal style="thin">
        <color indexed="8"/>
      </diagonal>
    </border>
    <border>
      <left style="thin">
        <color indexed="64"/>
      </left>
      <right/>
      <top style="thin">
        <color indexed="64"/>
      </top>
      <bottom style="thin">
        <color indexed="64"/>
      </bottom>
      <diagonal/>
    </border>
    <border>
      <left style="thin">
        <color indexed="8"/>
      </left>
      <right style="thin">
        <color indexed="8"/>
      </right>
      <top/>
      <bottom style="thin">
        <color indexed="8"/>
      </bottom>
      <diagonal style="thin">
        <color indexed="8"/>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double">
        <color indexed="64"/>
      </left>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top style="thin">
        <color indexed="64"/>
      </top>
      <bottom/>
      <diagonal/>
    </border>
    <border>
      <left style="thin">
        <color auto="1"/>
      </left>
      <right style="thin">
        <color auto="1"/>
      </right>
      <top style="thin">
        <color auto="1"/>
      </top>
      <bottom style="thin">
        <color auto="1"/>
      </bottom>
      <diagonal/>
    </border>
  </borders>
  <cellStyleXfs count="130">
    <xf numFmtId="0" fontId="0" fillId="0" borderId="0"/>
    <xf numFmtId="41" fontId="45" fillId="0" borderId="0" applyFont="0" applyFill="0" applyBorder="0" applyAlignment="0" applyProtection="0"/>
    <xf numFmtId="41" fontId="1" fillId="0" borderId="0" applyFont="0" applyFill="0" applyBorder="0" applyAlignment="0" applyProtection="0"/>
    <xf numFmtId="41" fontId="60"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51" fillId="0" borderId="0" applyFont="0" applyFill="0" applyBorder="0" applyAlignment="0" applyProtection="0"/>
    <xf numFmtId="43" fontId="1"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60" fillId="0" borderId="0" applyFont="0" applyFill="0" applyBorder="0" applyAlignment="0" applyProtection="0"/>
    <xf numFmtId="43" fontId="1" fillId="0" borderId="0" applyFont="0" applyFill="0" applyBorder="0" applyAlignment="0" applyProtection="0"/>
    <xf numFmtId="43" fontId="60" fillId="0" borderId="0" applyFont="0" applyFill="0" applyBorder="0" applyAlignment="0" applyProtection="0"/>
    <xf numFmtId="43" fontId="1" fillId="0" borderId="0" applyFont="0" applyFill="0" applyBorder="0" applyAlignment="0" applyProtection="0"/>
    <xf numFmtId="43" fontId="60"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3" fontId="45" fillId="0" borderId="0" applyFont="0" applyFill="0" applyBorder="0" applyAlignment="0" applyProtection="0"/>
    <xf numFmtId="43" fontId="1" fillId="0" borderId="0" applyFont="0" applyFill="0" applyBorder="0" applyAlignment="0" applyProtection="0"/>
    <xf numFmtId="44" fontId="4" fillId="0" borderId="0" applyFont="0" applyFill="0" applyBorder="0" applyAlignment="0" applyProtection="0"/>
    <xf numFmtId="44" fontId="4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5" fillId="0" borderId="0"/>
    <xf numFmtId="0" fontId="82" fillId="0" borderId="0"/>
    <xf numFmtId="0" fontId="83" fillId="0" borderId="0"/>
    <xf numFmtId="0" fontId="1" fillId="0" borderId="0"/>
    <xf numFmtId="0" fontId="42" fillId="0" borderId="0"/>
    <xf numFmtId="0" fontId="1" fillId="0" borderId="0"/>
    <xf numFmtId="0" fontId="74" fillId="0" borderId="0"/>
    <xf numFmtId="0" fontId="5" fillId="0" borderId="0"/>
    <xf numFmtId="0" fontId="5" fillId="0" borderId="0"/>
    <xf numFmtId="0" fontId="5" fillId="0" borderId="0"/>
    <xf numFmtId="0" fontId="75" fillId="0" borderId="0"/>
    <xf numFmtId="0" fontId="82" fillId="0" borderId="0"/>
    <xf numFmtId="0" fontId="83" fillId="0" borderId="0"/>
    <xf numFmtId="0" fontId="82" fillId="0" borderId="0"/>
    <xf numFmtId="0" fontId="84" fillId="0" borderId="0"/>
    <xf numFmtId="0" fontId="1" fillId="0" borderId="0"/>
    <xf numFmtId="9" fontId="45" fillId="0" borderId="0" applyFont="0" applyFill="0" applyBorder="0" applyAlignment="0" applyProtection="0"/>
    <xf numFmtId="9" fontId="1" fillId="0" borderId="0" applyFont="0" applyFill="0" applyBorder="0" applyAlignment="0" applyProtection="0"/>
    <xf numFmtId="9" fontId="51" fillId="0" borderId="0" applyFont="0" applyFill="0" applyBorder="0" applyAlignment="0" applyProtection="0"/>
    <xf numFmtId="9" fontId="1" fillId="0" borderId="0" applyFont="0" applyFill="0" applyBorder="0" applyAlignment="0" applyProtection="0"/>
    <xf numFmtId="9" fontId="82" fillId="0" borderId="0" applyFont="0" applyFill="0" applyBorder="0" applyAlignment="0" applyProtection="0"/>
  </cellStyleXfs>
  <cellXfs count="1457">
    <xf numFmtId="0" fontId="0" fillId="0" borderId="0" xfId="0"/>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justify" vertical="center" wrapText="1"/>
      <protection locked="0"/>
    </xf>
    <xf numFmtId="0" fontId="6" fillId="0" borderId="1" xfId="0" applyNumberFormat="1" applyFont="1" applyFill="1" applyBorder="1" applyAlignment="1" applyProtection="1">
      <alignment horizontal="justify" vertical="center" wrapText="1"/>
      <protection locked="0"/>
    </xf>
    <xf numFmtId="0" fontId="6" fillId="0" borderId="1" xfId="0" quotePrefix="1" applyNumberFormat="1" applyFont="1" applyFill="1" applyBorder="1" applyAlignment="1" applyProtection="1">
      <alignment horizontal="justify" vertical="center" wrapText="1"/>
      <protection locked="0"/>
    </xf>
    <xf numFmtId="0" fontId="27" fillId="0" borderId="1" xfId="0" applyFont="1" applyBorder="1" applyAlignment="1">
      <alignment horizontal="left" vertical="center" wrapText="1"/>
    </xf>
    <xf numFmtId="49" fontId="3" fillId="2" borderId="1" xfId="0" applyNumberFormat="1" applyFont="1" applyFill="1" applyBorder="1" applyAlignment="1">
      <alignment horizontal="left" vertical="center" wrapText="1"/>
    </xf>
    <xf numFmtId="0" fontId="3" fillId="0" borderId="1" xfId="0" quotePrefix="1" applyNumberFormat="1" applyFont="1" applyFill="1" applyBorder="1" applyAlignment="1" applyProtection="1">
      <alignment horizontal="center" vertical="center"/>
      <protection locked="0"/>
    </xf>
    <xf numFmtId="0" fontId="3" fillId="0" borderId="1" xfId="0" applyFont="1" applyBorder="1" applyAlignment="1">
      <alignment vertical="center"/>
    </xf>
    <xf numFmtId="0" fontId="3" fillId="0" borderId="1" xfId="0" applyFont="1" applyFill="1" applyBorder="1" applyAlignment="1">
      <alignment horizontal="left" vertical="center" wrapText="1"/>
    </xf>
    <xf numFmtId="0" fontId="3" fillId="0" borderId="1" xfId="0" applyFont="1" applyFill="1" applyBorder="1" applyAlignment="1" applyProtection="1">
      <alignment vertical="center" wrapText="1"/>
      <protection locked="0"/>
    </xf>
    <xf numFmtId="0" fontId="27" fillId="0" borderId="1" xfId="0" applyFont="1" applyBorder="1" applyAlignment="1">
      <alignment horizontal="center" vertical="center" wrapText="1"/>
    </xf>
    <xf numFmtId="0" fontId="2" fillId="0" borderId="0" xfId="0" applyFont="1" applyFill="1" applyBorder="1" applyAlignment="1" applyProtection="1">
      <alignment vertical="center" wrapText="1"/>
      <protection locked="0"/>
    </xf>
    <xf numFmtId="0" fontId="2" fillId="0" borderId="0" xfId="0" applyNumberFormat="1" applyFont="1" applyFill="1" applyBorder="1" applyAlignment="1" applyProtection="1">
      <alignment vertical="center" wrapText="1"/>
      <protection locked="0"/>
    </xf>
    <xf numFmtId="0" fontId="3" fillId="0" borderId="1" xfId="0" quotePrefix="1" applyFont="1" applyFill="1" applyBorder="1" applyAlignment="1">
      <alignment horizontal="left" vertical="center" wrapText="1"/>
    </xf>
    <xf numFmtId="0" fontId="3" fillId="0" borderId="0" xfId="117" applyFont="1" applyFill="1" applyAlignment="1">
      <alignment horizontal="center" vertical="center" wrapText="1"/>
    </xf>
    <xf numFmtId="0" fontId="3" fillId="0" borderId="0" xfId="117" applyFont="1" applyFill="1" applyAlignment="1">
      <alignment vertical="top" wrapText="1"/>
    </xf>
    <xf numFmtId="0" fontId="7" fillId="0" borderId="0" xfId="117" applyFont="1" applyFill="1" applyAlignment="1">
      <alignment horizontal="center" vertical="center"/>
    </xf>
    <xf numFmtId="0" fontId="2" fillId="0" borderId="0" xfId="117" applyFont="1" applyFill="1" applyAlignment="1">
      <alignment horizontal="center" vertical="center" wrapText="1"/>
    </xf>
    <xf numFmtId="0" fontId="7" fillId="0" borderId="1" xfId="117" applyFont="1" applyFill="1" applyBorder="1" applyAlignment="1">
      <alignment horizontal="center" vertical="center"/>
    </xf>
    <xf numFmtId="0" fontId="0" fillId="0" borderId="0" xfId="0" applyAlignment="1">
      <alignment horizontal="center" vertical="center"/>
    </xf>
    <xf numFmtId="0" fontId="28" fillId="0" borderId="1" xfId="0" applyFont="1" applyBorder="1" applyAlignment="1">
      <alignment horizontal="center" vertical="center" wrapText="1"/>
    </xf>
    <xf numFmtId="0" fontId="29" fillId="0" borderId="1" xfId="0" applyFont="1" applyBorder="1" applyAlignment="1">
      <alignment horizontal="left" vertical="center"/>
    </xf>
    <xf numFmtId="0" fontId="29" fillId="0" borderId="1" xfId="0" applyFont="1" applyBorder="1" applyAlignment="1">
      <alignment horizontal="center" vertical="center" wrapText="1"/>
    </xf>
    <xf numFmtId="0" fontId="12" fillId="0" borderId="1" xfId="0" applyFont="1" applyFill="1" applyBorder="1" applyAlignment="1" applyProtection="1">
      <alignment vertical="center" wrapText="1"/>
      <protection locked="0"/>
    </xf>
    <xf numFmtId="0" fontId="30" fillId="0" borderId="1" xfId="0" applyFont="1" applyBorder="1" applyAlignment="1">
      <alignment horizontal="center" vertical="center" wrapText="1"/>
    </xf>
    <xf numFmtId="0" fontId="27" fillId="0" borderId="1" xfId="0" quotePrefix="1" applyFont="1" applyBorder="1" applyAlignment="1">
      <alignment horizontal="center" vertical="center" wrapText="1"/>
    </xf>
    <xf numFmtId="14" fontId="30" fillId="0" borderId="1" xfId="0" quotePrefix="1" applyNumberFormat="1" applyFont="1" applyBorder="1" applyAlignment="1">
      <alignment horizontal="center" vertical="center" wrapText="1"/>
    </xf>
    <xf numFmtId="0" fontId="30" fillId="0" borderId="1" xfId="0" applyFont="1" applyBorder="1" applyAlignment="1">
      <alignment horizontal="center" vertical="center"/>
    </xf>
    <xf numFmtId="9" fontId="15" fillId="0" borderId="1" xfId="0" applyNumberFormat="1" applyFont="1" applyBorder="1" applyAlignment="1">
      <alignment horizontal="center" vertical="center" wrapText="1"/>
    </xf>
    <xf numFmtId="0" fontId="27" fillId="0" borderId="1" xfId="0" quotePrefix="1" applyFont="1" applyBorder="1" applyAlignment="1">
      <alignment horizontal="left" vertical="center" wrapText="1"/>
    </xf>
    <xf numFmtId="14" fontId="30" fillId="0" borderId="1" xfId="0" applyNumberFormat="1" applyFont="1" applyBorder="1" applyAlignment="1">
      <alignment horizontal="center" vertical="center" wrapText="1"/>
    </xf>
    <xf numFmtId="14" fontId="30" fillId="0" borderId="1" xfId="0" applyNumberFormat="1" applyFont="1" applyBorder="1" applyAlignment="1">
      <alignment horizontal="center" vertical="center"/>
    </xf>
    <xf numFmtId="0" fontId="31" fillId="0" borderId="0" xfId="0" applyFont="1"/>
    <xf numFmtId="0" fontId="31" fillId="0" borderId="0" xfId="0" applyFont="1" applyAlignment="1">
      <alignment horizontal="center" vertical="center"/>
    </xf>
    <xf numFmtId="0" fontId="30" fillId="0" borderId="0" xfId="0" applyFont="1" applyAlignment="1"/>
    <xf numFmtId="0" fontId="2" fillId="0" borderId="0" xfId="117" applyFont="1" applyFill="1" applyAlignment="1">
      <alignment vertical="center" wrapText="1"/>
    </xf>
    <xf numFmtId="0" fontId="17" fillId="0" borderId="0" xfId="117" applyFont="1" applyFill="1" applyAlignment="1">
      <alignment vertical="center" wrapText="1"/>
    </xf>
    <xf numFmtId="0" fontId="3" fillId="0" borderId="0" xfId="117" applyFont="1" applyFill="1" applyAlignment="1">
      <alignment horizontal="center" vertical="top" wrapText="1"/>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49" fontId="27" fillId="0" borderId="1" xfId="0" applyNumberFormat="1" applyFont="1" applyBorder="1" applyAlignment="1">
      <alignment horizontal="center" vertical="center" wrapText="1"/>
    </xf>
    <xf numFmtId="0" fontId="12" fillId="0" borderId="1" xfId="0" applyFont="1" applyFill="1" applyBorder="1" applyAlignment="1" applyProtection="1">
      <alignment horizontal="center" vertical="center" wrapText="1"/>
      <protection locked="0"/>
    </xf>
    <xf numFmtId="0" fontId="16" fillId="0" borderId="1" xfId="0" applyFont="1" applyBorder="1" applyAlignment="1">
      <alignment vertical="center"/>
    </xf>
    <xf numFmtId="0" fontId="14" fillId="0" borderId="1" xfId="0" applyFont="1" applyFill="1" applyBorder="1" applyAlignment="1" applyProtection="1">
      <alignment horizontal="center" vertical="center" wrapText="1"/>
      <protection locked="0"/>
    </xf>
    <xf numFmtId="0" fontId="26" fillId="0" borderId="0" xfId="0" applyFont="1"/>
    <xf numFmtId="165" fontId="2" fillId="0" borderId="0" xfId="117" applyNumberFormat="1" applyFont="1" applyFill="1" applyAlignment="1">
      <alignment horizontal="center" vertical="center" wrapText="1"/>
    </xf>
    <xf numFmtId="0" fontId="30" fillId="3" borderId="1" xfId="0" applyFont="1" applyFill="1" applyBorder="1" applyAlignment="1">
      <alignment horizontal="center" vertical="center"/>
    </xf>
    <xf numFmtId="49" fontId="3" fillId="0" borderId="1" xfId="0" applyNumberFormat="1" applyFont="1" applyBorder="1" applyAlignment="1">
      <alignment horizontal="left" vertical="center"/>
    </xf>
    <xf numFmtId="49" fontId="3" fillId="0" borderId="4" xfId="0" applyNumberFormat="1" applyFont="1" applyBorder="1" applyAlignment="1">
      <alignment horizontal="left" vertical="center"/>
    </xf>
    <xf numFmtId="49" fontId="3" fillId="0" borderId="0" xfId="0" applyNumberFormat="1" applyFont="1" applyBorder="1" applyAlignment="1">
      <alignment horizontal="left" vertical="center"/>
    </xf>
    <xf numFmtId="0" fontId="7" fillId="0" borderId="0" xfId="117" applyFont="1" applyFill="1" applyBorder="1" applyAlignment="1">
      <alignment horizontal="center" vertical="center"/>
    </xf>
    <xf numFmtId="0" fontId="13" fillId="0" borderId="2" xfId="0" applyFont="1" applyFill="1" applyBorder="1" applyAlignment="1" applyProtection="1">
      <alignment horizontal="center" vertical="center" wrapText="1"/>
      <protection locked="0"/>
    </xf>
    <xf numFmtId="0" fontId="19" fillId="0" borderId="1" xfId="0" applyFont="1" applyBorder="1" applyAlignment="1">
      <alignment vertical="center"/>
    </xf>
    <xf numFmtId="0" fontId="19" fillId="2" borderId="1" xfId="0" applyFont="1" applyFill="1" applyBorder="1" applyAlignment="1">
      <alignment vertical="center"/>
    </xf>
    <xf numFmtId="0" fontId="27" fillId="3" borderId="1" xfId="0" applyNumberFormat="1" applyFont="1" applyFill="1" applyBorder="1" applyAlignment="1">
      <alignment horizontal="center" vertical="center" wrapText="1"/>
    </xf>
    <xf numFmtId="0" fontId="2" fillId="0" borderId="0" xfId="0" applyFont="1" applyFill="1" applyAlignment="1" applyProtection="1">
      <alignment horizontal="center" vertical="center" wrapText="1"/>
      <protection locked="0"/>
    </xf>
    <xf numFmtId="0" fontId="6" fillId="0" borderId="0" xfId="0" applyFont="1" applyFill="1" applyAlignment="1" applyProtection="1">
      <alignment horizontal="justify" vertical="center" wrapText="1"/>
      <protection locked="0"/>
    </xf>
    <xf numFmtId="0" fontId="3" fillId="0" borderId="0" xfId="0" applyFont="1" applyFill="1" applyAlignment="1" applyProtection="1">
      <alignment vertical="center" wrapText="1"/>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2" fillId="3" borderId="1" xfId="0" applyFont="1" applyFill="1" applyBorder="1" applyAlignment="1" applyProtection="1">
      <alignment horizontal="center" vertical="center" wrapText="1"/>
      <protection locked="0"/>
    </xf>
    <xf numFmtId="0" fontId="3" fillId="0" borderId="1" xfId="0" quotePrefix="1" applyFont="1" applyFill="1" applyBorder="1" applyAlignment="1" applyProtection="1">
      <alignment horizontal="center" vertical="center" wrapText="1"/>
      <protection locked="0"/>
    </xf>
    <xf numFmtId="0" fontId="2" fillId="3" borderId="1" xfId="0" applyFont="1" applyFill="1" applyBorder="1" applyAlignment="1" applyProtection="1">
      <alignment horizontal="left" vertical="center" wrapText="1"/>
      <protection locked="0"/>
    </xf>
    <xf numFmtId="0" fontId="2" fillId="4" borderId="1" xfId="0" applyFont="1" applyFill="1" applyBorder="1" applyAlignment="1" applyProtection="1">
      <alignment horizontal="center" vertical="center" wrapText="1"/>
      <protection locked="0"/>
    </xf>
    <xf numFmtId="0" fontId="2" fillId="4" borderId="1" xfId="0" applyFont="1" applyFill="1" applyBorder="1" applyAlignment="1" applyProtection="1">
      <alignment vertical="center" wrapText="1"/>
      <protection locked="0"/>
    </xf>
    <xf numFmtId="0" fontId="3" fillId="0" borderId="1" xfId="0" applyFont="1" applyBorder="1" applyAlignment="1" applyProtection="1">
      <alignment horizontal="left" vertical="center" wrapText="1"/>
      <protection locked="0"/>
    </xf>
    <xf numFmtId="0" fontId="6" fillId="0" borderId="1" xfId="0" quotePrefix="1" applyFont="1" applyFill="1" applyBorder="1" applyAlignment="1" applyProtection="1">
      <alignment horizontal="justify" vertical="center" wrapText="1"/>
      <protection locked="0"/>
    </xf>
    <xf numFmtId="0" fontId="2" fillId="4"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justify" vertical="center" wrapText="1"/>
      <protection locked="0"/>
    </xf>
    <xf numFmtId="49" fontId="3" fillId="0" borderId="1" xfId="0" applyNumberFormat="1" applyFont="1" applyBorder="1" applyAlignment="1" applyProtection="1">
      <alignment horizontal="center" vertical="center" wrapText="1"/>
      <protection locked="0"/>
    </xf>
    <xf numFmtId="49" fontId="3" fillId="0" borderId="1" xfId="0" applyNumberFormat="1" applyFont="1" applyFill="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3" fillId="2" borderId="1" xfId="0" applyFont="1" applyFill="1" applyBorder="1" applyAlignment="1" applyProtection="1">
      <alignment horizontal="justify" vertical="center" wrapText="1"/>
      <protection locked="0"/>
    </xf>
    <xf numFmtId="49" fontId="3" fillId="2" borderId="1" xfId="0" applyNumberFormat="1" applyFont="1" applyFill="1" applyBorder="1" applyAlignment="1" applyProtection="1">
      <alignment horizontal="center" vertical="center" wrapText="1"/>
      <protection locked="0"/>
    </xf>
    <xf numFmtId="0" fontId="3" fillId="2" borderId="1"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3" fillId="0" borderId="1" xfId="0" applyFont="1" applyFill="1" applyBorder="1" applyAlignment="1" applyProtection="1">
      <alignment horizontal="left" vertical="center" wrapText="1"/>
      <protection locked="0"/>
    </xf>
    <xf numFmtId="0" fontId="3" fillId="0" borderId="5" xfId="0" applyFont="1" applyBorder="1" applyAlignment="1" applyProtection="1">
      <alignment horizontal="center" vertical="center" wrapText="1"/>
      <protection locked="0"/>
    </xf>
    <xf numFmtId="1" fontId="3" fillId="2" borderId="1" xfId="0" quotePrefix="1" applyNumberFormat="1" applyFont="1" applyFill="1" applyBorder="1" applyAlignment="1" applyProtection="1">
      <alignment horizontal="center" vertical="center" wrapText="1"/>
      <protection locked="0"/>
    </xf>
    <xf numFmtId="1" fontId="3" fillId="0" borderId="1" xfId="0" quotePrefix="1" applyNumberFormat="1" applyFont="1" applyFill="1" applyBorder="1" applyAlignment="1" applyProtection="1">
      <alignment horizontal="center" vertical="center" wrapText="1"/>
      <protection locked="0"/>
    </xf>
    <xf numFmtId="1" fontId="6" fillId="0" borderId="1" xfId="0" quotePrefix="1" applyNumberFormat="1" applyFont="1" applyFill="1" applyBorder="1" applyAlignment="1" applyProtection="1">
      <alignment horizontal="justify" vertical="center" wrapText="1"/>
      <protection locked="0"/>
    </xf>
    <xf numFmtId="1" fontId="3" fillId="0" borderId="1" xfId="109" applyNumberFormat="1" applyFont="1" applyFill="1" applyBorder="1" applyAlignment="1" applyProtection="1">
      <alignment horizontal="center" vertical="center" wrapText="1"/>
      <protection locked="0"/>
    </xf>
    <xf numFmtId="1" fontId="6" fillId="0" borderId="1" xfId="109" quotePrefix="1" applyNumberFormat="1" applyFont="1" applyFill="1" applyBorder="1" applyAlignment="1" applyProtection="1">
      <alignment horizontal="justify" vertical="center" wrapText="1"/>
      <protection locked="0"/>
    </xf>
    <xf numFmtId="1" fontId="6" fillId="0" borderId="1" xfId="109" applyNumberFormat="1" applyFont="1" applyFill="1" applyBorder="1" applyAlignment="1" applyProtection="1">
      <alignment horizontal="justify" vertical="center" wrapText="1"/>
      <protection locked="0"/>
    </xf>
    <xf numFmtId="0" fontId="9" fillId="0" borderId="0" xfId="0" applyFont="1" applyFill="1" applyAlignment="1" applyProtection="1">
      <alignment horizontal="left" vertical="center" wrapText="1"/>
      <protection locked="0"/>
    </xf>
    <xf numFmtId="0" fontId="11" fillId="0" borderId="0" xfId="0" applyFont="1" applyFill="1" applyAlignment="1" applyProtection="1">
      <alignment horizontal="justify" vertical="center" wrapText="1"/>
      <protection locked="0"/>
    </xf>
    <xf numFmtId="0" fontId="3" fillId="0" borderId="1" xfId="0" applyNumberFormat="1" applyFont="1" applyFill="1" applyBorder="1" applyAlignment="1" applyProtection="1">
      <alignment horizontal="center" vertical="center" wrapText="1"/>
      <protection locked="0"/>
    </xf>
    <xf numFmtId="0" fontId="3" fillId="0" borderId="0" xfId="0" applyNumberFormat="1" applyFont="1" applyFill="1" applyAlignment="1" applyProtection="1">
      <alignment vertical="center" wrapText="1"/>
      <protection locked="0"/>
    </xf>
    <xf numFmtId="0" fontId="3" fillId="0" borderId="1" xfId="0" quotePrefix="1" applyFont="1" applyBorder="1" applyAlignment="1" applyProtection="1">
      <alignment horizontal="center" vertical="center" wrapText="1"/>
      <protection locked="0"/>
    </xf>
    <xf numFmtId="0" fontId="3" fillId="0" borderId="1" xfId="0" quotePrefix="1" applyNumberFormat="1" applyFont="1" applyFill="1" applyBorder="1" applyAlignment="1" applyProtection="1">
      <alignment horizontal="center" vertical="center" wrapText="1"/>
      <protection locked="0"/>
    </xf>
    <xf numFmtId="0" fontId="2" fillId="5" borderId="1" xfId="0" applyNumberFormat="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justify" vertical="center" wrapText="1"/>
      <protection locked="0"/>
    </xf>
    <xf numFmtId="0" fontId="2" fillId="0" borderId="0" xfId="0" applyNumberFormat="1" applyFont="1" applyFill="1" applyBorder="1" applyAlignment="1" applyProtection="1">
      <alignment horizontal="center" vertical="center" wrapText="1"/>
      <protection locked="0"/>
    </xf>
    <xf numFmtId="0" fontId="3" fillId="0" borderId="0" xfId="0" applyNumberFormat="1" applyFont="1" applyFill="1" applyAlignment="1" applyProtection="1">
      <alignment horizontal="center" vertical="center" wrapText="1"/>
      <protection locked="0"/>
    </xf>
    <xf numFmtId="0" fontId="27" fillId="0" borderId="1" xfId="0" applyFont="1" applyBorder="1" applyAlignment="1">
      <alignment horizontal="center" vertical="center"/>
    </xf>
    <xf numFmtId="0" fontId="27" fillId="3" borderId="1" xfId="0" applyFont="1" applyFill="1" applyBorder="1" applyAlignment="1">
      <alignment horizontal="center" vertical="center"/>
    </xf>
    <xf numFmtId="14" fontId="27" fillId="0" borderId="1" xfId="0" quotePrefix="1" applyNumberFormat="1" applyFont="1" applyBorder="1" applyAlignment="1">
      <alignment horizontal="center" vertical="center" wrapText="1"/>
    </xf>
    <xf numFmtId="9" fontId="3" fillId="0" borderId="1" xfId="0" applyNumberFormat="1" applyFont="1" applyBorder="1" applyAlignment="1">
      <alignment horizontal="center" vertical="center" wrapText="1"/>
    </xf>
    <xf numFmtId="14" fontId="27" fillId="0" borderId="1" xfId="0" applyNumberFormat="1" applyFont="1" applyBorder="1" applyAlignment="1">
      <alignment horizontal="center" vertical="center"/>
    </xf>
    <xf numFmtId="0" fontId="7" fillId="0" borderId="0" xfId="117" applyFont="1" applyFill="1" applyAlignment="1">
      <alignment horizontal="center" vertical="center" wrapText="1"/>
    </xf>
    <xf numFmtId="0" fontId="7" fillId="0" borderId="1" xfId="117" applyFont="1" applyFill="1" applyBorder="1" applyAlignment="1">
      <alignment horizontal="center" vertical="center" wrapText="1"/>
    </xf>
    <xf numFmtId="0" fontId="34" fillId="3" borderId="1" xfId="0" applyFont="1" applyFill="1" applyBorder="1" applyAlignment="1">
      <alignment horizontal="center" vertical="center" wrapText="1"/>
    </xf>
    <xf numFmtId="0" fontId="31" fillId="0" borderId="0" xfId="0" applyFont="1" applyAlignment="1">
      <alignment horizontal="center" vertical="center" wrapText="1"/>
    </xf>
    <xf numFmtId="0" fontId="30" fillId="0" borderId="0" xfId="0" applyFont="1" applyAlignment="1">
      <alignment horizontal="center" vertical="center" wrapText="1"/>
    </xf>
    <xf numFmtId="0" fontId="0" fillId="0" borderId="0" xfId="0" applyAlignment="1">
      <alignment horizontal="center" vertical="center" wrapText="1"/>
    </xf>
    <xf numFmtId="165" fontId="27" fillId="0" borderId="1" xfId="0" applyNumberFormat="1" applyFont="1" applyBorder="1" applyAlignment="1">
      <alignment horizontal="center" vertical="center" wrapText="1"/>
    </xf>
    <xf numFmtId="165" fontId="27" fillId="0" borderId="1" xfId="0" quotePrefix="1" applyNumberFormat="1" applyFont="1" applyBorder="1" applyAlignment="1">
      <alignment horizontal="center" vertical="center" wrapText="1"/>
    </xf>
    <xf numFmtId="165" fontId="31" fillId="0" borderId="0" xfId="0" applyNumberFormat="1" applyFont="1" applyAlignment="1">
      <alignment horizontal="center"/>
    </xf>
    <xf numFmtId="165" fontId="0" fillId="0" borderId="0" xfId="0" applyNumberFormat="1" applyAlignment="1">
      <alignment horizontal="center"/>
    </xf>
    <xf numFmtId="0" fontId="39" fillId="0" borderId="0" xfId="0" applyFont="1" applyAlignment="1"/>
    <xf numFmtId="0" fontId="3" fillId="0" borderId="6" xfId="0" applyFont="1" applyBorder="1" applyAlignment="1">
      <alignment horizontal="center" vertical="center" wrapText="1"/>
    </xf>
    <xf numFmtId="0" fontId="3" fillId="0" borderId="7" xfId="0" applyFont="1" applyBorder="1" applyAlignment="1">
      <alignment vertical="center"/>
    </xf>
    <xf numFmtId="9" fontId="15" fillId="0" borderId="1" xfId="0" applyNumberFormat="1" applyFont="1" applyFill="1" applyBorder="1" applyAlignment="1">
      <alignment horizontal="center" vertical="center" wrapText="1"/>
    </xf>
    <xf numFmtId="0" fontId="30" fillId="3" borderId="1" xfId="0" applyNumberFormat="1" applyFont="1" applyFill="1" applyBorder="1" applyAlignment="1">
      <alignment horizontal="center" vertical="center" wrapText="1"/>
    </xf>
    <xf numFmtId="0" fontId="7" fillId="2" borderId="1" xfId="0" applyFont="1" applyFill="1" applyBorder="1" applyAlignment="1" applyProtection="1">
      <alignment horizontal="justify" vertical="center" wrapText="1"/>
      <protection locked="0"/>
    </xf>
    <xf numFmtId="0" fontId="6" fillId="0" borderId="1" xfId="0" quotePrefix="1" applyFont="1" applyFill="1" applyBorder="1" applyAlignment="1" applyProtection="1">
      <alignment vertical="center" wrapText="1"/>
      <protection locked="0"/>
    </xf>
    <xf numFmtId="0" fontId="17" fillId="0" borderId="1" xfId="0" applyFont="1" applyFill="1" applyBorder="1" applyAlignment="1" applyProtection="1">
      <alignment horizontal="center" vertical="center" wrapText="1"/>
      <protection locked="0"/>
    </xf>
    <xf numFmtId="0" fontId="2" fillId="0" borderId="0" xfId="0" applyFont="1" applyFill="1" applyAlignment="1" applyProtection="1">
      <alignment vertical="center" wrapText="1"/>
      <protection locked="0"/>
    </xf>
    <xf numFmtId="0" fontId="13" fillId="0" borderId="7" xfId="0" applyFont="1" applyFill="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49" fontId="27" fillId="0" borderId="1" xfId="104" applyNumberFormat="1" applyFont="1" applyBorder="1" applyAlignment="1">
      <alignment horizontal="center" vertical="center" wrapText="1"/>
    </xf>
    <xf numFmtId="0" fontId="0" fillId="0" borderId="0" xfId="0" applyFill="1" applyAlignment="1">
      <alignment horizontal="center" vertical="center"/>
    </xf>
    <xf numFmtId="0" fontId="13" fillId="3" borderId="7" xfId="0" applyFont="1" applyFill="1" applyBorder="1" applyAlignment="1" applyProtection="1">
      <alignment horizontal="center" vertical="center" wrapText="1"/>
      <protection locked="0"/>
    </xf>
    <xf numFmtId="0" fontId="13" fillId="3"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left" vertical="center" wrapText="1"/>
      <protection locked="0"/>
    </xf>
    <xf numFmtId="0" fontId="30" fillId="0" borderId="0" xfId="0" applyFont="1" applyFill="1" applyAlignment="1"/>
    <xf numFmtId="0" fontId="23" fillId="0" borderId="2" xfId="0" applyFont="1" applyFill="1" applyBorder="1" applyAlignment="1" applyProtection="1">
      <alignment horizontal="center" vertical="center" wrapText="1"/>
      <protection locked="0"/>
    </xf>
    <xf numFmtId="0" fontId="23" fillId="0" borderId="7"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23" fillId="3" borderId="7" xfId="0" applyFont="1" applyFill="1" applyBorder="1" applyAlignment="1" applyProtection="1">
      <alignment horizontal="center" vertical="center" wrapText="1"/>
      <protection locked="0"/>
    </xf>
    <xf numFmtId="165" fontId="18" fillId="0" borderId="1" xfId="0" applyNumberFormat="1" applyFont="1" applyFill="1" applyBorder="1" applyAlignment="1" applyProtection="1">
      <alignment horizontal="center" vertical="center" wrapText="1"/>
      <protection locked="0"/>
    </xf>
    <xf numFmtId="0" fontId="3" fillId="0" borderId="2" xfId="0" applyFont="1" applyFill="1" applyBorder="1" applyAlignment="1">
      <alignment horizontal="left" vertical="center"/>
    </xf>
    <xf numFmtId="0" fontId="3" fillId="0" borderId="2" xfId="0" applyFont="1" applyFill="1" applyBorder="1" applyAlignment="1">
      <alignment horizontal="left" vertical="center" wrapText="1"/>
    </xf>
    <xf numFmtId="0" fontId="3" fillId="0" borderId="1" xfId="0" applyFont="1" applyFill="1" applyBorder="1" applyAlignment="1">
      <alignment horizontal="left" vertical="center"/>
    </xf>
    <xf numFmtId="0" fontId="12" fillId="0" borderId="1" xfId="0" applyFont="1" applyFill="1" applyBorder="1" applyAlignment="1" applyProtection="1">
      <alignment wrapText="1"/>
      <protection locked="0"/>
    </xf>
    <xf numFmtId="0" fontId="12" fillId="0" borderId="1" xfId="0" applyFont="1" applyFill="1" applyBorder="1" applyAlignment="1" applyProtection="1">
      <alignment horizontal="left" wrapText="1"/>
      <protection locked="0"/>
    </xf>
    <xf numFmtId="0" fontId="0" fillId="0" borderId="1" xfId="0" applyBorder="1"/>
    <xf numFmtId="9" fontId="17" fillId="0" borderId="1" xfId="0" applyNumberFormat="1" applyFont="1" applyBorder="1" applyAlignment="1">
      <alignment horizontal="center" vertical="center" wrapText="1"/>
    </xf>
    <xf numFmtId="0" fontId="3" fillId="0" borderId="1" xfId="0" quotePrefix="1" applyFont="1" applyBorder="1" applyAlignment="1">
      <alignment horizontal="center" vertical="center" wrapText="1"/>
    </xf>
    <xf numFmtId="49" fontId="3" fillId="2" borderId="1" xfId="0" applyNumberFormat="1" applyFont="1" applyFill="1" applyBorder="1" applyAlignment="1" applyProtection="1">
      <alignment horizontal="left" vertical="center" wrapText="1"/>
      <protection locked="0"/>
    </xf>
    <xf numFmtId="14" fontId="15" fillId="0" borderId="1" xfId="0" quotePrefix="1" applyNumberFormat="1" applyFont="1" applyFill="1" applyBorder="1" applyAlignment="1">
      <alignment horizontal="center" vertical="center" wrapText="1"/>
    </xf>
    <xf numFmtId="0" fontId="3" fillId="4" borderId="1" xfId="0" applyNumberFormat="1" applyFont="1" applyFill="1" applyBorder="1" applyAlignment="1" applyProtection="1">
      <alignment horizontal="center" vertical="center" wrapText="1"/>
      <protection locked="0"/>
    </xf>
    <xf numFmtId="0" fontId="3" fillId="0" borderId="1" xfId="0" applyFont="1" applyBorder="1" applyAlignment="1" applyProtection="1">
      <alignment vertical="center" wrapText="1"/>
      <protection locked="0"/>
    </xf>
    <xf numFmtId="0" fontId="3" fillId="2" borderId="1" xfId="0" applyFont="1" applyFill="1" applyBorder="1" applyAlignment="1" applyProtection="1">
      <alignment vertical="center" wrapText="1"/>
      <protection locked="0"/>
    </xf>
    <xf numFmtId="0" fontId="3" fillId="0" borderId="1" xfId="0" applyNumberFormat="1" applyFont="1" applyFill="1" applyBorder="1" applyAlignment="1" applyProtection="1">
      <alignment horizontal="right" vertical="center" wrapText="1"/>
      <protection locked="0"/>
    </xf>
    <xf numFmtId="0" fontId="3" fillId="0" borderId="1" xfId="0" applyNumberFormat="1" applyFont="1" applyFill="1" applyBorder="1" applyAlignment="1" applyProtection="1">
      <alignment vertical="center" wrapText="1"/>
      <protection locked="0"/>
    </xf>
    <xf numFmtId="0" fontId="3" fillId="2" borderId="1" xfId="0" quotePrefix="1" applyNumberFormat="1" applyFont="1" applyFill="1" applyBorder="1" applyAlignment="1" applyProtection="1">
      <alignment horizontal="center" vertical="center" wrapText="1"/>
      <protection locked="0"/>
    </xf>
    <xf numFmtId="0" fontId="3" fillId="2" borderId="1" xfId="0" applyNumberFormat="1" applyFont="1" applyFill="1" applyBorder="1" applyAlignment="1" applyProtection="1">
      <alignment horizontal="center" vertical="center" wrapText="1"/>
      <protection locked="0"/>
    </xf>
    <xf numFmtId="49" fontId="3" fillId="0" borderId="1" xfId="0" applyNumberFormat="1" applyFont="1" applyBorder="1" applyAlignment="1">
      <alignment horizontal="left" vertical="center" wrapText="1"/>
    </xf>
    <xf numFmtId="0" fontId="2" fillId="0" borderId="0" xfId="0" applyNumberFormat="1" applyFont="1" applyFill="1" applyAlignment="1" applyProtection="1">
      <alignment horizontal="center" wrapText="1"/>
      <protection locked="0"/>
    </xf>
    <xf numFmtId="0" fontId="37" fillId="0" borderId="0" xfId="0" applyFont="1" applyFill="1" applyBorder="1" applyAlignment="1" applyProtection="1">
      <alignment vertical="center" wrapText="1"/>
      <protection locked="0"/>
    </xf>
    <xf numFmtId="0" fontId="37" fillId="0" borderId="0" xfId="0" applyFont="1" applyFill="1" applyAlignment="1" applyProtection="1">
      <alignment vertical="center" wrapText="1"/>
      <protection locked="0"/>
    </xf>
    <xf numFmtId="0" fontId="38" fillId="0" borderId="0" xfId="0" applyFont="1" applyFill="1" applyAlignment="1" applyProtection="1">
      <alignment horizontal="center" vertical="center" wrapText="1"/>
      <protection locked="0"/>
    </xf>
    <xf numFmtId="0" fontId="3" fillId="0" borderId="0" xfId="0" applyFont="1" applyFill="1" applyBorder="1" applyAlignment="1" applyProtection="1">
      <alignment vertical="center" wrapText="1"/>
      <protection locked="0"/>
    </xf>
    <xf numFmtId="0" fontId="3" fillId="0" borderId="8" xfId="0" applyFont="1" applyBorder="1" applyAlignment="1">
      <alignment horizontal="center" wrapText="1"/>
    </xf>
    <xf numFmtId="0" fontId="3" fillId="0" borderId="6" xfId="0" applyFont="1" applyBorder="1" applyAlignment="1">
      <alignment horizontal="center" wrapText="1"/>
    </xf>
    <xf numFmtId="0" fontId="3" fillId="0" borderId="6" xfId="0" applyFont="1" applyBorder="1" applyAlignment="1">
      <alignment horizontal="left" vertical="center" wrapText="1"/>
    </xf>
    <xf numFmtId="0" fontId="0" fillId="0" borderId="1" xfId="0" applyBorder="1" applyAlignment="1">
      <alignment horizontal="center" vertical="center"/>
    </xf>
    <xf numFmtId="0" fontId="3" fillId="0" borderId="1" xfId="0" quotePrefix="1" applyNumberFormat="1" applyFont="1" applyFill="1" applyBorder="1" applyAlignment="1" applyProtection="1">
      <alignment horizontal="left" vertical="center" wrapText="1"/>
      <protection locked="0"/>
    </xf>
    <xf numFmtId="0" fontId="27" fillId="0" borderId="9" xfId="0" quotePrefix="1" applyFont="1" applyBorder="1" applyAlignment="1">
      <alignment vertical="center" wrapText="1"/>
    </xf>
    <xf numFmtId="0" fontId="28" fillId="0" borderId="0" xfId="0" applyFont="1" applyAlignment="1"/>
    <xf numFmtId="14" fontId="34" fillId="0" borderId="1" xfId="0" quotePrefix="1" applyNumberFormat="1" applyFont="1" applyBorder="1" applyAlignment="1">
      <alignment horizontal="center" vertical="center" wrapText="1"/>
    </xf>
    <xf numFmtId="0" fontId="40" fillId="0" borderId="1" xfId="0" applyFont="1" applyBorder="1" applyAlignment="1">
      <alignment horizontal="center" vertical="center"/>
    </xf>
    <xf numFmtId="14" fontId="34" fillId="0" borderId="1" xfId="0" applyNumberFormat="1" applyFont="1" applyBorder="1" applyAlignment="1">
      <alignment horizontal="center" vertical="center"/>
    </xf>
    <xf numFmtId="9" fontId="24" fillId="0" borderId="7" xfId="0" applyNumberFormat="1" applyFont="1" applyBorder="1" applyAlignment="1">
      <alignment horizontal="center" vertical="center" wrapText="1"/>
    </xf>
    <xf numFmtId="14" fontId="47" fillId="0" borderId="1" xfId="0" quotePrefix="1" applyNumberFormat="1" applyFont="1" applyBorder="1" applyAlignment="1">
      <alignment horizontal="center" vertical="center" wrapText="1"/>
    </xf>
    <xf numFmtId="14" fontId="14" fillId="0" borderId="1" xfId="0" quotePrefix="1" applyNumberFormat="1" applyFont="1" applyBorder="1" applyAlignment="1">
      <alignment horizontal="center" vertical="center" wrapText="1"/>
    </xf>
    <xf numFmtId="0" fontId="14" fillId="0" borderId="1" xfId="0" applyFont="1" applyBorder="1" applyAlignment="1">
      <alignment horizontal="center" vertical="center"/>
    </xf>
    <xf numFmtId="0" fontId="3" fillId="0" borderId="1" xfId="0" applyFont="1" applyFill="1" applyBorder="1" applyAlignment="1" applyProtection="1">
      <alignment horizontal="center" vertical="center" wrapText="1"/>
      <protection hidden="1"/>
    </xf>
    <xf numFmtId="0" fontId="2" fillId="5" borderId="1" xfId="0" applyFont="1" applyFill="1" applyBorder="1" applyAlignment="1" applyProtection="1">
      <alignment horizontal="center" vertical="center" wrapText="1"/>
      <protection locked="0"/>
    </xf>
    <xf numFmtId="0" fontId="2" fillId="5" borderId="1" xfId="0" applyFont="1" applyFill="1" applyBorder="1" applyAlignment="1" applyProtection="1">
      <alignment horizontal="left" vertical="center" wrapText="1"/>
      <protection locked="0"/>
    </xf>
    <xf numFmtId="0" fontId="3" fillId="5" borderId="1" xfId="0" quotePrefix="1" applyFont="1" applyFill="1" applyBorder="1" applyAlignment="1" applyProtection="1">
      <alignment horizontal="center" vertical="center" wrapText="1"/>
      <protection locked="0"/>
    </xf>
    <xf numFmtId="0" fontId="6" fillId="5" borderId="1" xfId="0" quotePrefix="1" applyNumberFormat="1" applyFont="1" applyFill="1" applyBorder="1" applyAlignment="1" applyProtection="1">
      <alignment horizontal="justify" vertical="center" wrapText="1"/>
      <protection locked="0"/>
    </xf>
    <xf numFmtId="0" fontId="6" fillId="5" borderId="1" xfId="0" quotePrefix="1" applyFont="1" applyFill="1" applyBorder="1" applyAlignment="1" applyProtection="1">
      <alignment horizontal="justify" vertical="center" wrapText="1"/>
      <protection locked="0"/>
    </xf>
    <xf numFmtId="0" fontId="6" fillId="5" borderId="1" xfId="0" applyFont="1" applyFill="1" applyBorder="1" applyAlignment="1" applyProtection="1">
      <alignment horizontal="justify" vertical="center" wrapText="1"/>
      <protection locked="0"/>
    </xf>
    <xf numFmtId="0" fontId="6" fillId="5" borderId="1" xfId="0" applyNumberFormat="1" applyFont="1" applyFill="1" applyBorder="1" applyAlignment="1" applyProtection="1">
      <alignment horizontal="justify" vertical="center" wrapText="1"/>
      <protection locked="0"/>
    </xf>
    <xf numFmtId="1" fontId="6" fillId="5" borderId="1" xfId="109" quotePrefix="1" applyNumberFormat="1" applyFont="1" applyFill="1" applyBorder="1" applyAlignment="1" applyProtection="1">
      <alignment horizontal="justify" vertical="center" wrapText="1"/>
      <protection locked="0"/>
    </xf>
    <xf numFmtId="1" fontId="6" fillId="5" borderId="1" xfId="109" applyNumberFormat="1" applyFont="1" applyFill="1" applyBorder="1" applyAlignment="1" applyProtection="1">
      <alignment horizontal="justify" vertical="center" wrapText="1"/>
      <protection locked="0"/>
    </xf>
    <xf numFmtId="0" fontId="7" fillId="5" borderId="1" xfId="0" quotePrefix="1" applyNumberFormat="1" applyFont="1" applyFill="1" applyBorder="1" applyAlignment="1" applyProtection="1">
      <alignment horizontal="justify" vertical="center" wrapText="1"/>
      <protection locked="0"/>
    </xf>
    <xf numFmtId="0" fontId="6" fillId="5" borderId="1" xfId="120" applyFont="1" applyFill="1" applyBorder="1" applyAlignment="1" applyProtection="1">
      <alignment horizontal="justify" vertical="center" wrapText="1"/>
      <protection locked="0"/>
    </xf>
    <xf numFmtId="0" fontId="19" fillId="0" borderId="1" xfId="0" quotePrefix="1" applyFont="1" applyBorder="1" applyAlignment="1">
      <alignment horizontal="center" vertical="center" wrapText="1"/>
    </xf>
    <xf numFmtId="0" fontId="3" fillId="0" borderId="1" xfId="109" applyFont="1" applyFill="1" applyBorder="1" applyAlignment="1">
      <alignment vertical="center" wrapText="1"/>
    </xf>
    <xf numFmtId="0" fontId="3" fillId="0" borderId="1" xfId="109" quotePrefix="1" applyFont="1" applyFill="1" applyBorder="1" applyAlignment="1">
      <alignment horizontal="center" vertical="center" wrapText="1"/>
    </xf>
    <xf numFmtId="0" fontId="15" fillId="0" borderId="1" xfId="0" applyFont="1" applyFill="1" applyBorder="1" applyAlignment="1" applyProtection="1">
      <alignment horizontal="justify" vertical="center" wrapText="1"/>
      <protection locked="0"/>
    </xf>
    <xf numFmtId="0" fontId="18" fillId="0" borderId="1" xfId="0" applyFont="1" applyBorder="1" applyAlignment="1">
      <alignment horizontal="center" vertical="center" wrapText="1"/>
    </xf>
    <xf numFmtId="0" fontId="48" fillId="0" borderId="0" xfId="117" applyFont="1" applyFill="1" applyAlignment="1">
      <alignment vertical="top" wrapText="1"/>
    </xf>
    <xf numFmtId="0" fontId="46" fillId="0" borderId="0" xfId="0" applyFont="1" applyAlignment="1">
      <alignment horizontal="center" vertical="center"/>
    </xf>
    <xf numFmtId="0" fontId="49" fillId="0" borderId="0" xfId="0" applyFont="1" applyAlignment="1">
      <alignment horizontal="center" vertical="center"/>
    </xf>
    <xf numFmtId="0" fontId="28" fillId="0" borderId="0" xfId="0" applyFont="1" applyAlignment="1">
      <alignment horizontal="center"/>
    </xf>
    <xf numFmtId="0" fontId="39" fillId="0" borderId="0" xfId="0" applyFont="1" applyAlignment="1">
      <alignment wrapText="1"/>
    </xf>
    <xf numFmtId="0" fontId="33" fillId="0" borderId="0" xfId="0" applyFont="1" applyAlignment="1"/>
    <xf numFmtId="0" fontId="29" fillId="0" borderId="0" xfId="0" applyFont="1" applyAlignment="1"/>
    <xf numFmtId="0" fontId="20" fillId="2" borderId="0" xfId="0" applyFont="1" applyFill="1" applyAlignment="1" applyProtection="1">
      <alignment vertical="center" wrapText="1"/>
      <protection locked="0"/>
    </xf>
    <xf numFmtId="0" fontId="20" fillId="2" borderId="0" xfId="0" applyFont="1" applyFill="1" applyAlignment="1" applyProtection="1">
      <alignment horizontal="center" vertical="center" wrapText="1"/>
      <protection locked="0"/>
    </xf>
    <xf numFmtId="0" fontId="44" fillId="2" borderId="0" xfId="0" applyFont="1" applyFill="1" applyAlignment="1" applyProtection="1">
      <alignment horizontal="center" vertical="center" wrapText="1"/>
      <protection locked="0"/>
    </xf>
    <xf numFmtId="0" fontId="43" fillId="2" borderId="0" xfId="0" applyFont="1" applyFill="1" applyAlignment="1" applyProtection="1">
      <alignment vertical="center" wrapText="1"/>
      <protection locked="0"/>
    </xf>
    <xf numFmtId="14" fontId="50" fillId="0" borderId="1" xfId="0" quotePrefix="1" applyNumberFormat="1" applyFont="1" applyBorder="1" applyAlignment="1">
      <alignment horizontal="center" vertical="center" wrapText="1"/>
    </xf>
    <xf numFmtId="0" fontId="15" fillId="0" borderId="1" xfId="0" applyFont="1" applyBorder="1" applyAlignment="1">
      <alignment horizontal="center" vertical="center"/>
    </xf>
    <xf numFmtId="0" fontId="0" fillId="0" borderId="0" xfId="0" applyAlignment="1">
      <alignment horizontal="center" vertical="center"/>
    </xf>
    <xf numFmtId="9" fontId="17" fillId="2" borderId="7" xfId="0" applyNumberFormat="1" applyFont="1" applyFill="1" applyBorder="1" applyAlignment="1">
      <alignment horizontal="center" vertical="center" wrapText="1"/>
    </xf>
    <xf numFmtId="0" fontId="56" fillId="0" borderId="0" xfId="117" applyFont="1" applyFill="1" applyAlignment="1">
      <alignment horizontal="center" vertical="center"/>
    </xf>
    <xf numFmtId="0" fontId="54" fillId="0" borderId="0" xfId="0" applyFont="1" applyAlignment="1"/>
    <xf numFmtId="0" fontId="52" fillId="0" borderId="0" xfId="0" applyFont="1" applyAlignment="1">
      <alignment horizontal="center" vertical="center"/>
    </xf>
    <xf numFmtId="0" fontId="57" fillId="0" borderId="0" xfId="0" applyFont="1" applyAlignment="1"/>
    <xf numFmtId="0" fontId="55" fillId="0" borderId="0" xfId="0" applyFont="1" applyAlignment="1"/>
    <xf numFmtId="0" fontId="53" fillId="0" borderId="0" xfId="117" applyFont="1" applyFill="1" applyAlignment="1">
      <alignment vertical="top" wrapText="1"/>
    </xf>
    <xf numFmtId="0" fontId="58" fillId="0" borderId="0" xfId="0" applyFont="1" applyAlignment="1">
      <alignment horizontal="center" vertical="center"/>
    </xf>
    <xf numFmtId="0" fontId="23" fillId="0" borderId="1" xfId="0" applyFont="1" applyFill="1" applyBorder="1" applyAlignment="1" applyProtection="1">
      <alignment horizontal="center" vertical="center" wrapText="1"/>
      <protection locked="0"/>
    </xf>
    <xf numFmtId="0" fontId="43" fillId="0" borderId="1" xfId="0" applyFont="1" applyFill="1" applyBorder="1" applyAlignment="1" applyProtection="1">
      <alignment vertical="center" wrapText="1"/>
      <protection locked="0"/>
    </xf>
    <xf numFmtId="9" fontId="20" fillId="0" borderId="1" xfId="0" applyNumberFormat="1" applyFont="1" applyBorder="1" applyAlignment="1">
      <alignment horizontal="center" vertical="center" wrapText="1"/>
    </xf>
    <xf numFmtId="14" fontId="62" fillId="0" borderId="1" xfId="0" quotePrefix="1" applyNumberFormat="1" applyFont="1" applyBorder="1" applyAlignment="1">
      <alignment horizontal="center" vertical="center" wrapText="1"/>
    </xf>
    <xf numFmtId="14" fontId="62" fillId="0" borderId="1" xfId="0" applyNumberFormat="1" applyFont="1" applyBorder="1" applyAlignment="1">
      <alignment horizontal="center" vertical="center"/>
    </xf>
    <xf numFmtId="0" fontId="62" fillId="0" borderId="1" xfId="0" applyFont="1" applyBorder="1" applyAlignment="1">
      <alignment horizontal="center" vertical="center"/>
    </xf>
    <xf numFmtId="164" fontId="61" fillId="2" borderId="1" xfId="89" applyNumberFormat="1" applyFont="1" applyFill="1" applyBorder="1" applyAlignment="1">
      <alignment horizontal="center" vertical="center" wrapText="1"/>
    </xf>
    <xf numFmtId="0" fontId="43" fillId="0" borderId="1" xfId="0" applyFont="1" applyFill="1" applyBorder="1" applyAlignment="1" applyProtection="1">
      <alignment horizontal="center" vertical="center" wrapText="1"/>
      <protection locked="0"/>
    </xf>
    <xf numFmtId="0" fontId="19" fillId="0" borderId="1" xfId="0" applyFont="1" applyFill="1" applyBorder="1" applyAlignment="1">
      <alignment horizontal="left" vertical="center" wrapText="1"/>
    </xf>
    <xf numFmtId="0" fontId="19" fillId="0" borderId="1" xfId="0" applyFont="1" applyBorder="1" applyAlignment="1">
      <alignment vertical="center" wrapText="1"/>
    </xf>
    <xf numFmtId="0" fontId="19" fillId="0" borderId="1" xfId="0" applyFont="1" applyFill="1" applyBorder="1" applyAlignment="1">
      <alignment vertical="center" wrapText="1"/>
    </xf>
    <xf numFmtId="0" fontId="62" fillId="0" borderId="1" xfId="0" applyFont="1" applyBorder="1" applyAlignment="1">
      <alignment horizontal="center" vertical="center" wrapText="1"/>
    </xf>
    <xf numFmtId="0" fontId="59" fillId="0" borderId="0" xfId="0" applyFont="1" applyAlignment="1"/>
    <xf numFmtId="0" fontId="27" fillId="0" borderId="9" xfId="0" applyFont="1" applyBorder="1" applyAlignment="1">
      <alignment vertical="center" wrapText="1"/>
    </xf>
    <xf numFmtId="0" fontId="27" fillId="0" borderId="0" xfId="0" quotePrefix="1" applyFont="1" applyBorder="1" applyAlignment="1">
      <alignment vertical="center" wrapText="1"/>
    </xf>
    <xf numFmtId="0" fontId="20" fillId="0" borderId="1" xfId="0" applyFont="1" applyFill="1" applyBorder="1" applyAlignment="1" applyProtection="1">
      <alignment horizontal="center" vertical="center" wrapText="1"/>
      <protection locked="0"/>
    </xf>
    <xf numFmtId="0" fontId="61"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justify" vertical="justify" wrapText="1"/>
      <protection locked="0"/>
    </xf>
    <xf numFmtId="0" fontId="11" fillId="0" borderId="0" xfId="0" applyFont="1" applyFill="1" applyAlignment="1" applyProtection="1">
      <alignment horizontal="justify" vertical="justify" wrapText="1"/>
      <protection locked="0"/>
    </xf>
    <xf numFmtId="0" fontId="7" fillId="0" borderId="0" xfId="0" applyNumberFormat="1" applyFont="1" applyFill="1" applyBorder="1" applyAlignment="1" applyProtection="1">
      <alignment horizontal="justify" vertical="justify" wrapText="1"/>
      <protection locked="0"/>
    </xf>
    <xf numFmtId="0" fontId="7" fillId="0" borderId="0" xfId="0" applyFont="1" applyFill="1" applyAlignment="1" applyProtection="1">
      <alignment horizontal="justify" vertical="justify" wrapText="1"/>
      <protection locked="0"/>
    </xf>
    <xf numFmtId="0" fontId="7" fillId="0" borderId="0" xfId="0" applyFont="1" applyFill="1" applyBorder="1" applyAlignment="1" applyProtection="1">
      <alignment horizontal="justify" vertical="justify" wrapText="1"/>
      <protection locked="0"/>
    </xf>
    <xf numFmtId="0" fontId="6" fillId="0" borderId="1" xfId="0" quotePrefix="1" applyFont="1" applyFill="1" applyBorder="1" applyAlignment="1" applyProtection="1">
      <alignment horizontal="justify" vertical="center" wrapText="1"/>
    </xf>
    <xf numFmtId="0" fontId="7" fillId="0" borderId="1" xfId="0" applyFont="1" applyFill="1" applyBorder="1" applyAlignment="1" applyProtection="1">
      <alignment horizontal="justify" vertical="center" wrapText="1"/>
    </xf>
    <xf numFmtId="0" fontId="7" fillId="0" borderId="0" xfId="0" applyFont="1" applyFill="1" applyAlignment="1" applyProtection="1">
      <alignment horizontal="justify" vertical="center" wrapText="1"/>
      <protection locked="0"/>
    </xf>
    <xf numFmtId="0" fontId="7" fillId="0" borderId="0" xfId="0" applyNumberFormat="1" applyFont="1" applyFill="1" applyBorder="1" applyAlignment="1" applyProtection="1">
      <alignment horizontal="justify" vertical="center" wrapText="1"/>
      <protection locked="0"/>
    </xf>
    <xf numFmtId="0" fontId="7" fillId="0" borderId="0" xfId="0" applyFont="1" applyFill="1" applyBorder="1" applyAlignment="1" applyProtection="1">
      <alignment horizontal="justify" vertical="center" wrapText="1"/>
      <protection locked="0"/>
    </xf>
    <xf numFmtId="0" fontId="67" fillId="0" borderId="1" xfId="0" quotePrefix="1" applyFont="1" applyFill="1" applyBorder="1" applyAlignment="1" applyProtection="1">
      <alignment horizontal="justify" vertical="center" wrapText="1"/>
    </xf>
    <xf numFmtId="0" fontId="2" fillId="0" borderId="1" xfId="0" applyFont="1" applyFill="1" applyBorder="1" applyAlignment="1" applyProtection="1">
      <alignment horizontal="center" vertical="center" wrapText="1"/>
    </xf>
    <xf numFmtId="0" fontId="61" fillId="0" borderId="0" xfId="0" applyFont="1" applyFill="1" applyAlignment="1" applyProtection="1">
      <alignment horizontal="center" vertical="center" wrapText="1"/>
      <protection locked="0"/>
    </xf>
    <xf numFmtId="0" fontId="66" fillId="0" borderId="1" xfId="0" applyFont="1" applyFill="1" applyBorder="1" applyAlignment="1" applyProtection="1">
      <alignment horizontal="center" vertical="center" wrapText="1"/>
      <protection locked="0"/>
    </xf>
    <xf numFmtId="0" fontId="68" fillId="0" borderId="0" xfId="0" applyFont="1" applyFill="1" applyAlignment="1" applyProtection="1">
      <alignment horizontal="center" vertical="center" wrapText="1"/>
      <protection locked="0"/>
    </xf>
    <xf numFmtId="0" fontId="61" fillId="0" borderId="0" xfId="0" applyFont="1" applyFill="1" applyAlignment="1" applyProtection="1">
      <alignment vertical="center" wrapText="1"/>
      <protection locked="0"/>
    </xf>
    <xf numFmtId="0" fontId="66" fillId="0" borderId="0" xfId="0" applyFont="1" applyFill="1" applyAlignment="1" applyProtection="1">
      <alignment horizontal="center" vertical="center" wrapText="1"/>
      <protection locked="0"/>
    </xf>
    <xf numFmtId="0" fontId="66" fillId="0" borderId="0" xfId="0" applyFont="1" applyFill="1" applyAlignment="1" applyProtection="1">
      <alignment vertical="center" wrapText="1"/>
      <protection locked="0"/>
    </xf>
    <xf numFmtId="0" fontId="69" fillId="0" borderId="1" xfId="0" applyNumberFormat="1" applyFont="1" applyFill="1" applyBorder="1" applyAlignment="1" applyProtection="1">
      <alignment horizontal="center" vertical="center" wrapText="1"/>
      <protection locked="0"/>
    </xf>
    <xf numFmtId="14" fontId="3" fillId="0" borderId="1" xfId="0" quotePrefix="1" applyNumberFormat="1" applyFont="1" applyBorder="1" applyAlignment="1">
      <alignment horizontal="center" vertical="center" wrapText="1"/>
    </xf>
    <xf numFmtId="0" fontId="67" fillId="0" borderId="1" xfId="0" applyFont="1" applyFill="1" applyBorder="1" applyAlignment="1" applyProtection="1">
      <alignment horizontal="justify" vertical="center" wrapText="1"/>
      <protection locked="0"/>
    </xf>
    <xf numFmtId="0" fontId="70" fillId="0" borderId="1" xfId="0" applyFont="1" applyFill="1" applyBorder="1" applyAlignment="1" applyProtection="1">
      <alignment horizontal="justify" vertical="center" wrapText="1"/>
      <protection locked="0"/>
    </xf>
    <xf numFmtId="0" fontId="71" fillId="6" borderId="0" xfId="0" applyFont="1" applyFill="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8" fillId="0" borderId="2" xfId="0" applyFont="1" applyFill="1" applyBorder="1" applyAlignment="1" applyProtection="1">
      <alignment horizontal="center" vertical="center" wrapText="1"/>
      <protection locked="0"/>
    </xf>
    <xf numFmtId="0" fontId="13" fillId="3" borderId="11" xfId="0" applyFont="1" applyFill="1" applyBorder="1" applyAlignment="1" applyProtection="1">
      <alignment horizontal="center" vertical="center" wrapText="1"/>
      <protection locked="0"/>
    </xf>
    <xf numFmtId="0" fontId="19" fillId="0" borderId="1" xfId="0" quotePrefix="1" applyFont="1" applyFill="1" applyBorder="1" applyAlignment="1">
      <alignment horizontal="center" vertical="center" wrapText="1"/>
    </xf>
    <xf numFmtId="164" fontId="6" fillId="0" borderId="1" xfId="18" quotePrefix="1" applyNumberFormat="1" applyFont="1" applyFill="1" applyBorder="1" applyAlignment="1" applyProtection="1">
      <alignment horizontal="justify" vertical="center" wrapText="1"/>
      <protection locked="0"/>
    </xf>
    <xf numFmtId="164" fontId="6" fillId="5" borderId="1" xfId="18" applyNumberFormat="1" applyFont="1" applyFill="1" applyBorder="1" applyAlignment="1" applyProtection="1">
      <alignment horizontal="justify" vertical="center" wrapText="1"/>
      <protection locked="0"/>
    </xf>
    <xf numFmtId="164" fontId="6" fillId="0" borderId="1" xfId="18" applyNumberFormat="1" applyFont="1" applyFill="1" applyBorder="1" applyAlignment="1" applyProtection="1">
      <alignment horizontal="justify" vertical="center" wrapText="1"/>
      <protection locked="0"/>
    </xf>
    <xf numFmtId="0" fontId="19" fillId="2" borderId="1" xfId="0" applyFont="1" applyFill="1" applyBorder="1" applyAlignment="1">
      <alignment vertical="center" wrapText="1"/>
    </xf>
    <xf numFmtId="49" fontId="6" fillId="5" borderId="1" xfId="18" quotePrefix="1" applyNumberFormat="1" applyFont="1" applyFill="1" applyBorder="1" applyAlignment="1" applyProtection="1">
      <alignment horizontal="justify" vertical="center" wrapText="1"/>
      <protection locked="0"/>
    </xf>
    <xf numFmtId="49" fontId="6" fillId="0" borderId="1" xfId="18" quotePrefix="1" applyNumberFormat="1" applyFont="1" applyFill="1" applyBorder="1" applyAlignment="1" applyProtection="1">
      <alignment horizontal="justify" vertical="center" wrapText="1"/>
      <protection locked="0"/>
    </xf>
    <xf numFmtId="49" fontId="19" fillId="0" borderId="1" xfId="0" quotePrefix="1" applyNumberFormat="1" applyFont="1" applyBorder="1" applyAlignment="1">
      <alignment horizontal="center" vertical="center" wrapText="1"/>
    </xf>
    <xf numFmtId="49" fontId="19" fillId="0" borderId="1" xfId="0" applyNumberFormat="1" applyFont="1" applyBorder="1" applyAlignment="1">
      <alignment horizontal="left" vertical="center" wrapText="1"/>
    </xf>
    <xf numFmtId="0" fontId="18" fillId="4" borderId="1" xfId="0" applyFont="1" applyFill="1" applyBorder="1" applyAlignment="1">
      <alignment horizontal="left" vertical="center" wrapText="1"/>
    </xf>
    <xf numFmtId="0" fontId="19" fillId="0" borderId="1" xfId="0" applyFont="1" applyBorder="1" applyAlignment="1">
      <alignment horizontal="left" vertical="center" wrapText="1"/>
    </xf>
    <xf numFmtId="49" fontId="19" fillId="0" borderId="1" xfId="104" applyNumberFormat="1" applyFont="1" applyBorder="1" applyAlignment="1">
      <alignment horizontal="center" vertical="center" wrapText="1"/>
    </xf>
    <xf numFmtId="0" fontId="13" fillId="7" borderId="7" xfId="0" applyFont="1" applyFill="1" applyBorder="1" applyAlignment="1" applyProtection="1">
      <alignment horizontal="center" vertical="center" wrapText="1"/>
      <protection locked="0"/>
    </xf>
    <xf numFmtId="166" fontId="33" fillId="0" borderId="1" xfId="0" quotePrefix="1" applyNumberFormat="1" applyFont="1" applyBorder="1" applyAlignment="1">
      <alignment horizontal="center" vertical="center"/>
    </xf>
    <xf numFmtId="166" fontId="33" fillId="7" borderId="1" xfId="0" quotePrefix="1" applyNumberFormat="1" applyFont="1" applyFill="1" applyBorder="1" applyAlignment="1">
      <alignment horizontal="center" vertical="center"/>
    </xf>
    <xf numFmtId="0" fontId="30" fillId="7" borderId="1" xfId="0" applyFont="1" applyFill="1" applyBorder="1" applyAlignment="1">
      <alignment horizontal="center" vertical="center"/>
    </xf>
    <xf numFmtId="0" fontId="34" fillId="7" borderId="1" xfId="0" applyFont="1" applyFill="1" applyBorder="1" applyAlignment="1">
      <alignment horizontal="center" vertical="center" wrapText="1"/>
    </xf>
    <xf numFmtId="0" fontId="27" fillId="7" borderId="1" xfId="0" applyFont="1" applyFill="1" applyBorder="1" applyAlignment="1">
      <alignment horizontal="center" vertical="center"/>
    </xf>
    <xf numFmtId="166" fontId="9" fillId="0" borderId="1" xfId="0" quotePrefix="1" applyNumberFormat="1" applyFont="1" applyBorder="1" applyAlignment="1">
      <alignment horizontal="center" vertical="center"/>
    </xf>
    <xf numFmtId="166" fontId="9" fillId="7" borderId="1" xfId="0" quotePrefix="1" applyNumberFormat="1" applyFont="1" applyFill="1" applyBorder="1" applyAlignment="1">
      <alignment horizontal="center" vertical="center"/>
    </xf>
    <xf numFmtId="0" fontId="27" fillId="7" borderId="1" xfId="0" applyNumberFormat="1" applyFont="1" applyFill="1" applyBorder="1" applyAlignment="1">
      <alignment horizontal="center" vertical="center" wrapText="1"/>
    </xf>
    <xf numFmtId="0" fontId="30" fillId="7" borderId="1" xfId="0" applyNumberFormat="1" applyFont="1" applyFill="1" applyBorder="1" applyAlignment="1">
      <alignment horizontal="center" vertical="center" wrapText="1"/>
    </xf>
    <xf numFmtId="0" fontId="3" fillId="0" borderId="1" xfId="0" applyFont="1" applyFill="1" applyBorder="1" applyAlignment="1">
      <alignment vertical="center" wrapText="1"/>
    </xf>
    <xf numFmtId="166" fontId="33" fillId="3" borderId="1" xfId="0" quotePrefix="1" applyNumberFormat="1" applyFont="1" applyFill="1" applyBorder="1" applyAlignment="1">
      <alignment horizontal="center" vertical="center"/>
    </xf>
    <xf numFmtId="0" fontId="72" fillId="0" borderId="1" xfId="0" applyNumberFormat="1" applyFont="1" applyFill="1" applyBorder="1" applyAlignment="1" applyProtection="1">
      <alignment horizontal="center" vertical="center" wrapText="1"/>
      <protection locked="0"/>
    </xf>
    <xf numFmtId="0" fontId="2" fillId="8" borderId="1" xfId="0" applyFont="1" applyFill="1" applyBorder="1" applyAlignment="1" applyProtection="1">
      <alignment horizontal="center" vertical="center" wrapText="1"/>
    </xf>
    <xf numFmtId="0" fontId="3" fillId="8" borderId="1" xfId="0" quotePrefix="1" applyFont="1" applyFill="1" applyBorder="1" applyAlignment="1" applyProtection="1">
      <alignment horizontal="center" vertical="center" wrapText="1"/>
    </xf>
    <xf numFmtId="0" fontId="3" fillId="8" borderId="1" xfId="0" applyFont="1" applyFill="1" applyBorder="1" applyAlignment="1" applyProtection="1">
      <alignment horizontal="center" vertical="center" wrapText="1"/>
    </xf>
    <xf numFmtId="164" fontId="35" fillId="2" borderId="1" xfId="89" applyNumberFormat="1" applyFont="1" applyFill="1" applyBorder="1" applyAlignment="1">
      <alignment horizontal="justify" vertical="center" wrapText="1"/>
    </xf>
    <xf numFmtId="0" fontId="38" fillId="0" borderId="1" xfId="0" applyNumberFormat="1" applyFont="1" applyFill="1" applyBorder="1" applyAlignment="1" applyProtection="1">
      <alignment horizontal="center" vertical="center" wrapText="1"/>
      <protection locked="0"/>
    </xf>
    <xf numFmtId="0" fontId="35" fillId="0" borderId="1" xfId="0" applyFont="1" applyFill="1" applyBorder="1" applyAlignment="1" applyProtection="1">
      <alignment horizontal="justify" vertical="center" wrapText="1"/>
      <protection locked="0"/>
    </xf>
    <xf numFmtId="0" fontId="2" fillId="9" borderId="1" xfId="0" applyFont="1" applyFill="1" applyBorder="1" applyAlignment="1" applyProtection="1">
      <alignment horizontal="left" vertical="center" wrapText="1"/>
      <protection locked="0"/>
    </xf>
    <xf numFmtId="0" fontId="3" fillId="9" borderId="1" xfId="0" quotePrefix="1" applyFont="1" applyFill="1" applyBorder="1" applyAlignment="1" applyProtection="1">
      <alignment horizontal="center" vertical="center" wrapText="1"/>
      <protection locked="0"/>
    </xf>
    <xf numFmtId="0" fontId="6" fillId="9" borderId="1" xfId="0" quotePrefix="1" applyNumberFormat="1" applyFont="1" applyFill="1" applyBorder="1" applyAlignment="1" applyProtection="1">
      <alignment horizontal="justify" vertical="center" wrapText="1"/>
      <protection locked="0"/>
    </xf>
    <xf numFmtId="0" fontId="3" fillId="9" borderId="1" xfId="0" applyFont="1" applyFill="1" applyBorder="1" applyAlignment="1">
      <alignment horizontal="center" vertical="center" wrapText="1"/>
    </xf>
    <xf numFmtId="0" fontId="6" fillId="9" borderId="1" xfId="0" quotePrefix="1" applyFont="1" applyFill="1" applyBorder="1" applyAlignment="1" applyProtection="1">
      <alignment horizontal="justify" vertical="center" wrapText="1"/>
      <protection locked="0"/>
    </xf>
    <xf numFmtId="0" fontId="3" fillId="9" borderId="1" xfId="0" applyNumberFormat="1" applyFont="1" applyFill="1" applyBorder="1" applyAlignment="1" applyProtection="1">
      <alignment horizontal="center" vertical="center" wrapText="1"/>
      <protection locked="0"/>
    </xf>
    <xf numFmtId="0" fontId="6" fillId="9" borderId="1" xfId="0" applyNumberFormat="1" applyFont="1" applyFill="1" applyBorder="1" applyAlignment="1" applyProtection="1">
      <alignment horizontal="justify" vertical="center" wrapText="1"/>
      <protection locked="0"/>
    </xf>
    <xf numFmtId="0" fontId="3" fillId="9" borderId="1" xfId="0" applyFont="1" applyFill="1" applyBorder="1" applyAlignment="1" applyProtection="1">
      <alignment horizontal="center" vertical="center" wrapText="1"/>
      <protection locked="0"/>
    </xf>
    <xf numFmtId="0" fontId="3" fillId="9" borderId="1" xfId="0" applyFont="1" applyFill="1" applyBorder="1" applyAlignment="1">
      <alignment horizontal="center" vertical="center"/>
    </xf>
    <xf numFmtId="0" fontId="6" fillId="9" borderId="1" xfId="0" applyFont="1" applyFill="1" applyBorder="1" applyAlignment="1" applyProtection="1">
      <alignment horizontal="justify" vertical="center" wrapText="1"/>
      <protection locked="0"/>
    </xf>
    <xf numFmtId="0" fontId="3" fillId="9" borderId="1" xfId="0" quotePrefix="1" applyNumberFormat="1" applyFont="1" applyFill="1" applyBorder="1" applyAlignment="1" applyProtection="1">
      <alignment horizontal="center" vertical="center"/>
    </xf>
    <xf numFmtId="0" fontId="7" fillId="9" borderId="1" xfId="0" applyFont="1" applyFill="1" applyBorder="1" applyAlignment="1" applyProtection="1">
      <alignment horizontal="justify" vertical="center" wrapText="1"/>
      <protection locked="0"/>
    </xf>
    <xf numFmtId="0" fontId="19" fillId="9" borderId="1" xfId="0" applyFont="1" applyFill="1" applyBorder="1" applyAlignment="1">
      <alignment horizontal="center" vertical="center"/>
    </xf>
    <xf numFmtId="0" fontId="3" fillId="9" borderId="1" xfId="0" applyFont="1" applyFill="1" applyBorder="1" applyAlignment="1">
      <alignment horizontal="left" vertical="center" wrapText="1"/>
    </xf>
    <xf numFmtId="0" fontId="6" fillId="9" borderId="1" xfId="0" applyFont="1" applyFill="1" applyBorder="1" applyAlignment="1">
      <alignment horizontal="left" vertical="center" wrapText="1"/>
    </xf>
    <xf numFmtId="164" fontId="6" fillId="9" borderId="1" xfId="18" quotePrefix="1" applyNumberFormat="1" applyFont="1" applyFill="1" applyBorder="1" applyAlignment="1" applyProtection="1">
      <alignment horizontal="justify" vertical="center" wrapText="1"/>
      <protection locked="0"/>
    </xf>
    <xf numFmtId="164" fontId="6" fillId="9" borderId="1" xfId="18" applyNumberFormat="1" applyFont="1" applyFill="1" applyBorder="1" applyAlignment="1" applyProtection="1">
      <alignment horizontal="justify" vertical="center" wrapText="1"/>
      <protection locked="0"/>
    </xf>
    <xf numFmtId="0" fontId="2" fillId="9" borderId="1" xfId="0" applyFont="1" applyFill="1" applyBorder="1" applyAlignment="1" applyProtection="1">
      <alignment horizontal="center" vertical="center" wrapText="1"/>
    </xf>
    <xf numFmtId="1" fontId="3" fillId="9" borderId="1" xfId="0" quotePrefix="1" applyNumberFormat="1" applyFont="1" applyFill="1" applyBorder="1" applyAlignment="1" applyProtection="1">
      <alignment horizontal="center" vertical="center" wrapText="1"/>
      <protection locked="0"/>
    </xf>
    <xf numFmtId="49" fontId="6" fillId="9" borderId="1" xfId="18" quotePrefix="1" applyNumberFormat="1" applyFont="1" applyFill="1" applyBorder="1" applyAlignment="1" applyProtection="1">
      <alignment horizontal="justify" vertical="center" wrapText="1"/>
      <protection locked="0"/>
    </xf>
    <xf numFmtId="0" fontId="7" fillId="9" borderId="1" xfId="0" quotePrefix="1" applyNumberFormat="1" applyFont="1" applyFill="1" applyBorder="1" applyAlignment="1" applyProtection="1">
      <alignment horizontal="justify" vertical="center" wrapText="1"/>
      <protection locked="0"/>
    </xf>
    <xf numFmtId="1" fontId="6" fillId="9" borderId="1" xfId="0" quotePrefix="1" applyNumberFormat="1" applyFont="1" applyFill="1" applyBorder="1" applyAlignment="1" applyProtection="1">
      <alignment horizontal="justify" vertical="center" wrapText="1"/>
      <protection locked="0"/>
    </xf>
    <xf numFmtId="0" fontId="64" fillId="9" borderId="1" xfId="0" applyFont="1" applyFill="1" applyBorder="1" applyAlignment="1">
      <alignment horizontal="center" vertical="center" wrapText="1"/>
    </xf>
    <xf numFmtId="0" fontId="6" fillId="9" borderId="1" xfId="120" applyFont="1" applyFill="1" applyBorder="1" applyAlignment="1" applyProtection="1">
      <alignment horizontal="justify" vertical="center" wrapText="1"/>
      <protection locked="0"/>
    </xf>
    <xf numFmtId="0" fontId="3" fillId="9" borderId="1" xfId="0" quotePrefix="1" applyNumberFormat="1" applyFont="1" applyFill="1" applyBorder="1" applyAlignment="1" applyProtection="1">
      <alignment horizontal="center" vertical="center" wrapText="1"/>
      <protection locked="0"/>
    </xf>
    <xf numFmtId="0" fontId="2" fillId="10" borderId="1" xfId="0" quotePrefix="1" applyNumberFormat="1" applyFont="1" applyFill="1" applyBorder="1" applyAlignment="1" applyProtection="1">
      <alignment horizontal="center" vertical="center" wrapText="1"/>
      <protection locked="0"/>
    </xf>
    <xf numFmtId="0" fontId="2" fillId="10" borderId="1" xfId="0" applyFont="1" applyFill="1" applyBorder="1" applyAlignment="1" applyProtection="1">
      <alignment horizontal="left" vertical="center" wrapText="1"/>
      <protection locked="0"/>
    </xf>
    <xf numFmtId="0" fontId="3" fillId="10" borderId="1" xfId="0" quotePrefix="1" applyNumberFormat="1" applyFont="1" applyFill="1" applyBorder="1" applyAlignment="1" applyProtection="1">
      <alignment horizontal="center" vertical="center" wrapText="1"/>
      <protection locked="0"/>
    </xf>
    <xf numFmtId="0" fontId="3" fillId="10" borderId="1" xfId="0" quotePrefix="1" applyFont="1" applyFill="1" applyBorder="1" applyAlignment="1" applyProtection="1">
      <alignment horizontal="center" vertical="center" wrapText="1"/>
      <protection locked="0"/>
    </xf>
    <xf numFmtId="0" fontId="6" fillId="10" borderId="1" xfId="0" quotePrefix="1" applyNumberFormat="1" applyFont="1" applyFill="1" applyBorder="1" applyAlignment="1" applyProtection="1">
      <alignment horizontal="justify" vertical="center" wrapText="1"/>
      <protection locked="0"/>
    </xf>
    <xf numFmtId="0" fontId="3" fillId="10" borderId="1" xfId="0" applyNumberFormat="1" applyFont="1" applyFill="1" applyBorder="1" applyAlignment="1" applyProtection="1">
      <alignment horizontal="center" vertical="center" wrapText="1"/>
      <protection locked="0"/>
    </xf>
    <xf numFmtId="0" fontId="6" fillId="10" borderId="1" xfId="0" quotePrefix="1" applyFont="1" applyFill="1" applyBorder="1" applyAlignment="1" applyProtection="1">
      <alignment horizontal="justify" vertical="center" wrapText="1"/>
      <protection locked="0"/>
    </xf>
    <xf numFmtId="0" fontId="67" fillId="10" borderId="1" xfId="0" quotePrefix="1" applyFont="1" applyFill="1" applyBorder="1" applyAlignment="1" applyProtection="1">
      <alignment horizontal="justify" vertical="center" wrapText="1"/>
      <protection locked="0"/>
    </xf>
    <xf numFmtId="0" fontId="6" fillId="10" borderId="1" xfId="0" applyNumberFormat="1" applyFont="1" applyFill="1" applyBorder="1" applyAlignment="1" applyProtection="1">
      <alignment horizontal="justify" vertical="center" wrapText="1"/>
      <protection locked="0"/>
    </xf>
    <xf numFmtId="0" fontId="20" fillId="10" borderId="1" xfId="0" quotePrefix="1" applyFont="1" applyFill="1" applyBorder="1" applyAlignment="1" applyProtection="1">
      <alignment horizontal="justify" vertical="center" wrapText="1"/>
      <protection locked="0"/>
    </xf>
    <xf numFmtId="0" fontId="7" fillId="10" borderId="1" xfId="0" applyFont="1" applyFill="1" applyBorder="1" applyAlignment="1" applyProtection="1">
      <alignment horizontal="justify" vertical="center" wrapText="1"/>
      <protection locked="0"/>
    </xf>
    <xf numFmtId="0" fontId="61" fillId="10" borderId="1" xfId="0" quotePrefix="1" applyFont="1" applyFill="1" applyBorder="1" applyAlignment="1" applyProtection="1">
      <alignment horizontal="justify" vertical="center" wrapText="1"/>
      <protection locked="0"/>
    </xf>
    <xf numFmtId="164" fontId="6" fillId="10" borderId="1" xfId="18" applyNumberFormat="1" applyFont="1" applyFill="1" applyBorder="1" applyAlignment="1" applyProtection="1">
      <alignment horizontal="justify" vertical="center" wrapText="1"/>
      <protection locked="0"/>
    </xf>
    <xf numFmtId="164" fontId="6" fillId="10" borderId="1" xfId="18" quotePrefix="1" applyNumberFormat="1" applyFont="1" applyFill="1" applyBorder="1" applyAlignment="1" applyProtection="1">
      <alignment horizontal="justify" vertical="center" wrapText="1"/>
      <protection locked="0"/>
    </xf>
    <xf numFmtId="0" fontId="6" fillId="10" borderId="1" xfId="0" applyFont="1" applyFill="1" applyBorder="1" applyAlignment="1" applyProtection="1">
      <alignment horizontal="justify" vertical="center" wrapText="1"/>
      <protection locked="0"/>
    </xf>
    <xf numFmtId="49" fontId="6" fillId="10" borderId="1" xfId="18" quotePrefix="1" applyNumberFormat="1" applyFont="1" applyFill="1" applyBorder="1" applyAlignment="1" applyProtection="1">
      <alignment horizontal="justify" vertical="center" wrapText="1"/>
      <protection locked="0"/>
    </xf>
    <xf numFmtId="1" fontId="6" fillId="10" borderId="1" xfId="0" quotePrefix="1" applyNumberFormat="1" applyFont="1" applyFill="1" applyBorder="1" applyAlignment="1" applyProtection="1">
      <alignment horizontal="justify" vertical="center" wrapText="1"/>
      <protection locked="0"/>
    </xf>
    <xf numFmtId="1" fontId="6" fillId="10" borderId="1" xfId="109" quotePrefix="1" applyNumberFormat="1" applyFont="1" applyFill="1" applyBorder="1" applyAlignment="1" applyProtection="1">
      <alignment horizontal="justify" vertical="center" wrapText="1"/>
      <protection locked="0"/>
    </xf>
    <xf numFmtId="1" fontId="6" fillId="10" borderId="1" xfId="109" applyNumberFormat="1" applyFont="1" applyFill="1" applyBorder="1" applyAlignment="1" applyProtection="1">
      <alignment horizontal="justify" vertical="center" wrapText="1"/>
      <protection locked="0"/>
    </xf>
    <xf numFmtId="0" fontId="3" fillId="10" borderId="1" xfId="0" applyFont="1" applyFill="1" applyBorder="1" applyAlignment="1" applyProtection="1">
      <alignment horizontal="center" vertical="center" wrapText="1"/>
      <protection locked="0"/>
    </xf>
    <xf numFmtId="0" fontId="67" fillId="10" borderId="1" xfId="0" quotePrefix="1" applyNumberFormat="1" applyFont="1" applyFill="1" applyBorder="1" applyAlignment="1" applyProtection="1">
      <alignment horizontal="justify" vertical="center" wrapText="1"/>
      <protection locked="0"/>
    </xf>
    <xf numFmtId="0" fontId="6" fillId="10" borderId="1" xfId="120" applyFont="1" applyFill="1" applyBorder="1" applyAlignment="1" applyProtection="1">
      <alignment horizontal="justify" vertical="center" wrapText="1"/>
      <protection locked="0"/>
    </xf>
    <xf numFmtId="0" fontId="85" fillId="0" borderId="1" xfId="0" applyNumberFormat="1" applyFont="1" applyFill="1" applyBorder="1" applyAlignment="1" applyProtection="1">
      <alignment horizontal="center" vertical="center" wrapText="1"/>
      <protection locked="0"/>
    </xf>
    <xf numFmtId="0" fontId="86" fillId="0" borderId="1" xfId="0" quotePrefix="1" applyFont="1" applyFill="1" applyBorder="1" applyAlignment="1" applyProtection="1">
      <alignment horizontal="justify" vertical="center" wrapText="1"/>
    </xf>
    <xf numFmtId="0" fontId="2" fillId="10" borderId="1" xfId="0" applyNumberFormat="1" applyFont="1" applyFill="1" applyBorder="1" applyAlignment="1" applyProtection="1">
      <alignment horizontal="center" vertical="center" wrapText="1"/>
      <protection locked="0"/>
    </xf>
    <xf numFmtId="0" fontId="7" fillId="10" borderId="1" xfId="0" applyFont="1" applyFill="1" applyBorder="1" applyAlignment="1" applyProtection="1">
      <alignment horizontal="center" vertical="center" wrapText="1"/>
      <protection locked="0"/>
    </xf>
    <xf numFmtId="0" fontId="35" fillId="0" borderId="1" xfId="0" quotePrefix="1" applyFont="1" applyFill="1" applyBorder="1" applyAlignment="1" applyProtection="1">
      <alignment horizontal="justify" vertical="center" wrapText="1"/>
      <protection locked="0"/>
    </xf>
    <xf numFmtId="0" fontId="20" fillId="11" borderId="1" xfId="0" applyFont="1" applyFill="1" applyBorder="1" applyAlignment="1" applyProtection="1">
      <alignment vertical="center" wrapText="1"/>
      <protection locked="0"/>
    </xf>
    <xf numFmtId="0" fontId="15" fillId="0" borderId="1" xfId="0" applyFont="1" applyFill="1" applyBorder="1" applyAlignment="1" applyProtection="1">
      <alignment horizontal="center" vertical="center" wrapText="1"/>
      <protection locked="0"/>
    </xf>
    <xf numFmtId="0" fontId="87" fillId="13" borderId="1" xfId="0" quotePrefix="1" applyNumberFormat="1" applyFont="1" applyFill="1" applyBorder="1" applyAlignment="1" applyProtection="1">
      <alignment horizontal="center" vertical="center" wrapText="1"/>
      <protection locked="0"/>
    </xf>
    <xf numFmtId="0" fontId="88" fillId="13" borderId="1" xfId="0" quotePrefix="1" applyNumberFormat="1" applyFont="1" applyFill="1" applyBorder="1" applyAlignment="1" applyProtection="1">
      <alignment horizontal="center" vertical="center" wrapText="1"/>
      <protection locked="0"/>
    </xf>
    <xf numFmtId="0" fontId="34" fillId="11" borderId="0" xfId="0" applyFont="1" applyFill="1"/>
    <xf numFmtId="0" fontId="89" fillId="11" borderId="0" xfId="0" applyFont="1" applyFill="1"/>
    <xf numFmtId="0" fontId="19" fillId="11" borderId="0" xfId="0" applyFont="1" applyFill="1"/>
    <xf numFmtId="0" fontId="35" fillId="10" borderId="1" xfId="0" quotePrefix="1" applyFont="1" applyFill="1" applyBorder="1" applyAlignment="1" applyProtection="1">
      <alignment horizontal="justify" vertical="center" wrapText="1"/>
      <protection locked="0"/>
    </xf>
    <xf numFmtId="0" fontId="86" fillId="10" borderId="1" xfId="0" quotePrefix="1" applyFont="1" applyFill="1" applyBorder="1" applyAlignment="1" applyProtection="1">
      <alignment horizontal="justify" vertical="center" wrapText="1"/>
      <protection locked="0"/>
    </xf>
    <xf numFmtId="0" fontId="86" fillId="10" borderId="1" xfId="0" quotePrefix="1" applyNumberFormat="1" applyFont="1" applyFill="1" applyBorder="1" applyAlignment="1" applyProtection="1">
      <alignment horizontal="justify" vertical="center" wrapText="1"/>
      <protection locked="0"/>
    </xf>
    <xf numFmtId="0" fontId="38" fillId="0" borderId="1" xfId="0" applyFont="1" applyBorder="1" applyAlignment="1">
      <alignment horizontal="center" vertical="center" wrapText="1"/>
    </xf>
    <xf numFmtId="1" fontId="86" fillId="10" borderId="1" xfId="0" quotePrefix="1" applyNumberFormat="1" applyFont="1" applyFill="1" applyBorder="1" applyAlignment="1" applyProtection="1">
      <alignment horizontal="justify" vertical="center" wrapText="1"/>
      <protection locked="0"/>
    </xf>
    <xf numFmtId="0" fontId="86" fillId="10" borderId="1" xfId="0" applyFont="1" applyFill="1" applyBorder="1" applyAlignment="1" applyProtection="1">
      <alignment horizontal="justify" vertical="center" wrapText="1"/>
      <protection locked="0"/>
    </xf>
    <xf numFmtId="0" fontId="35"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10" borderId="7" xfId="0" applyFont="1" applyFill="1" applyBorder="1" applyAlignment="1" applyProtection="1">
      <alignment horizontal="center" vertical="center" wrapText="1"/>
      <protection locked="0"/>
    </xf>
    <xf numFmtId="0" fontId="76" fillId="0" borderId="0" xfId="0" applyFont="1"/>
    <xf numFmtId="0" fontId="90" fillId="0" borderId="0" xfId="0" applyFont="1"/>
    <xf numFmtId="0" fontId="17" fillId="0" borderId="7" xfId="0" applyFont="1" applyFill="1" applyBorder="1" applyAlignment="1" applyProtection="1">
      <alignment horizontal="center" vertical="center" wrapText="1"/>
      <protection locked="0"/>
    </xf>
    <xf numFmtId="0" fontId="17" fillId="0" borderId="2" xfId="0" applyFont="1" applyFill="1" applyBorder="1" applyAlignment="1" applyProtection="1">
      <alignment horizontal="center" vertical="center" wrapText="1"/>
      <protection locked="0"/>
    </xf>
    <xf numFmtId="0" fontId="17" fillId="0" borderId="3" xfId="0" applyFont="1" applyFill="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23" fillId="7" borderId="7" xfId="0" applyFont="1" applyFill="1" applyBorder="1" applyAlignment="1" applyProtection="1">
      <alignment horizontal="center" vertical="center" wrapText="1"/>
      <protection locked="0"/>
    </xf>
    <xf numFmtId="0" fontId="2" fillId="0" borderId="1" xfId="0" applyFont="1" applyBorder="1" applyAlignment="1">
      <alignment horizontal="left" vertical="center"/>
    </xf>
    <xf numFmtId="166" fontId="9" fillId="3" borderId="1" xfId="0" quotePrefix="1" applyNumberFormat="1" applyFont="1" applyFill="1" applyBorder="1" applyAlignment="1">
      <alignment horizontal="center" vertical="center"/>
    </xf>
    <xf numFmtId="0" fontId="3" fillId="0" borderId="1" xfId="0" applyFont="1" applyBorder="1" applyAlignment="1">
      <alignment horizontal="left" vertical="center" wrapText="1"/>
    </xf>
    <xf numFmtId="0" fontId="3" fillId="0" borderId="1" xfId="0" quotePrefix="1" applyFont="1" applyFill="1" applyBorder="1" applyAlignment="1">
      <alignment horizontal="center" vertical="center" wrapText="1"/>
    </xf>
    <xf numFmtId="14" fontId="15" fillId="0" borderId="1" xfId="0" quotePrefix="1" applyNumberFormat="1" applyFont="1" applyBorder="1" applyAlignment="1">
      <alignment horizontal="center" vertical="center" wrapText="1"/>
    </xf>
    <xf numFmtId="0" fontId="20" fillId="3" borderId="1" xfId="0" applyFont="1" applyFill="1" applyBorder="1" applyAlignment="1">
      <alignment horizontal="center" vertical="center"/>
    </xf>
    <xf numFmtId="0" fontId="20" fillId="7" borderId="1" xfId="0" applyFont="1" applyFill="1" applyBorder="1" applyAlignment="1">
      <alignment horizontal="center" vertical="center"/>
    </xf>
    <xf numFmtId="0" fontId="15" fillId="0" borderId="1" xfId="0" applyFont="1" applyBorder="1" applyAlignment="1">
      <alignment horizontal="center" vertical="center" wrapText="1"/>
    </xf>
    <xf numFmtId="14" fontId="15" fillId="0" borderId="1" xfId="0" applyNumberFormat="1" applyFont="1" applyBorder="1" applyAlignment="1">
      <alignment horizontal="center" vertical="center" wrapText="1"/>
    </xf>
    <xf numFmtId="14" fontId="15" fillId="0" borderId="1" xfId="0" applyNumberFormat="1" applyFont="1" applyBorder="1" applyAlignment="1">
      <alignment horizontal="center" vertical="center"/>
    </xf>
    <xf numFmtId="0" fontId="17" fillId="0" borderId="1" xfId="0" applyFont="1" applyFill="1" applyBorder="1" applyAlignment="1" applyProtection="1">
      <alignment vertical="center" wrapText="1"/>
      <protection locked="0"/>
    </xf>
    <xf numFmtId="0" fontId="15" fillId="0" borderId="1" xfId="0" quotePrefix="1" applyFont="1" applyBorder="1" applyAlignment="1">
      <alignment horizontal="center" vertical="center"/>
    </xf>
    <xf numFmtId="0" fontId="3" fillId="0" borderId="9" xfId="0" quotePrefix="1" applyFont="1" applyBorder="1" applyAlignment="1">
      <alignment vertical="center" wrapText="1"/>
    </xf>
    <xf numFmtId="0" fontId="77" fillId="0" borderId="0" xfId="0" applyFont="1"/>
    <xf numFmtId="0" fontId="77" fillId="0" borderId="0" xfId="0" applyFont="1" applyAlignment="1">
      <alignment horizontal="center" vertical="center"/>
    </xf>
    <xf numFmtId="0" fontId="15" fillId="0" borderId="0" xfId="0" applyFont="1" applyAlignment="1"/>
    <xf numFmtId="0" fontId="90" fillId="0" borderId="0" xfId="0" applyFont="1" applyFill="1" applyAlignment="1">
      <alignment horizontal="center" vertical="center"/>
    </xf>
    <xf numFmtId="0" fontId="59" fillId="0" borderId="0" xfId="0" applyFont="1" applyAlignment="1">
      <alignment horizontal="center"/>
    </xf>
    <xf numFmtId="0" fontId="77" fillId="2" borderId="0" xfId="0" applyFont="1" applyFill="1"/>
    <xf numFmtId="0" fontId="3" fillId="11" borderId="0" xfId="0" applyFont="1" applyFill="1"/>
    <xf numFmtId="0" fontId="24" fillId="11" borderId="0" xfId="0" applyFont="1" applyFill="1"/>
    <xf numFmtId="0" fontId="77" fillId="2" borderId="0" xfId="0" applyFont="1" applyFill="1" applyAlignment="1">
      <alignment horizontal="center" vertical="center"/>
    </xf>
    <xf numFmtId="0" fontId="90" fillId="2" borderId="0" xfId="0" applyFont="1" applyFill="1" applyAlignment="1">
      <alignment horizontal="center" vertical="center"/>
    </xf>
    <xf numFmtId="0" fontId="17" fillId="2" borderId="0" xfId="0" applyFont="1" applyFill="1" applyAlignment="1"/>
    <xf numFmtId="0" fontId="76" fillId="2" borderId="0" xfId="0" applyFont="1" applyFill="1"/>
    <xf numFmtId="0" fontId="90" fillId="2" borderId="0" xfId="0" applyFont="1" applyFill="1"/>
    <xf numFmtId="0" fontId="90" fillId="0" borderId="0" xfId="0" applyFont="1" applyAlignment="1">
      <alignment horizontal="center" vertical="center"/>
    </xf>
    <xf numFmtId="0" fontId="3" fillId="0" borderId="0" xfId="0" applyFont="1" applyAlignment="1">
      <alignment horizontal="center"/>
    </xf>
    <xf numFmtId="0" fontId="20" fillId="0" borderId="0" xfId="0" applyFont="1"/>
    <xf numFmtId="0" fontId="2" fillId="0" borderId="0" xfId="0" applyFont="1" applyAlignment="1">
      <alignment horizontal="center"/>
    </xf>
    <xf numFmtId="0" fontId="78" fillId="0" borderId="11" xfId="0" applyFont="1" applyFill="1" applyBorder="1" applyAlignment="1" applyProtection="1">
      <alignment horizontal="center" vertical="center" wrapText="1"/>
      <protection locked="0"/>
    </xf>
    <xf numFmtId="0" fontId="78" fillId="3" borderId="1" xfId="0" applyFont="1" applyFill="1" applyBorder="1" applyAlignment="1" applyProtection="1">
      <alignment horizontal="center" vertical="center" wrapText="1"/>
      <protection locked="0"/>
    </xf>
    <xf numFmtId="0" fontId="79" fillId="0" borderId="0" xfId="0" applyFont="1"/>
    <xf numFmtId="166" fontId="80" fillId="0" borderId="1" xfId="0" quotePrefix="1" applyNumberFormat="1" applyFont="1" applyBorder="1" applyAlignment="1">
      <alignment horizontal="center" vertical="center"/>
    </xf>
    <xf numFmtId="49" fontId="3" fillId="0" borderId="1" xfId="0" applyNumberFormat="1" applyFont="1" applyBorder="1" applyAlignment="1">
      <alignment horizontal="center" vertical="center" wrapText="1"/>
    </xf>
    <xf numFmtId="0" fontId="20" fillId="0" borderId="1" xfId="0" applyFont="1" applyBorder="1" applyAlignment="1">
      <alignment horizontal="center" vertical="center"/>
    </xf>
    <xf numFmtId="0" fontId="24" fillId="3" borderId="1" xfId="0" applyFont="1" applyFill="1" applyBorder="1" applyAlignment="1">
      <alignment horizontal="center" vertical="center"/>
    </xf>
    <xf numFmtId="0" fontId="24" fillId="7" borderId="3" xfId="0" applyFont="1" applyFill="1" applyBorder="1" applyAlignment="1">
      <alignment horizontal="center" vertical="center"/>
    </xf>
    <xf numFmtId="0" fontId="3" fillId="0" borderId="1" xfId="0" quotePrefix="1" applyFont="1" applyBorder="1" applyAlignment="1">
      <alignment horizontal="left" vertical="center" wrapText="1"/>
    </xf>
    <xf numFmtId="0" fontId="90" fillId="0" borderId="1" xfId="0" applyFont="1" applyBorder="1"/>
    <xf numFmtId="49" fontId="3" fillId="0" borderId="1" xfId="0" applyNumberFormat="1" applyFont="1" applyFill="1" applyBorder="1" applyAlignment="1">
      <alignment horizontal="center" vertical="center" wrapText="1"/>
    </xf>
    <xf numFmtId="0" fontId="17" fillId="0" borderId="0" xfId="0" applyFont="1" applyAlignment="1"/>
    <xf numFmtId="0" fontId="17" fillId="0" borderId="11" xfId="0" applyFont="1" applyFill="1" applyBorder="1" applyAlignment="1" applyProtection="1">
      <alignment vertical="center" wrapText="1"/>
      <protection locked="0"/>
    </xf>
    <xf numFmtId="0" fontId="17" fillId="0" borderId="12" xfId="0" applyFont="1" applyFill="1" applyBorder="1" applyAlignment="1" applyProtection="1">
      <alignment vertical="center" wrapText="1"/>
      <protection locked="0"/>
    </xf>
    <xf numFmtId="0" fontId="15" fillId="3" borderId="1" xfId="0" applyFont="1" applyFill="1" applyBorder="1" applyAlignment="1">
      <alignment horizontal="center" vertical="center"/>
    </xf>
    <xf numFmtId="0" fontId="15" fillId="7" borderId="1" xfId="0" applyFont="1" applyFill="1" applyBorder="1" applyAlignment="1">
      <alignment horizontal="center" vertical="center"/>
    </xf>
    <xf numFmtId="0" fontId="3" fillId="0" borderId="1" xfId="0" applyFont="1" applyBorder="1" applyAlignment="1">
      <alignment horizontal="center" vertical="center" wrapText="1"/>
    </xf>
    <xf numFmtId="0" fontId="17" fillId="0" borderId="0" xfId="0" applyFont="1" applyFill="1" applyAlignment="1">
      <alignment horizontal="center" vertical="center"/>
    </xf>
    <xf numFmtId="165" fontId="3" fillId="0" borderId="1" xfId="0" applyNumberFormat="1" applyFont="1" applyBorder="1" applyAlignment="1">
      <alignment horizontal="center" vertical="center" wrapText="1"/>
    </xf>
    <xf numFmtId="0" fontId="24" fillId="7" borderId="1" xfId="0" applyFont="1" applyFill="1" applyBorder="1" applyAlignment="1">
      <alignment horizontal="center" vertical="center"/>
    </xf>
    <xf numFmtId="0" fontId="15" fillId="0" borderId="0" xfId="0" applyFont="1"/>
    <xf numFmtId="0" fontId="17" fillId="0" borderId="1" xfId="0" applyFont="1" applyFill="1" applyBorder="1" applyAlignment="1" applyProtection="1">
      <alignment horizontal="left" vertical="center" wrapText="1"/>
      <protection locked="0"/>
    </xf>
    <xf numFmtId="0" fontId="2" fillId="0" borderId="12" xfId="0" applyFont="1" applyBorder="1" applyAlignment="1">
      <alignment horizontal="center" vertical="center"/>
    </xf>
    <xf numFmtId="0" fontId="3" fillId="2" borderId="12" xfId="0" applyFont="1" applyFill="1" applyBorder="1" applyAlignment="1">
      <alignment vertical="center" wrapText="1"/>
    </xf>
    <xf numFmtId="0" fontId="15" fillId="0" borderId="12" xfId="0" applyFont="1" applyFill="1" applyBorder="1" applyAlignment="1" applyProtection="1">
      <alignment horizontal="center" vertical="center" wrapText="1"/>
      <protection locked="0"/>
    </xf>
    <xf numFmtId="0" fontId="24" fillId="3" borderId="12" xfId="0" applyFont="1" applyFill="1" applyBorder="1" applyAlignment="1">
      <alignment horizontal="center" vertical="center"/>
    </xf>
    <xf numFmtId="0" fontId="24" fillId="7" borderId="12" xfId="0" applyFont="1" applyFill="1" applyBorder="1" applyAlignment="1">
      <alignment horizontal="center" vertical="center"/>
    </xf>
    <xf numFmtId="0" fontId="17" fillId="0" borderId="7" xfId="0" applyFont="1" applyBorder="1" applyAlignment="1">
      <alignment horizontal="center" vertical="center" wrapText="1"/>
    </xf>
    <xf numFmtId="0" fontId="15" fillId="0" borderId="12" xfId="0" applyFont="1" applyBorder="1" applyAlignment="1">
      <alignment horizontal="center" vertical="center" wrapText="1"/>
    </xf>
    <xf numFmtId="0" fontId="3" fillId="2" borderId="1" xfId="0" applyFont="1" applyFill="1" applyBorder="1" applyAlignment="1">
      <alignment vertical="center" wrapText="1"/>
    </xf>
    <xf numFmtId="0" fontId="3" fillId="2" borderId="7" xfId="0" applyFont="1" applyFill="1" applyBorder="1" applyAlignment="1">
      <alignment vertical="center" wrapText="1"/>
    </xf>
    <xf numFmtId="14" fontId="3" fillId="0" borderId="1" xfId="0" applyNumberFormat="1" applyFont="1" applyBorder="1" applyAlignment="1">
      <alignment horizontal="center" vertical="center" wrapText="1"/>
    </xf>
    <xf numFmtId="14" fontId="3" fillId="0" borderId="1" xfId="0" applyNumberFormat="1" applyFont="1" applyBorder="1" applyAlignment="1">
      <alignment horizontal="center" vertical="center"/>
    </xf>
    <xf numFmtId="14" fontId="20" fillId="0" borderId="1" xfId="0" applyNumberFormat="1" applyFont="1" applyBorder="1" applyAlignment="1">
      <alignment horizontal="center" vertical="center" wrapText="1"/>
    </xf>
    <xf numFmtId="14" fontId="20" fillId="0" borderId="1" xfId="0" applyNumberFormat="1" applyFont="1" applyBorder="1" applyAlignment="1">
      <alignment horizontal="center" vertical="center"/>
    </xf>
    <xf numFmtId="49" fontId="3" fillId="0" borderId="1" xfId="0" quotePrefix="1" applyNumberFormat="1" applyFont="1" applyBorder="1" applyAlignment="1">
      <alignment horizontal="center" vertical="center" wrapText="1"/>
    </xf>
    <xf numFmtId="0" fontId="17" fillId="0" borderId="13" xfId="0" applyFont="1" applyFill="1" applyBorder="1" applyAlignment="1" applyProtection="1">
      <alignment vertical="center" wrapText="1"/>
      <protection locked="0"/>
    </xf>
    <xf numFmtId="0" fontId="17" fillId="0" borderId="14" xfId="0" applyFont="1" applyFill="1" applyBorder="1" applyAlignment="1" applyProtection="1">
      <alignment horizontal="left" vertical="center" wrapText="1"/>
      <protection locked="0"/>
    </xf>
    <xf numFmtId="0" fontId="3" fillId="0" borderId="3" xfId="0" applyFont="1" applyFill="1" applyBorder="1" applyAlignment="1" applyProtection="1">
      <alignment horizontal="center" vertical="center" wrapText="1"/>
      <protection locked="0"/>
    </xf>
    <xf numFmtId="0" fontId="15" fillId="0" borderId="7" xfId="0" applyFont="1" applyBorder="1" applyAlignment="1">
      <alignment horizontal="center" vertical="center" wrapText="1"/>
    </xf>
    <xf numFmtId="0" fontId="2" fillId="0" borderId="3" xfId="0" applyFont="1" applyFill="1" applyBorder="1" applyAlignment="1" applyProtection="1">
      <alignment horizontal="center" vertical="center" wrapText="1"/>
      <protection locked="0"/>
    </xf>
    <xf numFmtId="14" fontId="17" fillId="0" borderId="1" xfId="0" quotePrefix="1" applyNumberFormat="1" applyFont="1" applyBorder="1" applyAlignment="1">
      <alignment horizontal="center" vertical="center" wrapText="1"/>
    </xf>
    <xf numFmtId="14" fontId="2" fillId="0" borderId="1" xfId="0" quotePrefix="1" applyNumberFormat="1" applyFont="1" applyBorder="1" applyAlignment="1">
      <alignment horizontal="center" vertical="center" wrapText="1"/>
    </xf>
    <xf numFmtId="0" fontId="3" fillId="0" borderId="1" xfId="0" applyFont="1" applyBorder="1" applyAlignment="1">
      <alignment horizontal="left" vertical="center"/>
    </xf>
    <xf numFmtId="14" fontId="17" fillId="0" borderId="1" xfId="0" applyNumberFormat="1" applyFont="1" applyBorder="1" applyAlignment="1">
      <alignment horizontal="center" vertical="center"/>
    </xf>
    <xf numFmtId="14" fontId="2" fillId="0" borderId="1" xfId="0" applyNumberFormat="1" applyFont="1" applyBorder="1" applyAlignment="1">
      <alignment horizontal="center" vertical="center"/>
    </xf>
    <xf numFmtId="0" fontId="17" fillId="0" borderId="1" xfId="0" applyFont="1" applyFill="1" applyBorder="1" applyAlignment="1" applyProtection="1">
      <alignment wrapText="1"/>
      <protection locked="0"/>
    </xf>
    <xf numFmtId="0" fontId="17" fillId="0" borderId="1" xfId="0" applyFont="1" applyFill="1" applyBorder="1" applyAlignment="1" applyProtection="1">
      <alignment horizontal="left" wrapText="1"/>
      <protection locked="0"/>
    </xf>
    <xf numFmtId="0" fontId="15" fillId="0" borderId="1" xfId="0" applyFont="1" applyFill="1" applyBorder="1" applyAlignment="1">
      <alignment horizontal="left" vertical="center" wrapText="1"/>
    </xf>
    <xf numFmtId="0" fontId="3" fillId="0" borderId="12" xfId="0" quotePrefix="1" applyFont="1" applyBorder="1" applyAlignment="1">
      <alignment horizontal="center" vertical="center" wrapText="1"/>
    </xf>
    <xf numFmtId="0" fontId="15" fillId="0" borderId="7" xfId="0" applyFont="1" applyFill="1" applyBorder="1" applyAlignment="1" applyProtection="1">
      <alignment horizontal="center" vertical="center" wrapText="1"/>
      <protection locked="0"/>
    </xf>
    <xf numFmtId="0" fontId="15" fillId="0" borderId="7" xfId="0" applyFont="1" applyFill="1" applyBorder="1" applyAlignment="1">
      <alignment horizontal="center" vertical="center" wrapText="1"/>
    </xf>
    <xf numFmtId="0" fontId="3" fillId="0" borderId="1" xfId="0" quotePrefix="1" applyFont="1" applyBorder="1" applyAlignment="1">
      <alignment horizontal="center"/>
    </xf>
    <xf numFmtId="0" fontId="15" fillId="0" borderId="1" xfId="0" applyFont="1" applyBorder="1" applyAlignment="1">
      <alignment vertical="center"/>
    </xf>
    <xf numFmtId="0" fontId="15" fillId="0" borderId="1" xfId="0" applyFont="1" applyFill="1" applyBorder="1" applyAlignment="1">
      <alignment vertical="center"/>
    </xf>
    <xf numFmtId="0" fontId="15" fillId="0" borderId="1" xfId="0" applyFont="1" applyFill="1" applyBorder="1" applyAlignment="1">
      <alignment vertical="center" wrapText="1"/>
    </xf>
    <xf numFmtId="14" fontId="15" fillId="0" borderId="1" xfId="0" applyNumberFormat="1" applyFont="1" applyFill="1" applyBorder="1" applyAlignment="1">
      <alignment horizontal="center" vertical="center"/>
    </xf>
    <xf numFmtId="0" fontId="76" fillId="0" borderId="0" xfId="0" applyFont="1" applyAlignment="1">
      <alignment horizontal="center" vertical="center"/>
    </xf>
    <xf numFmtId="0" fontId="2" fillId="0" borderId="7"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3" fillId="0" borderId="0" xfId="0" applyFont="1"/>
    <xf numFmtId="0" fontId="2" fillId="0" borderId="1" xfId="0" applyFont="1" applyFill="1" applyBorder="1" applyAlignment="1" applyProtection="1">
      <alignment horizontal="left" vertical="center" wrapText="1"/>
      <protection locked="0"/>
    </xf>
    <xf numFmtId="0" fontId="3" fillId="2" borderId="1" xfId="0" quotePrefix="1" applyFont="1" applyFill="1" applyBorder="1" applyAlignment="1">
      <alignment horizontal="center" vertical="center"/>
    </xf>
    <xf numFmtId="0" fontId="3" fillId="3" borderId="1" xfId="0" applyFont="1" applyFill="1" applyBorder="1" applyAlignment="1">
      <alignment horizontal="center" vertical="center"/>
    </xf>
    <xf numFmtId="0" fontId="3" fillId="7" borderId="1" xfId="0" applyFont="1" applyFill="1" applyBorder="1" applyAlignment="1">
      <alignment horizontal="center" vertical="center"/>
    </xf>
    <xf numFmtId="0" fontId="81" fillId="0" borderId="0" xfId="0" applyFont="1" applyAlignment="1">
      <alignment vertical="center"/>
    </xf>
    <xf numFmtId="0" fontId="17" fillId="0" borderId="13" xfId="0" applyFont="1" applyFill="1" applyBorder="1" applyAlignment="1" applyProtection="1">
      <alignment wrapText="1"/>
      <protection locked="0"/>
    </xf>
    <xf numFmtId="0" fontId="17" fillId="0" borderId="14" xfId="0" applyFont="1" applyFill="1" applyBorder="1" applyAlignment="1" applyProtection="1">
      <alignment horizontal="left" wrapText="1"/>
      <protection locked="0"/>
    </xf>
    <xf numFmtId="0" fontId="9" fillId="2" borderId="0" xfId="0" quotePrefix="1" applyFont="1" applyFill="1" applyBorder="1" applyAlignment="1">
      <alignment horizontal="center" vertical="center"/>
    </xf>
    <xf numFmtId="1" fontId="15" fillId="0" borderId="1" xfId="0" quotePrefix="1" applyNumberFormat="1" applyFont="1" applyBorder="1" applyAlignment="1">
      <alignment horizontal="center" vertical="center" wrapText="1"/>
    </xf>
    <xf numFmtId="0" fontId="43" fillId="0" borderId="1" xfId="0" applyFont="1" applyFill="1" applyBorder="1" applyAlignment="1" applyProtection="1">
      <alignment horizontal="left" wrapText="1"/>
      <protection locked="0"/>
    </xf>
    <xf numFmtId="14" fontId="20" fillId="0" borderId="1" xfId="0" quotePrefix="1" applyNumberFormat="1" applyFont="1" applyBorder="1" applyAlignment="1">
      <alignment horizontal="center" vertical="center" wrapText="1"/>
    </xf>
    <xf numFmtId="0" fontId="20" fillId="2" borderId="1" xfId="0" applyFont="1" applyFill="1" applyBorder="1" applyAlignment="1">
      <alignment horizontal="center" vertical="center" wrapText="1"/>
    </xf>
    <xf numFmtId="0" fontId="20" fillId="0" borderId="1" xfId="0" applyFont="1" applyFill="1" applyBorder="1" applyAlignment="1">
      <alignment horizontal="center" vertical="center" wrapText="1"/>
    </xf>
    <xf numFmtId="0" fontId="20" fillId="0" borderId="1" xfId="0" applyFont="1" applyBorder="1" applyAlignment="1">
      <alignment horizontal="center" vertical="center" wrapText="1"/>
    </xf>
    <xf numFmtId="0" fontId="20" fillId="0" borderId="11" xfId="0" applyFont="1" applyBorder="1" applyAlignment="1">
      <alignment horizontal="center" vertical="center" wrapText="1"/>
    </xf>
    <xf numFmtId="14" fontId="20" fillId="0" borderId="12" xfId="0" applyNumberFormat="1" applyFont="1" applyBorder="1" applyAlignment="1">
      <alignment horizontal="center" vertical="center" wrapText="1"/>
    </xf>
    <xf numFmtId="0" fontId="20" fillId="0" borderId="12" xfId="0" applyFont="1" applyBorder="1" applyAlignment="1">
      <alignment horizontal="center" vertical="center" wrapText="1"/>
    </xf>
    <xf numFmtId="14" fontId="20" fillId="0" borderId="12" xfId="0" applyNumberFormat="1" applyFont="1" applyBorder="1" applyAlignment="1">
      <alignment vertical="center" wrapText="1"/>
    </xf>
    <xf numFmtId="0" fontId="2" fillId="0" borderId="1" xfId="0" applyFont="1" applyFill="1" applyBorder="1" applyAlignment="1" applyProtection="1">
      <alignment vertical="center" wrapText="1"/>
      <protection locked="0"/>
    </xf>
    <xf numFmtId="0" fontId="3" fillId="0" borderId="1" xfId="124" applyFont="1" applyFill="1" applyBorder="1" applyAlignment="1">
      <alignment horizontal="center" vertical="center" wrapText="1"/>
    </xf>
    <xf numFmtId="0" fontId="3" fillId="3" borderId="1" xfId="0" applyNumberFormat="1" applyFont="1" applyFill="1" applyBorder="1" applyAlignment="1">
      <alignment horizontal="center" vertical="center" wrapText="1"/>
    </xf>
    <xf numFmtId="0" fontId="3" fillId="7" borderId="1" xfId="0" applyNumberFormat="1" applyFont="1" applyFill="1" applyBorder="1" applyAlignment="1">
      <alignment horizontal="center" vertical="center" wrapText="1"/>
    </xf>
    <xf numFmtId="0" fontId="17" fillId="0" borderId="1" xfId="0" applyFont="1" applyBorder="1" applyAlignment="1">
      <alignment horizontal="left" vertical="center"/>
    </xf>
    <xf numFmtId="49" fontId="3" fillId="0" borderId="1" xfId="104" applyNumberFormat="1" applyFont="1" applyBorder="1" applyAlignment="1">
      <alignment horizontal="center" vertical="center" wrapText="1"/>
    </xf>
    <xf numFmtId="0" fontId="23" fillId="0" borderId="1" xfId="0" applyFont="1" applyBorder="1" applyAlignment="1">
      <alignment horizontal="center" vertical="center" wrapText="1"/>
    </xf>
    <xf numFmtId="0" fontId="15" fillId="0" borderId="1" xfId="0" quotePrefix="1" applyFont="1" applyBorder="1" applyAlignment="1">
      <alignment horizontal="center" vertical="center" wrapText="1"/>
    </xf>
    <xf numFmtId="0" fontId="15" fillId="0" borderId="1" xfId="0" applyFont="1" applyBorder="1" applyAlignment="1">
      <alignment horizontal="left" vertical="center" wrapText="1"/>
    </xf>
    <xf numFmtId="0" fontId="90" fillId="0" borderId="1" xfId="0" applyFont="1" applyBorder="1" applyAlignment="1">
      <alignment horizontal="center" vertical="center"/>
    </xf>
    <xf numFmtId="0" fontId="9" fillId="0" borderId="0" xfId="0" applyFont="1" applyAlignment="1"/>
    <xf numFmtId="0" fontId="2" fillId="0" borderId="0" xfId="0" applyFont="1" applyAlignment="1">
      <alignment vertical="center"/>
    </xf>
    <xf numFmtId="0" fontId="19" fillId="9" borderId="1" xfId="0" applyFont="1" applyFill="1" applyBorder="1" applyAlignment="1">
      <alignment horizontal="center" vertical="center" wrapText="1"/>
    </xf>
    <xf numFmtId="0" fontId="90" fillId="0" borderId="0" xfId="0" applyFont="1" applyBorder="1"/>
    <xf numFmtId="0" fontId="27" fillId="0" borderId="0" xfId="0" quotePrefix="1" applyFont="1" applyBorder="1" applyAlignment="1">
      <alignment horizontal="center" vertical="center" wrapText="1"/>
    </xf>
    <xf numFmtId="0" fontId="2" fillId="3" borderId="7" xfId="0" applyFont="1" applyFill="1" applyBorder="1" applyAlignment="1" applyProtection="1">
      <alignment horizontal="center" vertical="center" wrapText="1"/>
      <protection locked="0"/>
    </xf>
    <xf numFmtId="14" fontId="91" fillId="0" borderId="1" xfId="0" quotePrefix="1" applyNumberFormat="1" applyFont="1" applyBorder="1" applyAlignment="1">
      <alignment horizontal="center" vertical="center" wrapText="1"/>
    </xf>
    <xf numFmtId="14" fontId="91" fillId="0" borderId="1" xfId="0" applyNumberFormat="1" applyFont="1" applyBorder="1" applyAlignment="1">
      <alignment horizontal="center" vertical="center"/>
    </xf>
    <xf numFmtId="14" fontId="91" fillId="12" borderId="1" xfId="0" applyNumberFormat="1" applyFont="1" applyFill="1" applyBorder="1" applyAlignment="1">
      <alignment horizontal="center" vertical="center"/>
    </xf>
    <xf numFmtId="0" fontId="91" fillId="0" borderId="1" xfId="0" quotePrefix="1" applyFont="1" applyBorder="1" applyAlignment="1">
      <alignment horizontal="center" vertical="center"/>
    </xf>
    <xf numFmtId="0" fontId="35" fillId="0" borderId="1" xfId="0" quotePrefix="1" applyFont="1" applyFill="1" applyBorder="1" applyAlignment="1" applyProtection="1">
      <alignment horizontal="justify" vertical="center" wrapText="1"/>
    </xf>
    <xf numFmtId="0" fontId="88" fillId="0" borderId="1" xfId="0" applyNumberFormat="1" applyFont="1" applyFill="1" applyBorder="1" applyAlignment="1" applyProtection="1">
      <alignment horizontal="center" vertical="center" wrapText="1"/>
      <protection locked="0"/>
    </xf>
    <xf numFmtId="0" fontId="90" fillId="0" borderId="0" xfId="0" applyFont="1" applyAlignment="1">
      <alignment vertical="center"/>
    </xf>
    <xf numFmtId="0" fontId="43" fillId="0" borderId="1" xfId="0" applyFont="1" applyFill="1" applyBorder="1" applyAlignment="1" applyProtection="1">
      <alignment horizontal="left" vertical="center" wrapText="1"/>
      <protection locked="0"/>
    </xf>
    <xf numFmtId="0" fontId="6" fillId="0" borderId="1" xfId="0" applyFont="1" applyBorder="1" applyAlignment="1">
      <alignment horizontal="center" vertical="center" wrapText="1"/>
    </xf>
    <xf numFmtId="14" fontId="92" fillId="0" borderId="1" xfId="0" quotePrefix="1" applyNumberFormat="1" applyFont="1" applyBorder="1" applyAlignment="1">
      <alignment horizontal="center" vertical="center" wrapText="1"/>
    </xf>
    <xf numFmtId="14" fontId="93" fillId="0" borderId="1" xfId="0" quotePrefix="1" applyNumberFormat="1" applyFont="1" applyBorder="1" applyAlignment="1">
      <alignment horizontal="center" vertical="center" wrapText="1"/>
    </xf>
    <xf numFmtId="14" fontId="93" fillId="0" borderId="1" xfId="0" applyNumberFormat="1" applyFont="1" applyBorder="1" applyAlignment="1">
      <alignment horizontal="center" vertical="center"/>
    </xf>
    <xf numFmtId="0" fontId="85" fillId="0" borderId="1" xfId="0" quotePrefix="1" applyFont="1" applyFill="1" applyBorder="1" applyAlignment="1" applyProtection="1">
      <alignment horizontal="center" vertical="center" wrapText="1"/>
      <protection locked="0"/>
    </xf>
    <xf numFmtId="0" fontId="2" fillId="9" borderId="1" xfId="0" applyFont="1" applyFill="1" applyBorder="1" applyAlignment="1" applyProtection="1">
      <alignment horizontal="center" vertical="center" wrapText="1"/>
      <protection locked="0"/>
    </xf>
    <xf numFmtId="0" fontId="2" fillId="10" borderId="1" xfId="0" applyFont="1" applyFill="1" applyBorder="1" applyAlignment="1" applyProtection="1">
      <alignment horizontal="center" vertical="center" wrapText="1"/>
      <protection locked="0"/>
    </xf>
    <xf numFmtId="0" fontId="7" fillId="9" borderId="1" xfId="0" applyFont="1" applyFill="1" applyBorder="1" applyAlignment="1" applyProtection="1">
      <alignment horizontal="center" vertical="center" wrapText="1"/>
      <protection locked="0"/>
    </xf>
    <xf numFmtId="0" fontId="93" fillId="0" borderId="1" xfId="0" applyFont="1" applyBorder="1" applyAlignment="1">
      <alignment horizontal="center" vertical="center" wrapText="1"/>
    </xf>
    <xf numFmtId="14" fontId="91" fillId="0" borderId="1" xfId="0" quotePrefix="1" applyNumberFormat="1" applyFont="1" applyBorder="1" applyAlignment="1">
      <alignment horizontal="center" vertical="center" wrapText="1"/>
    </xf>
    <xf numFmtId="14" fontId="91" fillId="0" borderId="1" xfId="0" applyNumberFormat="1" applyFont="1" applyBorder="1" applyAlignment="1">
      <alignment horizontal="center" vertical="center"/>
    </xf>
    <xf numFmtId="0" fontId="91" fillId="0" borderId="1" xfId="0" applyFont="1" applyBorder="1" applyAlignment="1">
      <alignment horizontal="center" vertical="center"/>
    </xf>
    <xf numFmtId="0" fontId="85" fillId="0" borderId="1" xfId="0" quotePrefix="1" applyNumberFormat="1" applyFont="1" applyFill="1" applyBorder="1" applyAlignment="1" applyProtection="1">
      <alignment horizontal="center" vertical="center" wrapText="1"/>
      <protection locked="0"/>
    </xf>
    <xf numFmtId="0" fontId="96" fillId="0" borderId="1" xfId="0" applyFont="1" applyFill="1" applyBorder="1" applyAlignment="1" applyProtection="1">
      <alignment horizontal="center" vertical="center" wrapText="1"/>
      <protection locked="0"/>
    </xf>
    <xf numFmtId="0" fontId="15" fillId="0" borderId="1" xfId="0" quotePrefix="1" applyNumberFormat="1" applyFont="1" applyBorder="1" applyAlignment="1">
      <alignment horizontal="center" vertical="center" wrapText="1"/>
    </xf>
    <xf numFmtId="0" fontId="15" fillId="0" borderId="1" xfId="0" applyNumberFormat="1" applyFont="1" applyBorder="1" applyAlignment="1">
      <alignment horizontal="center" vertical="center" wrapText="1"/>
    </xf>
    <xf numFmtId="165" fontId="27" fillId="0" borderId="1" xfId="0" applyNumberFormat="1" applyFont="1" applyFill="1" applyBorder="1" applyAlignment="1">
      <alignment horizontal="center" vertical="center" wrapText="1"/>
    </xf>
    <xf numFmtId="14" fontId="65" fillId="0" borderId="1" xfId="0" quotePrefix="1" applyNumberFormat="1" applyFont="1" applyFill="1" applyBorder="1" applyAlignment="1">
      <alignment horizontal="center" vertical="center" wrapText="1"/>
    </xf>
    <xf numFmtId="14" fontId="34" fillId="0" borderId="3" xfId="0" quotePrefix="1" applyNumberFormat="1" applyFont="1" applyFill="1" applyBorder="1" applyAlignment="1">
      <alignment horizontal="center" vertical="center" wrapText="1"/>
    </xf>
    <xf numFmtId="14" fontId="30" fillId="0" borderId="1" xfId="0" quotePrefix="1" applyNumberFormat="1" applyFont="1" applyFill="1" applyBorder="1" applyAlignment="1">
      <alignment horizontal="center" vertical="center" wrapText="1"/>
    </xf>
    <xf numFmtId="14" fontId="27" fillId="0" borderId="1" xfId="0" quotePrefix="1" applyNumberFormat="1" applyFont="1" applyFill="1" applyBorder="1" applyAlignment="1">
      <alignment horizontal="center" vertical="center" wrapText="1"/>
    </xf>
    <xf numFmtId="14" fontId="34" fillId="0" borderId="1" xfId="0" quotePrefix="1" applyNumberFormat="1" applyFont="1" applyFill="1" applyBorder="1" applyAlignment="1">
      <alignment horizontal="center" vertical="center" wrapText="1"/>
    </xf>
    <xf numFmtId="9" fontId="24" fillId="0" borderId="7" xfId="0" applyNumberFormat="1" applyFont="1" applyFill="1" applyBorder="1" applyAlignment="1">
      <alignment horizontal="center" vertical="center" wrapText="1"/>
    </xf>
    <xf numFmtId="0" fontId="27" fillId="0" borderId="1" xfId="0" applyFont="1" applyFill="1" applyBorder="1" applyAlignment="1">
      <alignment horizontal="center" vertical="center" wrapText="1"/>
    </xf>
    <xf numFmtId="0" fontId="0" fillId="0" borderId="0" xfId="0" applyFill="1"/>
    <xf numFmtId="0" fontId="3" fillId="0" borderId="9" xfId="0" quotePrefix="1" applyFont="1" applyBorder="1" applyAlignment="1">
      <alignment horizontal="center" vertical="center" wrapText="1"/>
    </xf>
    <xf numFmtId="0" fontId="3" fillId="0" borderId="1" xfId="0" applyFont="1" applyFill="1" applyBorder="1" applyAlignment="1">
      <alignment horizontal="center" vertical="center"/>
    </xf>
    <xf numFmtId="49" fontId="3" fillId="2" borderId="9" xfId="0" applyNumberFormat="1" applyFont="1" applyFill="1" applyBorder="1" applyAlignment="1">
      <alignment horizontal="left" vertical="center" wrapText="1"/>
    </xf>
    <xf numFmtId="0" fontId="3" fillId="0" borderId="9" xfId="0" quotePrefix="1" applyFont="1" applyFill="1" applyBorder="1" applyAlignment="1" applyProtection="1">
      <alignment horizontal="center" vertical="center" wrapText="1"/>
      <protection locked="0"/>
    </xf>
    <xf numFmtId="0" fontId="15" fillId="0" borderId="9" xfId="0" quotePrefix="1" applyNumberFormat="1" applyFont="1" applyBorder="1" applyAlignment="1">
      <alignment horizontal="center" vertical="center" wrapText="1"/>
    </xf>
    <xf numFmtId="0" fontId="15" fillId="3" borderId="9" xfId="0" applyFont="1" applyFill="1" applyBorder="1" applyAlignment="1">
      <alignment horizontal="center" vertical="center"/>
    </xf>
    <xf numFmtId="0" fontId="15" fillId="7" borderId="9" xfId="0" applyFont="1" applyFill="1" applyBorder="1" applyAlignment="1">
      <alignment horizontal="center" vertical="center"/>
    </xf>
    <xf numFmtId="0" fontId="15" fillId="0" borderId="9" xfId="0" applyNumberFormat="1" applyFont="1" applyBorder="1" applyAlignment="1">
      <alignment horizontal="center" vertical="center" wrapText="1"/>
    </xf>
    <xf numFmtId="0" fontId="15" fillId="0" borderId="9" xfId="0" applyFont="1" applyBorder="1" applyAlignment="1">
      <alignment horizontal="center" vertical="center" wrapText="1"/>
    </xf>
    <xf numFmtId="0" fontId="20" fillId="0" borderId="1" xfId="0" applyFont="1" applyFill="1" applyBorder="1" applyAlignment="1" applyProtection="1">
      <alignment vertical="center" wrapText="1"/>
      <protection locked="0"/>
    </xf>
    <xf numFmtId="14" fontId="92" fillId="0" borderId="1" xfId="0" applyNumberFormat="1" applyFont="1" applyBorder="1" applyAlignment="1">
      <alignment horizontal="center" vertical="center"/>
    </xf>
    <xf numFmtId="0" fontId="16" fillId="0" borderId="1" xfId="0" applyFont="1" applyFill="1" applyBorder="1" applyAlignment="1" applyProtection="1">
      <alignment horizontal="center" vertical="center" wrapText="1"/>
      <protection locked="0"/>
    </xf>
    <xf numFmtId="0" fontId="92" fillId="0" borderId="1" xfId="0" quotePrefix="1" applyFont="1" applyBorder="1" applyAlignment="1">
      <alignment horizontal="center" vertical="center"/>
    </xf>
    <xf numFmtId="0" fontId="92" fillId="0" borderId="0" xfId="0" applyFont="1" applyBorder="1" applyAlignment="1">
      <alignment horizontal="left" vertical="center" wrapText="1"/>
    </xf>
    <xf numFmtId="1" fontId="86" fillId="9" borderId="1" xfId="0" quotePrefix="1" applyNumberFormat="1" applyFont="1" applyFill="1" applyBorder="1" applyAlignment="1" applyProtection="1">
      <alignment horizontal="justify" vertical="center" wrapText="1"/>
      <protection locked="0"/>
    </xf>
    <xf numFmtId="0" fontId="94" fillId="0" borderId="1" xfId="0" applyFont="1" applyBorder="1" applyAlignment="1">
      <alignment horizontal="center" vertical="center" wrapText="1"/>
    </xf>
    <xf numFmtId="0" fontId="93" fillId="0" borderId="1" xfId="0" quotePrefix="1" applyFont="1" applyBorder="1" applyAlignment="1">
      <alignment horizontal="center" vertical="center" wrapText="1"/>
    </xf>
    <xf numFmtId="0" fontId="19" fillId="0" borderId="1" xfId="0" applyFont="1" applyFill="1" applyBorder="1" applyAlignment="1" applyProtection="1">
      <alignment horizontal="center" vertical="center" wrapText="1"/>
      <protection locked="0"/>
    </xf>
    <xf numFmtId="0" fontId="93" fillId="0" borderId="1" xfId="0" applyFont="1" applyBorder="1" applyAlignment="1">
      <alignment horizontal="left" vertical="center"/>
    </xf>
    <xf numFmtId="0" fontId="19" fillId="12"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93" fillId="0" borderId="0" xfId="0" applyFont="1" applyBorder="1" applyAlignment="1">
      <alignment horizontal="center" vertical="center" wrapText="1"/>
    </xf>
    <xf numFmtId="0" fontId="2" fillId="0" borderId="0" xfId="0" applyFont="1" applyFill="1" applyAlignment="1" applyProtection="1">
      <alignment horizontal="center" vertical="center" wrapText="1"/>
      <protection locked="0"/>
    </xf>
    <xf numFmtId="0" fontId="90" fillId="0" borderId="0" xfId="0" applyFont="1" applyFill="1"/>
    <xf numFmtId="0" fontId="90" fillId="0" borderId="0" xfId="0" applyFont="1" applyFill="1" applyAlignment="1">
      <alignment wrapText="1"/>
    </xf>
    <xf numFmtId="0" fontId="100" fillId="0" borderId="0" xfId="0" applyFont="1" applyFill="1" applyAlignment="1">
      <alignment horizontal="left"/>
    </xf>
    <xf numFmtId="0" fontId="15" fillId="0" borderId="1" xfId="0" applyFont="1" applyFill="1" applyBorder="1" applyAlignment="1">
      <alignment horizontal="center" vertical="center" wrapText="1"/>
    </xf>
    <xf numFmtId="0" fontId="15" fillId="0" borderId="12" xfId="0" applyFont="1" applyFill="1" applyBorder="1" applyAlignment="1">
      <alignment horizontal="center" vertical="center" wrapText="1"/>
    </xf>
    <xf numFmtId="0" fontId="15" fillId="11" borderId="1" xfId="0" applyFont="1" applyFill="1" applyBorder="1" applyAlignment="1">
      <alignment horizontal="center" vertical="center" wrapText="1"/>
    </xf>
    <xf numFmtId="0" fontId="15" fillId="14" borderId="1" xfId="0" applyFont="1" applyFill="1" applyBorder="1" applyAlignment="1">
      <alignment horizontal="center" vertical="center" wrapText="1"/>
    </xf>
    <xf numFmtId="0" fontId="15" fillId="15" borderId="1" xfId="0" applyFont="1" applyFill="1" applyBorder="1" applyAlignment="1">
      <alignment horizontal="center" vertical="center" wrapText="1"/>
    </xf>
    <xf numFmtId="0" fontId="2" fillId="0" borderId="0" xfId="0" applyFont="1" applyFill="1" applyAlignment="1" applyProtection="1">
      <alignment horizontal="center" vertical="center" wrapText="1"/>
      <protection locked="0"/>
    </xf>
    <xf numFmtId="0" fontId="15" fillId="0" borderId="0" xfId="0" quotePrefix="1" applyFont="1" applyFill="1" applyAlignment="1">
      <alignment horizontal="left"/>
    </xf>
    <xf numFmtId="0" fontId="15" fillId="0" borderId="0" xfId="0" quotePrefix="1" applyFont="1"/>
    <xf numFmtId="0" fontId="15" fillId="0" borderId="0" xfId="0" applyFont="1" applyFill="1"/>
    <xf numFmtId="0" fontId="17"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167" fontId="15" fillId="0" borderId="1" xfId="0" applyNumberFormat="1" applyFont="1" applyFill="1" applyBorder="1" applyAlignment="1">
      <alignment horizontal="center" vertical="center" wrapText="1"/>
    </xf>
    <xf numFmtId="167" fontId="15" fillId="14" borderId="1" xfId="0" applyNumberFormat="1" applyFont="1" applyFill="1" applyBorder="1" applyAlignment="1">
      <alignment horizontal="center" vertical="center" wrapText="1"/>
    </xf>
    <xf numFmtId="0" fontId="2" fillId="0" borderId="1" xfId="0" applyFont="1" applyFill="1" applyBorder="1" applyAlignment="1" applyProtection="1">
      <alignment horizontal="center" vertical="justify" wrapText="1"/>
    </xf>
    <xf numFmtId="0" fontId="85"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2" borderId="5" xfId="0" applyFont="1" applyFill="1" applyBorder="1" applyAlignment="1">
      <alignment horizontal="center" vertical="center" wrapText="1"/>
    </xf>
    <xf numFmtId="0" fontId="3" fillId="0" borderId="1" xfId="0" applyFont="1" applyBorder="1" applyAlignment="1">
      <alignment vertical="center" wrapText="1"/>
    </xf>
    <xf numFmtId="0" fontId="7" fillId="10" borderId="1" xfId="0" quotePrefix="1" applyNumberFormat="1" applyFont="1" applyFill="1" applyBorder="1" applyAlignment="1" applyProtection="1">
      <alignment horizontal="justify" vertical="center" wrapText="1"/>
      <protection locked="0"/>
    </xf>
    <xf numFmtId="0" fontId="35" fillId="0" borderId="1" xfId="0" applyFont="1" applyFill="1" applyBorder="1" applyAlignment="1" applyProtection="1">
      <alignment horizontal="justify" vertical="center" wrapText="1"/>
      <protection locked="0"/>
    </xf>
    <xf numFmtId="0" fontId="19" fillId="0" borderId="1" xfId="0" applyFont="1" applyBorder="1" applyAlignment="1">
      <alignment horizontal="center" vertical="center" wrapText="1"/>
    </xf>
    <xf numFmtId="0" fontId="15" fillId="0" borderId="0" xfId="0" applyFont="1" applyAlignment="1">
      <alignment horizontal="center" vertical="center"/>
    </xf>
    <xf numFmtId="9" fontId="101" fillId="0" borderId="1" xfId="0" applyNumberFormat="1" applyFont="1" applyBorder="1" applyAlignment="1">
      <alignment horizontal="center" vertical="center" wrapText="1"/>
    </xf>
    <xf numFmtId="14" fontId="101" fillId="0" borderId="1" xfId="0" quotePrefix="1" applyNumberFormat="1" applyFont="1" applyBorder="1" applyAlignment="1">
      <alignment horizontal="center" vertical="center" wrapText="1"/>
    </xf>
    <xf numFmtId="14" fontId="101" fillId="0" borderId="1" xfId="0" applyNumberFormat="1" applyFont="1" applyBorder="1" applyAlignment="1">
      <alignment horizontal="center" vertical="center"/>
    </xf>
    <xf numFmtId="14" fontId="14" fillId="0" borderId="1" xfId="0" applyNumberFormat="1" applyFont="1" applyBorder="1" applyAlignment="1">
      <alignment horizontal="center" vertical="center" wrapText="1"/>
    </xf>
    <xf numFmtId="1" fontId="86" fillId="10" borderId="1" xfId="109" quotePrefix="1" applyNumberFormat="1" applyFont="1" applyFill="1" applyBorder="1" applyAlignment="1" applyProtection="1">
      <alignment horizontal="justify" vertical="center" wrapText="1"/>
      <protection locked="0"/>
    </xf>
    <xf numFmtId="0" fontId="86" fillId="10" borderId="1" xfId="0" applyNumberFormat="1" applyFont="1" applyFill="1" applyBorder="1" applyAlignment="1" applyProtection="1">
      <alignment horizontal="justify" vertical="center" wrapText="1"/>
      <protection locked="0"/>
    </xf>
    <xf numFmtId="0" fontId="2"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 fillId="0" borderId="0" xfId="0" applyFont="1" applyFill="1" applyAlignment="1" applyProtection="1">
      <alignment horizontal="center" vertical="center" wrapText="1"/>
      <protection locked="0"/>
    </xf>
    <xf numFmtId="0" fontId="15" fillId="11" borderId="12" xfId="0" applyFont="1" applyFill="1" applyBorder="1" applyAlignment="1">
      <alignment horizontal="center" vertical="center" wrapText="1"/>
    </xf>
    <xf numFmtId="0" fontId="90" fillId="14" borderId="0" xfId="0" applyFont="1" applyFill="1"/>
    <xf numFmtId="0" fontId="15" fillId="14" borderId="12" xfId="0" applyFont="1" applyFill="1" applyBorder="1" applyAlignment="1">
      <alignment horizontal="center" vertical="center" wrapText="1"/>
    </xf>
    <xf numFmtId="0" fontId="88" fillId="0" borderId="1" xfId="0" applyFont="1" applyFill="1" applyBorder="1" applyAlignment="1" applyProtection="1">
      <alignment horizontal="justify" vertical="center" wrapText="1"/>
      <protection locked="0"/>
    </xf>
    <xf numFmtId="0" fontId="88" fillId="0" borderId="1" xfId="0" applyFont="1" applyFill="1" applyBorder="1" applyAlignment="1" applyProtection="1">
      <alignment horizontal="left" vertical="center" wrapText="1"/>
      <protection locked="0"/>
    </xf>
    <xf numFmtId="9" fontId="17" fillId="0" borderId="7" xfId="0" applyNumberFormat="1" applyFont="1" applyBorder="1" applyAlignment="1">
      <alignment horizontal="center" vertical="center" wrapText="1"/>
    </xf>
    <xf numFmtId="0" fontId="95" fillId="0" borderId="1" xfId="0" applyFont="1" applyFill="1" applyBorder="1" applyAlignment="1">
      <alignment vertical="center" wrapText="1"/>
    </xf>
    <xf numFmtId="0" fontId="3" fillId="0" borderId="1" xfId="0" applyFont="1" applyBorder="1" applyAlignment="1">
      <alignment horizontal="center" vertical="center"/>
    </xf>
    <xf numFmtId="49" fontId="3" fillId="0" borderId="1" xfId="0" quotePrefix="1" applyNumberFormat="1" applyFont="1" applyFill="1" applyBorder="1" applyAlignment="1" applyProtection="1">
      <alignment horizontal="center" vertical="center" wrapText="1"/>
      <protection locked="0"/>
    </xf>
    <xf numFmtId="0" fontId="17" fillId="0" borderId="2" xfId="0" applyFont="1" applyFill="1" applyBorder="1" applyAlignment="1" applyProtection="1">
      <alignment horizontal="center" vertical="center" wrapText="1"/>
      <protection locked="0"/>
    </xf>
    <xf numFmtId="0" fontId="2" fillId="0" borderId="0" xfId="0" applyFont="1" applyAlignment="1">
      <alignment horizontal="center"/>
    </xf>
    <xf numFmtId="0" fontId="43" fillId="0" borderId="1" xfId="0" quotePrefix="1" applyFont="1" applyFill="1" applyBorder="1" applyAlignment="1" applyProtection="1">
      <alignment horizontal="justify"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9" xfId="0" applyFont="1" applyFill="1" applyBorder="1" applyAlignment="1" applyProtection="1">
      <alignment horizontal="center" vertical="center" wrapText="1"/>
      <protection locked="0"/>
    </xf>
    <xf numFmtId="0" fontId="3" fillId="0" borderId="19" xfId="0" applyFont="1" applyFill="1" applyBorder="1" applyAlignment="1" applyProtection="1">
      <alignment horizontal="center" vertical="center" wrapText="1"/>
      <protection locked="0"/>
    </xf>
    <xf numFmtId="0" fontId="2" fillId="0" borderId="19" xfId="0" applyFont="1" applyFill="1" applyBorder="1" applyAlignment="1" applyProtection="1">
      <alignment horizontal="center" vertical="center" wrapText="1"/>
      <protection locked="0"/>
    </xf>
    <xf numFmtId="0" fontId="3" fillId="16" borderId="19" xfId="0" applyFont="1" applyFill="1" applyBorder="1" applyAlignment="1" applyProtection="1">
      <alignment vertical="center" wrapText="1"/>
      <protection locked="0"/>
    </xf>
    <xf numFmtId="0" fontId="3" fillId="16" borderId="19" xfId="0" applyFont="1" applyFill="1" applyBorder="1" applyAlignment="1" applyProtection="1">
      <alignment horizontal="center" vertical="center" wrapText="1"/>
      <protection locked="0"/>
    </xf>
    <xf numFmtId="0" fontId="12" fillId="16" borderId="19" xfId="0" applyFont="1" applyFill="1" applyBorder="1" applyAlignment="1">
      <alignment horizontal="center" vertical="center" wrapText="1"/>
    </xf>
    <xf numFmtId="0" fontId="15" fillId="16" borderId="19" xfId="0" applyFont="1" applyFill="1" applyBorder="1" applyAlignment="1">
      <alignment vertical="center" wrapText="1"/>
    </xf>
    <xf numFmtId="0" fontId="2" fillId="16" borderId="19" xfId="0" applyFont="1" applyFill="1" applyBorder="1" applyAlignment="1" applyProtection="1">
      <alignment horizontal="center" vertical="center" wrapText="1"/>
      <protection locked="0"/>
    </xf>
    <xf numFmtId="0" fontId="12" fillId="0" borderId="0" xfId="0" applyFont="1" applyFill="1" applyBorder="1" applyAlignment="1">
      <alignment horizontal="center" vertical="center" wrapText="1"/>
    </xf>
    <xf numFmtId="0" fontId="15" fillId="0" borderId="0" xfId="0" applyFont="1" applyFill="1" applyBorder="1" applyAlignment="1">
      <alignment vertical="center" wrapText="1"/>
    </xf>
    <xf numFmtId="0" fontId="3" fillId="0" borderId="0" xfId="0" applyFont="1" applyFill="1" applyBorder="1" applyAlignment="1" applyProtection="1">
      <alignment horizontal="center" vertical="center" wrapText="1"/>
      <protection locked="0"/>
    </xf>
    <xf numFmtId="10" fontId="3" fillId="0" borderId="0" xfId="0" applyNumberFormat="1" applyFont="1" applyFill="1" applyBorder="1" applyAlignment="1" applyProtection="1">
      <alignment horizontal="center" vertical="center" wrapText="1"/>
      <protection locked="0"/>
    </xf>
    <xf numFmtId="0" fontId="12" fillId="0" borderId="0" xfId="0" applyFont="1" applyFill="1" applyBorder="1" applyAlignment="1">
      <alignment vertical="center" wrapText="1"/>
    </xf>
    <xf numFmtId="0" fontId="3" fillId="0" borderId="19" xfId="0" applyFont="1" applyFill="1" applyBorder="1" applyAlignment="1" applyProtection="1">
      <alignment horizontal="center" vertical="center" wrapText="1"/>
      <protection locked="0"/>
    </xf>
    <xf numFmtId="167" fontId="3" fillId="0" borderId="19" xfId="0" applyNumberFormat="1" applyFont="1" applyFill="1" applyBorder="1" applyAlignment="1" applyProtection="1">
      <alignment horizontal="center" vertical="center" wrapText="1"/>
      <protection locked="0"/>
    </xf>
    <xf numFmtId="167" fontId="2" fillId="0" borderId="19" xfId="0" applyNumberFormat="1" applyFont="1" applyFill="1" applyBorder="1" applyAlignment="1" applyProtection="1">
      <alignment horizontal="center" vertical="center" wrapText="1"/>
      <protection locked="0"/>
    </xf>
    <xf numFmtId="0" fontId="10"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167" fontId="3" fillId="0" borderId="0" xfId="0" applyNumberFormat="1" applyFont="1" applyFill="1" applyBorder="1" applyAlignment="1" applyProtection="1">
      <alignment horizontal="center" vertical="center" wrapText="1"/>
      <protection locked="0"/>
    </xf>
    <xf numFmtId="167" fontId="2" fillId="0" borderId="0" xfId="0" applyNumberFormat="1" applyFont="1" applyFill="1" applyBorder="1" applyAlignment="1" applyProtection="1">
      <alignment horizontal="center" vertical="center" wrapText="1"/>
      <protection locked="0"/>
    </xf>
    <xf numFmtId="167" fontId="3" fillId="16" borderId="19" xfId="0" applyNumberFormat="1"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0" fontId="3" fillId="0" borderId="21" xfId="0" applyFont="1" applyFill="1" applyBorder="1" applyAlignment="1" applyProtection="1">
      <alignment horizontal="center" vertical="center" wrapText="1"/>
      <protection locked="0"/>
    </xf>
    <xf numFmtId="0" fontId="2" fillId="0" borderId="21" xfId="0" applyFont="1" applyFill="1" applyBorder="1" applyAlignment="1" applyProtection="1">
      <alignment horizontal="center" vertical="center" wrapText="1"/>
      <protection locked="0"/>
    </xf>
    <xf numFmtId="167" fontId="2" fillId="0" borderId="21" xfId="0" applyNumberFormat="1" applyFont="1" applyFill="1" applyBorder="1" applyAlignment="1" applyProtection="1">
      <alignment horizontal="center" vertical="center" wrapText="1"/>
      <protection locked="0"/>
    </xf>
    <xf numFmtId="0" fontId="15" fillId="16" borderId="21" xfId="0" applyFont="1" applyFill="1" applyBorder="1" applyAlignment="1">
      <alignment vertical="center" wrapText="1"/>
    </xf>
    <xf numFmtId="0" fontId="15" fillId="0" borderId="0" xfId="0" applyFont="1" applyFill="1" applyAlignment="1">
      <alignment horizontal="left"/>
    </xf>
    <xf numFmtId="0" fontId="17" fillId="0" borderId="0" xfId="0" applyFont="1" applyFill="1" applyAlignment="1">
      <alignment horizontal="left"/>
    </xf>
    <xf numFmtId="0" fontId="3" fillId="0" borderId="0" xfId="0" applyFont="1" applyFill="1"/>
    <xf numFmtId="0" fontId="3" fillId="0" borderId="0" xfId="0" applyFont="1" applyFill="1" applyAlignment="1">
      <alignment wrapText="1"/>
    </xf>
    <xf numFmtId="0" fontId="3" fillId="0" borderId="12" xfId="0" applyFont="1" applyFill="1" applyBorder="1" applyAlignment="1">
      <alignment horizontal="center" vertical="center" wrapText="1"/>
    </xf>
    <xf numFmtId="0" fontId="3" fillId="0" borderId="1" xfId="0" applyFont="1" applyFill="1" applyBorder="1" applyAlignment="1">
      <alignment horizontal="center" vertical="center" wrapText="1"/>
    </xf>
    <xf numFmtId="167" fontId="3" fillId="0" borderId="1" xfId="0" applyNumberFormat="1" applyFont="1" applyFill="1" applyBorder="1" applyAlignment="1">
      <alignment horizontal="center" vertical="center" wrapText="1"/>
    </xf>
    <xf numFmtId="0" fontId="3" fillId="11" borderId="12" xfId="0" applyFont="1" applyFill="1" applyBorder="1" applyAlignment="1">
      <alignment horizontal="center" vertical="center" wrapText="1"/>
    </xf>
    <xf numFmtId="0" fontId="3" fillId="11" borderId="1" xfId="0" applyFont="1" applyFill="1" applyBorder="1" applyAlignment="1">
      <alignment vertical="center" wrapText="1"/>
    </xf>
    <xf numFmtId="0" fontId="3" fillId="11" borderId="1" xfId="0" applyFont="1" applyFill="1" applyBorder="1" applyAlignment="1">
      <alignment horizontal="center" vertical="center" wrapText="1"/>
    </xf>
    <xf numFmtId="0" fontId="3" fillId="0" borderId="1" xfId="0" applyFont="1" applyFill="1" applyBorder="1" applyAlignment="1">
      <alignment wrapText="1"/>
    </xf>
    <xf numFmtId="0" fontId="3" fillId="0" borderId="1" xfId="0" applyFont="1" applyFill="1" applyBorder="1"/>
    <xf numFmtId="0" fontId="3" fillId="17" borderId="12" xfId="0" applyFont="1" applyFill="1" applyBorder="1" applyAlignment="1">
      <alignment horizontal="center" vertical="center" wrapText="1"/>
    </xf>
    <xf numFmtId="167" fontId="3" fillId="17" borderId="1" xfId="0" applyNumberFormat="1" applyFont="1" applyFill="1" applyBorder="1" applyAlignment="1">
      <alignment horizontal="center" vertical="center" wrapText="1"/>
    </xf>
    <xf numFmtId="0" fontId="18" fillId="13" borderId="1" xfId="0" applyFont="1" applyFill="1" applyBorder="1" applyAlignment="1">
      <alignment horizontal="center" vertical="center" wrapText="1"/>
    </xf>
    <xf numFmtId="0" fontId="3" fillId="13" borderId="12" xfId="0" applyFont="1" applyFill="1" applyBorder="1" applyAlignment="1">
      <alignment horizontal="center" vertical="center" wrapText="1"/>
    </xf>
    <xf numFmtId="167" fontId="3" fillId="13" borderId="1" xfId="0" applyNumberFormat="1" applyFont="1" applyFill="1" applyBorder="1" applyAlignment="1">
      <alignment horizontal="center" vertical="center" wrapText="1"/>
    </xf>
    <xf numFmtId="0" fontId="18" fillId="16" borderId="1" xfId="0" applyFont="1" applyFill="1" applyBorder="1" applyAlignment="1">
      <alignment horizontal="center" vertical="center" wrapText="1"/>
    </xf>
    <xf numFmtId="0" fontId="3" fillId="16" borderId="12" xfId="0" applyFont="1" applyFill="1" applyBorder="1" applyAlignment="1">
      <alignment horizontal="center" vertical="center" wrapText="1"/>
    </xf>
    <xf numFmtId="167" fontId="3" fillId="16" borderId="1" xfId="0" applyNumberFormat="1" applyFont="1" applyFill="1" applyBorder="1" applyAlignment="1">
      <alignment horizontal="center" vertical="center" wrapText="1"/>
    </xf>
    <xf numFmtId="0" fontId="18" fillId="17" borderId="1" xfId="0" applyFont="1" applyFill="1" applyBorder="1" applyAlignment="1">
      <alignment horizontal="center" vertical="center" wrapText="1"/>
    </xf>
    <xf numFmtId="0" fontId="3" fillId="17" borderId="20" xfId="0" applyFont="1" applyFill="1" applyBorder="1" applyAlignment="1">
      <alignment horizontal="center" vertical="center" wrapText="1"/>
    </xf>
    <xf numFmtId="0" fontId="3" fillId="16" borderId="20" xfId="0" applyFont="1" applyFill="1" applyBorder="1" applyAlignment="1">
      <alignment horizontal="center" vertical="center" wrapText="1"/>
    </xf>
    <xf numFmtId="0" fontId="3" fillId="13" borderId="20" xfId="0" applyFont="1" applyFill="1" applyBorder="1" applyAlignment="1">
      <alignment horizontal="center" vertical="center" wrapText="1"/>
    </xf>
    <xf numFmtId="0" fontId="3" fillId="11" borderId="24" xfId="0" applyFont="1" applyFill="1" applyBorder="1" applyAlignment="1">
      <alignment horizontal="center" vertical="center" wrapText="1"/>
    </xf>
    <xf numFmtId="0" fontId="3" fillId="8" borderId="12" xfId="0" applyFont="1" applyFill="1" applyBorder="1" applyAlignment="1">
      <alignment horizontal="center" vertical="center" wrapText="1"/>
    </xf>
    <xf numFmtId="0" fontId="3" fillId="8" borderId="1" xfId="0" applyFont="1" applyFill="1" applyBorder="1" applyAlignment="1">
      <alignment vertical="center" wrapText="1"/>
    </xf>
    <xf numFmtId="0" fontId="3" fillId="8" borderId="12" xfId="0" applyFont="1" applyFill="1" applyBorder="1" applyAlignment="1">
      <alignment vertical="center" wrapText="1"/>
    </xf>
    <xf numFmtId="0" fontId="3" fillId="8" borderId="20" xfId="0" applyFont="1" applyFill="1" applyBorder="1" applyAlignment="1">
      <alignment horizontal="center" vertical="center" wrapText="1"/>
    </xf>
    <xf numFmtId="0" fontId="3" fillId="0" borderId="19"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24" xfId="0" applyFont="1" applyFill="1" applyBorder="1" applyAlignment="1">
      <alignment horizontal="center" vertical="center" wrapText="1"/>
    </xf>
    <xf numFmtId="0" fontId="3" fillId="0" borderId="7" xfId="0" applyFont="1" applyFill="1" applyBorder="1" applyAlignment="1">
      <alignment vertical="center" wrapText="1"/>
    </xf>
    <xf numFmtId="0" fontId="3" fillId="0" borderId="3" xfId="0" applyFont="1" applyFill="1" applyBorder="1" applyAlignment="1">
      <alignment vertical="center" wrapText="1"/>
    </xf>
    <xf numFmtId="0" fontId="3" fillId="2" borderId="24" xfId="0" quotePrefix="1" applyFont="1" applyFill="1" applyBorder="1" applyAlignment="1" applyProtection="1">
      <alignment horizontal="center" vertical="center" wrapText="1"/>
      <protection locked="0"/>
    </xf>
    <xf numFmtId="0" fontId="6" fillId="0" borderId="24" xfId="0" quotePrefix="1" applyFont="1" applyFill="1" applyBorder="1" applyAlignment="1" applyProtection="1">
      <alignment horizontal="justify" vertical="center" wrapText="1"/>
    </xf>
    <xf numFmtId="1" fontId="6" fillId="9" borderId="24" xfId="0" quotePrefix="1" applyNumberFormat="1" applyFont="1" applyFill="1" applyBorder="1" applyAlignment="1" applyProtection="1">
      <alignment horizontal="justify" vertical="center" wrapText="1"/>
      <protection locked="0"/>
    </xf>
    <xf numFmtId="0" fontId="86" fillId="10" borderId="24" xfId="0" quotePrefix="1" applyFont="1" applyFill="1" applyBorder="1" applyAlignment="1" applyProtection="1">
      <alignment horizontal="justify" vertical="center" wrapText="1"/>
      <protection locked="0"/>
    </xf>
    <xf numFmtId="0" fontId="6" fillId="5" borderId="24" xfId="0" quotePrefix="1" applyFont="1" applyFill="1" applyBorder="1" applyAlignment="1" applyProtection="1">
      <alignment horizontal="justify" vertical="center" wrapText="1"/>
      <protection locked="0"/>
    </xf>
    <xf numFmtId="1" fontId="3" fillId="0" borderId="24" xfId="0" quotePrefix="1" applyNumberFormat="1" applyFont="1" applyFill="1" applyBorder="1" applyAlignment="1" applyProtection="1">
      <alignment horizontal="center" vertical="center" wrapText="1"/>
      <protection locked="0"/>
    </xf>
    <xf numFmtId="1" fontId="6" fillId="0" borderId="24" xfId="0" quotePrefix="1" applyNumberFormat="1" applyFont="1" applyFill="1" applyBorder="1" applyAlignment="1" applyProtection="1">
      <alignment horizontal="justify" vertical="center" wrapText="1"/>
      <protection locked="0"/>
    </xf>
    <xf numFmtId="0" fontId="15" fillId="0" borderId="24" xfId="0" applyFont="1" applyBorder="1" applyAlignment="1">
      <alignment horizontal="center" vertical="center"/>
    </xf>
    <xf numFmtId="0" fontId="15" fillId="0" borderId="10" xfId="0" applyFont="1" applyBorder="1" applyAlignment="1">
      <alignment horizontal="center" vertical="center"/>
    </xf>
    <xf numFmtId="0" fontId="102" fillId="0" borderId="24" xfId="0" applyFont="1" applyBorder="1" applyAlignment="1">
      <alignment horizontal="center" vertical="center"/>
    </xf>
    <xf numFmtId="0" fontId="2" fillId="0" borderId="24" xfId="0" applyFont="1" applyFill="1" applyBorder="1" applyAlignment="1" applyProtection="1">
      <alignment horizontal="left" vertical="center" wrapText="1"/>
      <protection locked="0"/>
    </xf>
    <xf numFmtId="0" fontId="6" fillId="0" borderId="24" xfId="0" quotePrefix="1" applyNumberFormat="1" applyFont="1" applyFill="1" applyBorder="1" applyAlignment="1" applyProtection="1">
      <alignment horizontal="justify" vertical="center" wrapText="1"/>
      <protection locked="0"/>
    </xf>
    <xf numFmtId="0" fontId="86" fillId="0" borderId="24" xfId="0" quotePrefix="1" applyFont="1" applyFill="1" applyBorder="1" applyAlignment="1" applyProtection="1">
      <alignment horizontal="justify" vertical="center" wrapText="1"/>
      <protection locked="0"/>
    </xf>
    <xf numFmtId="0" fontId="6" fillId="0" borderId="24" xfId="0" quotePrefix="1" applyFont="1" applyFill="1" applyBorder="1" applyAlignment="1" applyProtection="1">
      <alignment horizontal="justify" vertical="center" wrapText="1"/>
      <protection locked="0"/>
    </xf>
    <xf numFmtId="0" fontId="20" fillId="0" borderId="24" xfId="0" quotePrefix="1" applyNumberFormat="1" applyFont="1" applyFill="1" applyBorder="1" applyAlignment="1" applyProtection="1">
      <alignment horizontal="justify" vertical="center" wrapText="1"/>
      <protection locked="0"/>
    </xf>
    <xf numFmtId="0" fontId="35" fillId="0" borderId="24" xfId="0" quotePrefix="1" applyFont="1" applyFill="1" applyBorder="1" applyAlignment="1" applyProtection="1">
      <alignment horizontal="justify" vertical="center" wrapText="1"/>
      <protection locked="0"/>
    </xf>
    <xf numFmtId="0" fontId="67" fillId="0" borderId="24" xfId="0" quotePrefix="1" applyFont="1" applyFill="1" applyBorder="1" applyAlignment="1" applyProtection="1">
      <alignment horizontal="justify" vertical="center" wrapText="1"/>
      <protection locked="0"/>
    </xf>
    <xf numFmtId="0" fontId="86" fillId="0" borderId="24" xfId="0" quotePrefix="1" applyNumberFormat="1" applyFont="1" applyFill="1" applyBorder="1" applyAlignment="1" applyProtection="1">
      <alignment horizontal="justify" vertical="center" wrapText="1"/>
      <protection locked="0"/>
    </xf>
    <xf numFmtId="0" fontId="20" fillId="0" borderId="24" xfId="0" quotePrefix="1" applyFont="1" applyFill="1" applyBorder="1" applyAlignment="1" applyProtection="1">
      <alignment horizontal="justify" vertical="center" wrapText="1"/>
      <protection locked="0"/>
    </xf>
    <xf numFmtId="164" fontId="6" fillId="0" borderId="24" xfId="18" applyNumberFormat="1" applyFont="1" applyFill="1" applyBorder="1" applyAlignment="1" applyProtection="1">
      <alignment horizontal="justify" vertical="center" wrapText="1"/>
      <protection locked="0"/>
    </xf>
    <xf numFmtId="0" fontId="6" fillId="0" borderId="24" xfId="0" applyFont="1" applyFill="1" applyBorder="1" applyAlignment="1" applyProtection="1">
      <alignment horizontal="justify" vertical="center" wrapText="1"/>
      <protection locked="0"/>
    </xf>
    <xf numFmtId="0" fontId="6" fillId="0" borderId="24" xfId="0" applyNumberFormat="1" applyFont="1" applyFill="1" applyBorder="1" applyAlignment="1" applyProtection="1">
      <alignment horizontal="justify" vertical="center" wrapText="1"/>
      <protection locked="0"/>
    </xf>
    <xf numFmtId="49" fontId="6" fillId="0" borderId="24" xfId="18" quotePrefix="1" applyNumberFormat="1" applyFont="1" applyFill="1" applyBorder="1" applyAlignment="1" applyProtection="1">
      <alignment horizontal="justify" vertical="center" wrapText="1"/>
      <protection locked="0"/>
    </xf>
    <xf numFmtId="164" fontId="6" fillId="0" borderId="24" xfId="18" quotePrefix="1" applyNumberFormat="1" applyFont="1" applyFill="1" applyBorder="1" applyAlignment="1" applyProtection="1">
      <alignment horizontal="justify" vertical="center" wrapText="1"/>
      <protection locked="0"/>
    </xf>
    <xf numFmtId="0" fontId="35" fillId="0" borderId="24" xfId="0" applyNumberFormat="1" applyFont="1" applyFill="1" applyBorder="1" applyAlignment="1" applyProtection="1">
      <alignment horizontal="justify" vertical="center" wrapText="1"/>
      <protection locked="0"/>
    </xf>
    <xf numFmtId="1" fontId="86" fillId="0" borderId="24" xfId="0" quotePrefix="1" applyNumberFormat="1" applyFont="1" applyFill="1" applyBorder="1" applyAlignment="1" applyProtection="1">
      <alignment horizontal="justify" vertical="center" wrapText="1"/>
      <protection locked="0"/>
    </xf>
    <xf numFmtId="1" fontId="86" fillId="0" borderId="24" xfId="109" quotePrefix="1" applyNumberFormat="1" applyFont="1" applyFill="1" applyBorder="1" applyAlignment="1" applyProtection="1">
      <alignment horizontal="justify" vertical="center" wrapText="1"/>
      <protection locked="0"/>
    </xf>
    <xf numFmtId="1" fontId="6" fillId="0" borderId="24" xfId="109" quotePrefix="1" applyNumberFormat="1" applyFont="1" applyFill="1" applyBorder="1" applyAlignment="1" applyProtection="1">
      <alignment horizontal="justify" vertical="center" wrapText="1"/>
      <protection locked="0"/>
    </xf>
    <xf numFmtId="1" fontId="6" fillId="0" borderId="24" xfId="109" applyNumberFormat="1" applyFont="1" applyFill="1" applyBorder="1" applyAlignment="1" applyProtection="1">
      <alignment horizontal="justify" vertical="center" wrapText="1"/>
      <protection locked="0"/>
    </xf>
    <xf numFmtId="0" fontId="86" fillId="0" borderId="24" xfId="0" applyNumberFormat="1" applyFont="1" applyFill="1" applyBorder="1" applyAlignment="1" applyProtection="1">
      <alignment horizontal="justify" vertical="center" wrapText="1"/>
      <protection locked="0"/>
    </xf>
    <xf numFmtId="0" fontId="67" fillId="0" borderId="24" xfId="0" quotePrefix="1" applyNumberFormat="1" applyFont="1" applyFill="1" applyBorder="1" applyAlignment="1" applyProtection="1">
      <alignment horizontal="justify" vertical="center" wrapText="1"/>
      <protection locked="0"/>
    </xf>
    <xf numFmtId="0" fontId="7" fillId="0" borderId="24" xfId="0" quotePrefix="1" applyNumberFormat="1" applyFont="1" applyFill="1" applyBorder="1" applyAlignment="1" applyProtection="1">
      <alignment horizontal="justify" vertical="center" wrapText="1"/>
      <protection locked="0"/>
    </xf>
    <xf numFmtId="0" fontId="6" fillId="0" borderId="24" xfId="120" applyFont="1" applyFill="1" applyBorder="1" applyAlignment="1" applyProtection="1">
      <alignment horizontal="justify" vertical="center" wrapText="1"/>
      <protection locked="0"/>
    </xf>
    <xf numFmtId="0" fontId="86" fillId="0" borderId="24" xfId="0" applyFont="1" applyFill="1" applyBorder="1" applyAlignment="1" applyProtection="1">
      <alignment horizontal="justify" vertical="center" wrapText="1"/>
      <protection locked="0"/>
    </xf>
    <xf numFmtId="0" fontId="35" fillId="0" borderId="24" xfId="0" quotePrefix="1" applyNumberFormat="1" applyFont="1" applyFill="1" applyBorder="1" applyAlignment="1" applyProtection="1">
      <alignment horizontal="justify" vertical="center" wrapText="1"/>
      <protection locked="0"/>
    </xf>
    <xf numFmtId="0" fontId="67" fillId="0" borderId="24" xfId="0" quotePrefix="1" applyFont="1" applyFill="1" applyBorder="1" applyAlignment="1" applyProtection="1">
      <alignment horizontal="justify" vertical="center" wrapText="1"/>
    </xf>
    <xf numFmtId="0" fontId="3" fillId="0" borderId="24" xfId="0" quotePrefix="1" applyFont="1" applyFill="1" applyBorder="1" applyAlignment="1" applyProtection="1">
      <alignment horizontal="center" vertical="center" wrapText="1"/>
    </xf>
    <xf numFmtId="0" fontId="3" fillId="0" borderId="24" xfId="0" applyFont="1" applyFill="1" applyBorder="1" applyAlignment="1" applyProtection="1">
      <alignment horizontal="center" vertical="center" wrapText="1"/>
      <protection locked="0"/>
    </xf>
    <xf numFmtId="167" fontId="3" fillId="0" borderId="24" xfId="0" applyNumberFormat="1" applyFont="1" applyFill="1" applyBorder="1" applyAlignment="1" applyProtection="1">
      <alignment horizontal="center" vertical="center" wrapText="1"/>
      <protection locked="0"/>
    </xf>
    <xf numFmtId="167" fontId="3" fillId="0" borderId="24" xfId="0" quotePrefix="1" applyNumberFormat="1" applyFont="1" applyFill="1" applyBorder="1" applyAlignment="1" applyProtection="1">
      <alignment horizontal="center" vertical="center" wrapText="1"/>
    </xf>
    <xf numFmtId="0" fontId="2" fillId="18" borderId="24" xfId="0" quotePrefix="1" applyFont="1" applyFill="1" applyBorder="1" applyAlignment="1" applyProtection="1">
      <alignment horizontal="center" vertical="center" wrapText="1"/>
    </xf>
    <xf numFmtId="0" fontId="3" fillId="18" borderId="24" xfId="0" quotePrefix="1" applyFont="1" applyFill="1" applyBorder="1" applyAlignment="1" applyProtection="1">
      <alignment horizontal="center" vertical="center" wrapText="1"/>
    </xf>
    <xf numFmtId="167" fontId="3" fillId="18" borderId="24" xfId="0" quotePrefix="1" applyNumberFormat="1" applyFont="1" applyFill="1" applyBorder="1" applyAlignment="1" applyProtection="1">
      <alignment horizontal="center" vertical="center" wrapText="1"/>
    </xf>
    <xf numFmtId="0" fontId="3" fillId="18" borderId="24" xfId="0" applyFont="1" applyFill="1" applyBorder="1" applyAlignment="1" applyProtection="1">
      <alignment horizontal="center" vertical="center" wrapText="1"/>
      <protection locked="0"/>
    </xf>
    <xf numFmtId="0" fontId="93" fillId="0" borderId="27" xfId="0" applyFont="1" applyBorder="1" applyAlignment="1">
      <alignment horizontal="center" vertical="center" wrapText="1"/>
    </xf>
    <xf numFmtId="14" fontId="91" fillId="0" borderId="28" xfId="0" applyNumberFormat="1" applyFont="1" applyBorder="1" applyAlignment="1">
      <alignment horizontal="center" vertical="center"/>
    </xf>
    <xf numFmtId="0" fontId="91" fillId="0" borderId="28" xfId="0" applyFont="1" applyBorder="1" applyAlignment="1">
      <alignment horizontal="center" vertical="center"/>
    </xf>
    <xf numFmtId="9" fontId="3" fillId="0" borderId="28" xfId="0" applyNumberFormat="1" applyFont="1" applyBorder="1" applyAlignment="1">
      <alignment horizontal="center" vertical="center" wrapText="1"/>
    </xf>
    <xf numFmtId="0" fontId="94" fillId="0" borderId="30" xfId="0" applyFont="1" applyBorder="1" applyAlignment="1">
      <alignment horizontal="center" vertical="center" wrapText="1"/>
    </xf>
    <xf numFmtId="0" fontId="93" fillId="0" borderId="28" xfId="0" applyFont="1" applyBorder="1" applyAlignment="1">
      <alignment horizontal="center" vertical="center" wrapText="1"/>
    </xf>
    <xf numFmtId="0" fontId="2" fillId="0" borderId="0" xfId="117" applyFont="1" applyFill="1" applyAlignment="1">
      <alignment horizontal="center" vertical="center" wrapText="1"/>
    </xf>
    <xf numFmtId="14" fontId="30" fillId="0" borderId="28" xfId="0" quotePrefix="1" applyNumberFormat="1" applyFont="1" applyBorder="1" applyAlignment="1">
      <alignment horizontal="center" vertical="center" wrapText="1"/>
    </xf>
    <xf numFmtId="14" fontId="27" fillId="0" borderId="28" xfId="0" quotePrefix="1" applyNumberFormat="1" applyFont="1" applyBorder="1" applyAlignment="1">
      <alignment horizontal="center" vertical="center" wrapText="1"/>
    </xf>
    <xf numFmtId="14" fontId="34" fillId="0" borderId="28" xfId="0" quotePrefix="1" applyNumberFormat="1" applyFont="1" applyBorder="1" applyAlignment="1">
      <alignment horizontal="center" vertical="center" wrapText="1"/>
    </xf>
    <xf numFmtId="9" fontId="24" fillId="0" borderId="30" xfId="0" applyNumberFormat="1" applyFont="1" applyBorder="1" applyAlignment="1">
      <alignment horizontal="center" vertical="center" wrapText="1"/>
    </xf>
    <xf numFmtId="0" fontId="27" fillId="0" borderId="28" xfId="0" applyFont="1" applyBorder="1" applyAlignment="1">
      <alignment horizontal="center" vertical="center" wrapText="1"/>
    </xf>
    <xf numFmtId="14" fontId="103" fillId="0" borderId="28" xfId="0" applyNumberFormat="1" applyFont="1" applyBorder="1" applyAlignment="1">
      <alignment horizontal="center" vertical="center"/>
    </xf>
    <xf numFmtId="0" fontId="105" fillId="0" borderId="31" xfId="0" applyFont="1" applyFill="1" applyBorder="1" applyAlignment="1" applyProtection="1">
      <alignment horizontal="center" vertical="center" wrapText="1"/>
      <protection locked="0"/>
    </xf>
    <xf numFmtId="0" fontId="105" fillId="0" borderId="32" xfId="0" applyFont="1" applyFill="1" applyBorder="1" applyAlignment="1" applyProtection="1">
      <alignment horizontal="center" vertical="center" wrapText="1"/>
      <protection locked="0"/>
    </xf>
    <xf numFmtId="0" fontId="106" fillId="0" borderId="33" xfId="0" applyFont="1" applyBorder="1" applyAlignment="1">
      <alignment vertical="center" wrapText="1"/>
    </xf>
    <xf numFmtId="14" fontId="93" fillId="12" borderId="31" xfId="0" quotePrefix="1" applyNumberFormat="1" applyFont="1" applyFill="1" applyBorder="1" applyAlignment="1">
      <alignment horizontal="center" vertical="center" wrapText="1"/>
    </xf>
    <xf numFmtId="14" fontId="93" fillId="0" borderId="31" xfId="0" quotePrefix="1" applyNumberFormat="1" applyFont="1" applyBorder="1" applyAlignment="1">
      <alignment horizontal="center" vertical="center" wrapText="1"/>
    </xf>
    <xf numFmtId="14" fontId="93" fillId="0" borderId="31" xfId="0" applyNumberFormat="1" applyFont="1" applyBorder="1" applyAlignment="1">
      <alignment horizontal="center" vertical="center" wrapText="1"/>
    </xf>
    <xf numFmtId="0" fontId="3" fillId="0" borderId="34" xfId="0" quotePrefix="1" applyFont="1" applyBorder="1" applyAlignment="1">
      <alignment vertical="center" wrapText="1"/>
    </xf>
    <xf numFmtId="9" fontId="15" fillId="0" borderId="35" xfId="0" applyNumberFormat="1" applyFont="1" applyBorder="1" applyAlignment="1">
      <alignment horizontal="center" vertical="center" wrapText="1"/>
    </xf>
    <xf numFmtId="14" fontId="91" fillId="0" borderId="35" xfId="0" applyNumberFormat="1" applyFont="1" applyBorder="1" applyAlignment="1">
      <alignment horizontal="center" vertical="center" wrapText="1"/>
    </xf>
    <xf numFmtId="14" fontId="91" fillId="0" borderId="35" xfId="0" applyNumberFormat="1" applyFont="1" applyBorder="1" applyAlignment="1">
      <alignment horizontal="center" vertical="center"/>
    </xf>
    <xf numFmtId="0" fontId="6" fillId="0" borderId="24" xfId="0" quotePrefix="1" applyFont="1" applyFill="1" applyBorder="1" applyAlignment="1" applyProtection="1">
      <alignment vertical="center" wrapText="1"/>
      <protection locked="0"/>
    </xf>
    <xf numFmtId="0" fontId="6" fillId="0" borderId="0" xfId="0" applyFont="1" applyFill="1" applyBorder="1" applyAlignment="1" applyProtection="1">
      <alignment horizontal="justify" vertical="center" wrapText="1"/>
      <protection locked="0"/>
    </xf>
    <xf numFmtId="14" fontId="91" fillId="0" borderId="37" xfId="0" quotePrefix="1" applyNumberFormat="1" applyFont="1" applyBorder="1" applyAlignment="1">
      <alignment horizontal="center" vertical="center" wrapText="1"/>
    </xf>
    <xf numFmtId="0" fontId="107" fillId="0" borderId="1" xfId="0" applyFont="1" applyFill="1" applyBorder="1" applyAlignment="1" applyProtection="1">
      <alignment horizontal="center" vertical="center" wrapText="1"/>
      <protection locked="0"/>
    </xf>
    <xf numFmtId="0" fontId="86" fillId="0" borderId="1" xfId="0" applyFont="1" applyFill="1" applyBorder="1" applyAlignment="1" applyProtection="1">
      <alignment horizontal="justify" vertical="center" wrapText="1"/>
      <protection locked="0"/>
    </xf>
    <xf numFmtId="0" fontId="108" fillId="0" borderId="1" xfId="0" applyFont="1" applyFill="1" applyBorder="1" applyAlignment="1" applyProtection="1">
      <alignment horizontal="center" vertical="center" wrapText="1"/>
      <protection locked="0"/>
    </xf>
    <xf numFmtId="164" fontId="108" fillId="2" borderId="1" xfId="89" applyNumberFormat="1" applyFont="1" applyFill="1" applyBorder="1" applyAlignment="1">
      <alignment horizontal="center" vertical="center" wrapText="1"/>
    </xf>
    <xf numFmtId="0" fontId="2" fillId="3" borderId="38" xfId="0" applyFont="1" applyFill="1" applyBorder="1" applyAlignment="1" applyProtection="1">
      <alignment horizontal="center" vertical="center" wrapText="1"/>
      <protection locked="0"/>
    </xf>
    <xf numFmtId="0" fontId="3" fillId="0" borderId="19" xfId="0" applyFont="1" applyFill="1" applyBorder="1" applyAlignment="1" applyProtection="1">
      <alignment horizontal="center" vertical="center" wrapText="1"/>
      <protection locked="0"/>
    </xf>
    <xf numFmtId="14" fontId="92" fillId="0" borderId="39" xfId="0" applyNumberFormat="1" applyFont="1" applyBorder="1" applyAlignment="1">
      <alignment horizontal="center" vertical="center" wrapText="1"/>
    </xf>
    <xf numFmtId="0" fontId="43" fillId="0" borderId="39" xfId="0" applyFont="1" applyFill="1" applyBorder="1" applyAlignment="1" applyProtection="1">
      <alignment vertical="center" wrapText="1"/>
      <protection locked="0"/>
    </xf>
    <xf numFmtId="0" fontId="94" fillId="0" borderId="39" xfId="0" applyFont="1" applyBorder="1" applyAlignment="1">
      <alignment horizontal="center" vertical="center" wrapText="1"/>
    </xf>
    <xf numFmtId="9" fontId="3" fillId="0" borderId="39" xfId="0" applyNumberFormat="1" applyFont="1" applyBorder="1" applyAlignment="1">
      <alignment horizontal="center" vertical="center" wrapText="1"/>
    </xf>
    <xf numFmtId="0" fontId="86" fillId="0" borderId="1" xfId="0" quotePrefix="1" applyNumberFormat="1" applyFont="1" applyFill="1" applyBorder="1" applyAlignment="1" applyProtection="1">
      <alignment horizontal="justify" vertical="center" wrapText="1"/>
      <protection locked="0"/>
    </xf>
    <xf numFmtId="0" fontId="2" fillId="0" borderId="0" xfId="0" applyFont="1" applyFill="1" applyAlignment="1" applyProtection="1">
      <alignment horizontal="center" vertical="center" wrapText="1"/>
      <protection locked="0"/>
    </xf>
    <xf numFmtId="0" fontId="85" fillId="0" borderId="28" xfId="0" applyFont="1" applyBorder="1" applyAlignment="1">
      <alignment horizontal="center" vertical="center" wrapText="1"/>
    </xf>
    <xf numFmtId="0" fontId="73" fillId="0" borderId="1" xfId="0" quotePrefix="1" applyFont="1" applyFill="1" applyBorder="1" applyAlignment="1" applyProtection="1">
      <alignment horizontal="left" vertical="center" wrapText="1"/>
      <protection locked="0"/>
    </xf>
    <xf numFmtId="0" fontId="88" fillId="0" borderId="41" xfId="0" applyFont="1" applyBorder="1" applyAlignment="1">
      <alignment horizontal="center" vertical="center" wrapText="1"/>
    </xf>
    <xf numFmtId="0" fontId="108" fillId="0" borderId="41" xfId="0" applyFont="1" applyBorder="1" applyAlignment="1">
      <alignment horizontal="center" vertical="center" wrapText="1"/>
    </xf>
    <xf numFmtId="0" fontId="109" fillId="0" borderId="1" xfId="0" quotePrefix="1" applyFont="1" applyFill="1" applyBorder="1" applyAlignment="1" applyProtection="1">
      <alignment horizontal="justify" vertical="center" wrapText="1"/>
    </xf>
    <xf numFmtId="0" fontId="109" fillId="11" borderId="1" xfId="0" quotePrefix="1" applyFont="1" applyFill="1" applyBorder="1" applyAlignment="1" applyProtection="1">
      <alignment horizontal="justify" vertical="center" wrapText="1"/>
    </xf>
    <xf numFmtId="0" fontId="6" fillId="11" borderId="1" xfId="0" quotePrefix="1" applyFont="1" applyFill="1" applyBorder="1" applyAlignment="1" applyProtection="1">
      <alignment horizontal="justify" vertical="center" wrapText="1"/>
    </xf>
    <xf numFmtId="0" fontId="109" fillId="3" borderId="1" xfId="0" quotePrefix="1" applyFont="1" applyFill="1" applyBorder="1" applyAlignment="1" applyProtection="1">
      <alignment horizontal="justify" vertical="center" wrapText="1"/>
    </xf>
    <xf numFmtId="0" fontId="109" fillId="0" borderId="42" xfId="0" quotePrefix="1" applyFont="1" applyBorder="1" applyAlignment="1">
      <alignment horizontal="justify" vertical="center" wrapText="1"/>
    </xf>
    <xf numFmtId="0" fontId="86" fillId="0" borderId="1" xfId="0" quotePrefix="1" applyFont="1" applyFill="1" applyBorder="1" applyAlignment="1" applyProtection="1">
      <alignment horizontal="justify" vertical="center" wrapText="1"/>
      <protection locked="0"/>
    </xf>
    <xf numFmtId="0" fontId="19" fillId="0" borderId="44" xfId="0" applyFont="1" applyFill="1" applyBorder="1" applyAlignment="1" applyProtection="1">
      <alignment horizontal="center" vertical="center" wrapText="1"/>
      <protection locked="0"/>
    </xf>
    <xf numFmtId="14" fontId="93" fillId="0" borderId="43" xfId="0" quotePrefix="1" applyNumberFormat="1" applyFont="1" applyBorder="1" applyAlignment="1">
      <alignment horizontal="center" vertical="center" wrapText="1"/>
    </xf>
    <xf numFmtId="14" fontId="93" fillId="0" borderId="43" xfId="0" applyNumberFormat="1" applyFont="1" applyBorder="1" applyAlignment="1">
      <alignment horizontal="center" vertical="center"/>
    </xf>
    <xf numFmtId="0" fontId="18" fillId="0" borderId="43" xfId="0" applyFont="1" applyFill="1" applyBorder="1" applyAlignment="1" applyProtection="1">
      <alignment vertical="center" wrapText="1"/>
      <protection locked="0"/>
    </xf>
    <xf numFmtId="0" fontId="93" fillId="0" borderId="43" xfId="0" quotePrefix="1" applyFont="1" applyBorder="1" applyAlignment="1">
      <alignment horizontal="center" vertical="center"/>
    </xf>
    <xf numFmtId="0" fontId="88" fillId="0" borderId="43" xfId="0" quotePrefix="1" applyFont="1" applyBorder="1" applyAlignment="1">
      <alignment horizontal="center" vertical="center" wrapText="1"/>
    </xf>
    <xf numFmtId="0" fontId="38" fillId="0" borderId="45" xfId="0" applyFont="1" applyFill="1" applyBorder="1" applyAlignment="1" applyProtection="1">
      <alignment horizontal="center" vertical="center" wrapText="1"/>
      <protection locked="0"/>
    </xf>
    <xf numFmtId="0" fontId="35" fillId="0" borderId="45" xfId="0" quotePrefix="1" applyFont="1" applyFill="1" applyBorder="1" applyAlignment="1" applyProtection="1">
      <alignment horizontal="justify" vertical="center" wrapText="1"/>
      <protection locked="0"/>
    </xf>
    <xf numFmtId="0" fontId="93" fillId="0" borderId="0" xfId="0" applyFont="1"/>
    <xf numFmtId="14" fontId="91" fillId="0" borderId="45" xfId="0" quotePrefix="1" applyNumberFormat="1" applyFont="1" applyBorder="1" applyAlignment="1">
      <alignment horizontal="center" vertical="center" wrapText="1"/>
    </xf>
    <xf numFmtId="0" fontId="2" fillId="9" borderId="1" xfId="0" applyFont="1" applyFill="1" applyBorder="1" applyAlignment="1">
      <alignment horizontal="center" vertical="center" wrapText="1"/>
    </xf>
    <xf numFmtId="0" fontId="2" fillId="9" borderId="1" xfId="0" applyFont="1" applyFill="1" applyBorder="1" applyAlignment="1">
      <alignment horizontal="center" vertical="center"/>
    </xf>
    <xf numFmtId="0" fontId="35" fillId="11" borderId="1" xfId="0" quotePrefix="1" applyFont="1" applyFill="1" applyBorder="1" applyAlignment="1" applyProtection="1">
      <alignment horizontal="justify" vertical="center" wrapText="1"/>
    </xf>
    <xf numFmtId="0" fontId="19" fillId="0" borderId="46" xfId="0" applyFont="1" applyFill="1" applyBorder="1" applyAlignment="1" applyProtection="1">
      <alignment horizontal="center" vertical="center" wrapText="1"/>
      <protection locked="0"/>
    </xf>
    <xf numFmtId="14" fontId="15" fillId="0" borderId="46" xfId="0" applyNumberFormat="1" applyFont="1" applyBorder="1" applyAlignment="1">
      <alignment horizontal="center" vertical="center"/>
    </xf>
    <xf numFmtId="0" fontId="91" fillId="0" borderId="46" xfId="0" applyFont="1" applyBorder="1" applyAlignment="1">
      <alignment horizontal="center" vertical="center"/>
    </xf>
    <xf numFmtId="9" fontId="15" fillId="0" borderId="46" xfId="0" applyNumberFormat="1" applyFont="1" applyBorder="1" applyAlignment="1">
      <alignment horizontal="center" vertical="center" wrapText="1"/>
    </xf>
    <xf numFmtId="0" fontId="15" fillId="0" borderId="46" xfId="0" applyFont="1" applyBorder="1" applyAlignment="1">
      <alignment horizontal="center" vertical="center" wrapText="1"/>
    </xf>
    <xf numFmtId="0" fontId="91" fillId="12" borderId="46" xfId="0" applyFont="1" applyFill="1" applyBorder="1" applyAlignment="1">
      <alignment vertical="center"/>
    </xf>
    <xf numFmtId="0" fontId="3" fillId="0" borderId="46" xfId="0" quotePrefix="1" applyFont="1" applyFill="1" applyBorder="1" applyAlignment="1" applyProtection="1">
      <alignment horizontal="center" vertical="center" wrapText="1"/>
      <protection locked="0"/>
    </xf>
    <xf numFmtId="0" fontId="6" fillId="0" borderId="46" xfId="0" quotePrefix="1" applyFont="1" applyFill="1" applyBorder="1" applyAlignment="1" applyProtection="1">
      <alignment horizontal="justify" vertical="center" wrapText="1"/>
    </xf>
    <xf numFmtId="0" fontId="6" fillId="9" borderId="46" xfId="0" applyNumberFormat="1" applyFont="1" applyFill="1" applyBorder="1" applyAlignment="1" applyProtection="1">
      <alignment horizontal="justify" vertical="center" wrapText="1"/>
      <protection locked="0"/>
    </xf>
    <xf numFmtId="0" fontId="93" fillId="0" borderId="46" xfId="0" applyFont="1" applyBorder="1" applyAlignment="1">
      <alignment horizontal="center" vertical="center" wrapText="1"/>
    </xf>
    <xf numFmtId="0" fontId="6" fillId="0" borderId="46" xfId="0" applyNumberFormat="1" applyFont="1" applyFill="1" applyBorder="1" applyAlignment="1" applyProtection="1">
      <alignment horizontal="justify" vertical="center" wrapText="1"/>
      <protection locked="0"/>
    </xf>
    <xf numFmtId="0" fontId="15" fillId="0" borderId="46" xfId="0" applyFont="1" applyBorder="1" applyAlignment="1">
      <alignment horizontal="center" vertical="center"/>
    </xf>
    <xf numFmtId="0" fontId="102" fillId="0" borderId="46" xfId="0" applyFont="1" applyBorder="1" applyAlignment="1">
      <alignment horizontal="center" vertical="center"/>
    </xf>
    <xf numFmtId="9" fontId="15" fillId="0" borderId="48" xfId="0" applyNumberFormat="1" applyFont="1" applyBorder="1" applyAlignment="1">
      <alignment horizontal="center" vertical="center" wrapText="1"/>
    </xf>
    <xf numFmtId="0" fontId="91" fillId="0" borderId="48" xfId="0" applyFont="1" applyBorder="1" applyAlignment="1">
      <alignment horizontal="center" vertical="center" wrapText="1"/>
    </xf>
    <xf numFmtId="0" fontId="99" fillId="0" borderId="48" xfId="0" applyFont="1" applyBorder="1" applyAlignment="1">
      <alignment horizontal="center" vertical="center"/>
    </xf>
    <xf numFmtId="0" fontId="86" fillId="11" borderId="1" xfId="0" quotePrefix="1" applyFont="1" applyFill="1" applyBorder="1" applyAlignment="1" applyProtection="1">
      <alignment horizontal="justify" vertical="center" wrapText="1"/>
    </xf>
    <xf numFmtId="0" fontId="61" fillId="0" borderId="1" xfId="0" quotePrefix="1" applyNumberFormat="1" applyFont="1" applyFill="1" applyBorder="1" applyAlignment="1" applyProtection="1">
      <alignment horizontal="center" vertical="center" wrapText="1"/>
      <protection locked="0"/>
    </xf>
    <xf numFmtId="0" fontId="61" fillId="0" borderId="1" xfId="0" quotePrefix="1" applyNumberFormat="1" applyFont="1" applyFill="1" applyBorder="1" applyAlignment="1" applyProtection="1">
      <alignment horizontal="justify" vertical="center" wrapText="1"/>
      <protection locked="0"/>
    </xf>
    <xf numFmtId="0" fontId="61" fillId="0" borderId="1" xfId="0" applyFont="1" applyFill="1" applyBorder="1" applyAlignment="1" applyProtection="1">
      <alignment horizontal="justify" vertical="center" wrapText="1"/>
      <protection locked="0"/>
    </xf>
    <xf numFmtId="0" fontId="61" fillId="0" borderId="1" xfId="0" quotePrefix="1" applyFont="1" applyFill="1" applyBorder="1" applyAlignment="1" applyProtection="1">
      <alignment horizontal="justify" vertical="center" wrapText="1"/>
      <protection locked="0"/>
    </xf>
    <xf numFmtId="0" fontId="108" fillId="0" borderId="1" xfId="0" applyNumberFormat="1" applyFont="1" applyFill="1" applyBorder="1" applyAlignment="1" applyProtection="1">
      <alignment horizontal="center" vertical="center" wrapText="1"/>
      <protection locked="0"/>
    </xf>
    <xf numFmtId="0" fontId="108" fillId="19" borderId="36" xfId="0" applyFont="1" applyFill="1" applyBorder="1" applyAlignment="1">
      <alignment horizontal="center" vertical="center" wrapText="1"/>
    </xf>
    <xf numFmtId="0" fontId="7" fillId="0" borderId="1" xfId="0" applyFont="1" applyFill="1" applyBorder="1" applyAlignment="1" applyProtection="1">
      <alignment horizontal="center" vertical="center" wrapText="1"/>
      <protection locked="0"/>
    </xf>
    <xf numFmtId="0" fontId="43" fillId="0" borderId="49" xfId="0" applyFont="1" applyFill="1" applyBorder="1" applyAlignment="1" applyProtection="1">
      <alignment vertical="center" wrapText="1"/>
      <protection locked="0"/>
    </xf>
    <xf numFmtId="0" fontId="6" fillId="9" borderId="1" xfId="0" quotePrefix="1" applyFont="1" applyFill="1" applyBorder="1" applyAlignment="1">
      <alignment horizontal="justify" vertical="center" wrapText="1"/>
    </xf>
    <xf numFmtId="0" fontId="98" fillId="0" borderId="1" xfId="0" applyFont="1" applyFill="1" applyBorder="1" applyAlignment="1" applyProtection="1">
      <alignment horizontal="center" vertical="center" wrapText="1"/>
      <protection locked="0"/>
    </xf>
    <xf numFmtId="0" fontId="113" fillId="0" borderId="1" xfId="0" applyFont="1" applyFill="1" applyBorder="1" applyAlignment="1" applyProtection="1">
      <alignment horizontal="justify" vertical="center" wrapText="1"/>
      <protection locked="0"/>
    </xf>
    <xf numFmtId="0" fontId="6" fillId="0" borderId="46" xfId="0" quotePrefix="1" applyFont="1" applyFill="1" applyBorder="1" applyAlignment="1" applyProtection="1">
      <alignment horizontal="justify" vertical="center" wrapText="1"/>
      <protection locked="0"/>
    </xf>
    <xf numFmtId="0" fontId="3" fillId="0" borderId="1" xfId="0" applyNumberFormat="1" applyFont="1" applyFill="1" applyBorder="1" applyAlignment="1" applyProtection="1">
      <alignment horizontal="justify" vertical="center" wrapText="1"/>
      <protection locked="0"/>
    </xf>
    <xf numFmtId="0" fontId="86" fillId="0" borderId="1" xfId="0" applyNumberFormat="1" applyFont="1" applyFill="1" applyBorder="1" applyAlignment="1" applyProtection="1">
      <alignment horizontal="justify" vertical="center" wrapText="1"/>
      <protection locked="0"/>
    </xf>
    <xf numFmtId="0" fontId="20" fillId="11" borderId="11" xfId="0" applyFont="1" applyFill="1" applyBorder="1" applyAlignment="1" applyProtection="1">
      <alignment vertical="center" wrapText="1"/>
      <protection locked="0"/>
    </xf>
    <xf numFmtId="0" fontId="20" fillId="11" borderId="20" xfId="0" applyFont="1" applyFill="1" applyBorder="1" applyAlignment="1" applyProtection="1">
      <alignment vertical="center" wrapText="1"/>
      <protection locked="0"/>
    </xf>
    <xf numFmtId="0" fontId="20" fillId="0" borderId="50" xfId="0" applyFont="1" applyFill="1" applyBorder="1" applyAlignment="1" applyProtection="1">
      <alignment vertical="center" wrapText="1"/>
      <protection locked="0"/>
    </xf>
    <xf numFmtId="0" fontId="107" fillId="0" borderId="1" xfId="0" applyFont="1" applyFill="1" applyBorder="1" applyAlignment="1" applyProtection="1">
      <alignment vertical="center" wrapText="1"/>
      <protection locked="0"/>
    </xf>
    <xf numFmtId="0" fontId="2" fillId="9" borderId="1" xfId="0" applyFont="1" applyFill="1" applyBorder="1" applyAlignment="1" applyProtection="1">
      <alignment horizontal="center" vertical="center" wrapText="1"/>
      <protection locked="0"/>
    </xf>
    <xf numFmtId="0" fontId="35" fillId="0" borderId="51" xfId="0" quotePrefix="1" applyFont="1" applyFill="1" applyBorder="1" applyAlignment="1" applyProtection="1">
      <alignment vertical="center" wrapText="1"/>
      <protection locked="0"/>
    </xf>
    <xf numFmtId="0" fontId="98" fillId="0" borderId="1" xfId="0" applyFont="1" applyFill="1" applyBorder="1" applyAlignment="1" applyProtection="1">
      <alignment horizontal="center"/>
      <protection locked="0"/>
    </xf>
    <xf numFmtId="1" fontId="91" fillId="0" borderId="52" xfId="0" quotePrefix="1" applyNumberFormat="1" applyFont="1" applyFill="1" applyBorder="1" applyAlignment="1">
      <alignment horizontal="center" vertical="center" wrapText="1"/>
    </xf>
    <xf numFmtId="0" fontId="2" fillId="0" borderId="0" xfId="0" applyFont="1" applyFill="1" applyAlignment="1" applyProtection="1">
      <alignment horizontal="center" vertical="center" wrapText="1"/>
      <protection locked="0"/>
    </xf>
    <xf numFmtId="0" fontId="2" fillId="0" borderId="0" xfId="0" applyFont="1" applyAlignment="1">
      <alignment horizontal="center"/>
    </xf>
    <xf numFmtId="14" fontId="63" fillId="0" borderId="1" xfId="0" quotePrefix="1" applyNumberFormat="1" applyFont="1" applyFill="1" applyBorder="1" applyAlignment="1">
      <alignment horizontal="center" vertical="center" wrapText="1"/>
    </xf>
    <xf numFmtId="0" fontId="65" fillId="0" borderId="1" xfId="0" applyFont="1" applyFill="1" applyBorder="1" applyAlignment="1">
      <alignment horizontal="center" vertical="center"/>
    </xf>
    <xf numFmtId="0" fontId="40" fillId="0" borderId="3" xfId="0" applyFont="1" applyFill="1" applyBorder="1" applyAlignment="1">
      <alignment horizontal="center" vertical="center"/>
    </xf>
    <xf numFmtId="14" fontId="65" fillId="0" borderId="1" xfId="0" applyNumberFormat="1" applyFont="1" applyFill="1" applyBorder="1" applyAlignment="1">
      <alignment horizontal="center" vertical="center"/>
    </xf>
    <xf numFmtId="14" fontId="34" fillId="0" borderId="3" xfId="0" applyNumberFormat="1" applyFont="1" applyFill="1" applyBorder="1" applyAlignment="1">
      <alignment horizontal="center" vertical="center"/>
    </xf>
    <xf numFmtId="0" fontId="3" fillId="0" borderId="53" xfId="0" quotePrefix="1" applyFont="1" applyFill="1" applyBorder="1" applyAlignment="1" applyProtection="1">
      <alignment horizontal="center" vertical="center" wrapText="1"/>
      <protection locked="0"/>
    </xf>
    <xf numFmtId="0" fontId="3" fillId="0" borderId="53" xfId="0" applyFont="1" applyFill="1" applyBorder="1" applyAlignment="1" applyProtection="1">
      <alignment vertical="center" wrapText="1"/>
      <protection locked="0"/>
    </xf>
    <xf numFmtId="0" fontId="6" fillId="0" borderId="53" xfId="0" quotePrefix="1" applyFont="1" applyFill="1" applyBorder="1" applyAlignment="1" applyProtection="1">
      <alignment horizontal="justify" vertical="center" wrapText="1"/>
    </xf>
    <xf numFmtId="0" fontId="3" fillId="8" borderId="53" xfId="0" applyFont="1" applyFill="1" applyBorder="1" applyAlignment="1" applyProtection="1">
      <alignment horizontal="center" vertical="center" wrapText="1"/>
    </xf>
    <xf numFmtId="0" fontId="109" fillId="0" borderId="53" xfId="0" quotePrefix="1" applyFont="1" applyFill="1" applyBorder="1" applyAlignment="1" applyProtection="1">
      <alignment horizontal="justify" vertical="center" wrapText="1"/>
    </xf>
    <xf numFmtId="0" fontId="19" fillId="9" borderId="53" xfId="0" applyFont="1" applyFill="1" applyBorder="1" applyAlignment="1">
      <alignment horizontal="center" vertical="center"/>
    </xf>
    <xf numFmtId="0" fontId="6" fillId="9" borderId="53" xfId="0" applyFont="1" applyFill="1" applyBorder="1" applyAlignment="1">
      <alignment horizontal="left" vertical="center" wrapText="1"/>
    </xf>
    <xf numFmtId="0" fontId="6" fillId="10" borderId="53" xfId="0" quotePrefix="1" applyFont="1" applyFill="1" applyBorder="1" applyAlignment="1" applyProtection="1">
      <alignment horizontal="justify" vertical="center" wrapText="1"/>
      <protection locked="0"/>
    </xf>
    <xf numFmtId="0" fontId="6" fillId="0" borderId="53" xfId="0" quotePrefix="1" applyFont="1" applyFill="1" applyBorder="1" applyAlignment="1" applyProtection="1">
      <alignment horizontal="justify" vertical="center" wrapText="1"/>
      <protection locked="0"/>
    </xf>
    <xf numFmtId="0" fontId="6" fillId="5" borderId="53" xfId="0" applyFont="1" applyFill="1" applyBorder="1" applyAlignment="1" applyProtection="1">
      <alignment horizontal="justify" vertical="center" wrapText="1"/>
      <protection locked="0"/>
    </xf>
    <xf numFmtId="0" fontId="6" fillId="0" borderId="53" xfId="0" applyFont="1" applyFill="1" applyBorder="1" applyAlignment="1" applyProtection="1">
      <alignment horizontal="justify" vertical="center" wrapText="1"/>
      <protection locked="0"/>
    </xf>
    <xf numFmtId="0" fontId="2" fillId="0" borderId="1" xfId="0" applyFont="1" applyBorder="1" applyAlignment="1">
      <alignment horizontal="center" vertical="center" wrapText="1"/>
    </xf>
    <xf numFmtId="0" fontId="17" fillId="0" borderId="55" xfId="0" applyFont="1" applyFill="1" applyBorder="1" applyAlignment="1" applyProtection="1">
      <alignment horizontal="center" vertical="center" wrapText="1"/>
      <protection locked="0"/>
    </xf>
    <xf numFmtId="0" fontId="20" fillId="0" borderId="54" xfId="0" applyFont="1" applyFill="1" applyBorder="1" applyAlignment="1">
      <alignment horizontal="center" vertical="center"/>
    </xf>
    <xf numFmtId="0" fontId="20" fillId="0" borderId="10" xfId="0" applyFont="1" applyFill="1" applyBorder="1" applyAlignment="1">
      <alignment horizontal="center" vertical="center"/>
    </xf>
    <xf numFmtId="14" fontId="91" fillId="0" borderId="54" xfId="0" quotePrefix="1" applyNumberFormat="1" applyFont="1" applyBorder="1" applyAlignment="1">
      <alignment horizontal="center" vertical="center" wrapText="1"/>
    </xf>
    <xf numFmtId="0" fontId="15" fillId="0" borderId="54" xfId="0" quotePrefix="1" applyNumberFormat="1" applyFont="1" applyBorder="1" applyAlignment="1">
      <alignment horizontal="center" vertical="center" wrapText="1"/>
    </xf>
    <xf numFmtId="0" fontId="15" fillId="0" borderId="54" xfId="0" applyNumberFormat="1" applyFont="1" applyBorder="1" applyAlignment="1">
      <alignment horizontal="center" vertical="center" wrapText="1"/>
    </xf>
    <xf numFmtId="0" fontId="15" fillId="0" borderId="54"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51" xfId="0" applyFont="1" applyBorder="1" applyAlignment="1">
      <alignment horizontal="center" vertical="center" wrapText="1"/>
    </xf>
    <xf numFmtId="14" fontId="93" fillId="0" borderId="56" xfId="0" quotePrefix="1" applyNumberFormat="1" applyFont="1" applyFill="1" applyBorder="1" applyAlignment="1">
      <alignment horizontal="center" vertical="center" wrapText="1"/>
    </xf>
    <xf numFmtId="0" fontId="91" fillId="0" borderId="56" xfId="0" applyFont="1" applyFill="1" applyBorder="1" applyAlignment="1">
      <alignment horizontal="center" vertical="center"/>
    </xf>
    <xf numFmtId="0" fontId="104" fillId="9" borderId="1" xfId="0" applyFont="1" applyFill="1" applyBorder="1" applyAlignment="1" applyProtection="1">
      <alignment horizontal="justify" vertical="center" wrapText="1"/>
      <protection locked="0"/>
    </xf>
    <xf numFmtId="1" fontId="104" fillId="9" borderId="1" xfId="0" quotePrefix="1" applyNumberFormat="1" applyFont="1" applyFill="1" applyBorder="1" applyAlignment="1" applyProtection="1">
      <alignment horizontal="justify" vertical="center" wrapText="1"/>
      <protection locked="0"/>
    </xf>
    <xf numFmtId="0" fontId="104" fillId="9" borderId="1" xfId="0" quotePrefix="1" applyFont="1" applyFill="1" applyBorder="1" applyAlignment="1" applyProtection="1">
      <alignment horizontal="justify" vertical="center" wrapText="1"/>
      <protection locked="0"/>
    </xf>
    <xf numFmtId="9" fontId="15" fillId="0" borderId="57" xfId="0" applyNumberFormat="1" applyFont="1" applyBorder="1" applyAlignment="1">
      <alignment horizontal="center" vertical="center" wrapText="1"/>
    </xf>
    <xf numFmtId="0" fontId="15" fillId="0" borderId="57" xfId="0" applyFont="1" applyBorder="1" applyAlignment="1">
      <alignment horizontal="center" vertical="center" wrapText="1"/>
    </xf>
    <xf numFmtId="9" fontId="15" fillId="0" borderId="0" xfId="0" applyNumberFormat="1" applyFont="1" applyBorder="1" applyAlignment="1">
      <alignment horizontal="center" vertical="center" wrapText="1"/>
    </xf>
    <xf numFmtId="9" fontId="15" fillId="0" borderId="57" xfId="110" applyNumberFormat="1" applyFont="1" applyBorder="1" applyAlignment="1">
      <alignment horizontal="center" vertical="center" wrapText="1"/>
    </xf>
    <xf numFmtId="0" fontId="3" fillId="0" borderId="59" xfId="0" quotePrefix="1" applyFont="1" applyBorder="1" applyAlignment="1">
      <alignment vertical="center" wrapText="1"/>
    </xf>
    <xf numFmtId="0" fontId="2" fillId="0" borderId="0" xfId="0" applyFont="1" applyFill="1" applyAlignment="1" applyProtection="1">
      <alignment horizontal="center" vertical="center" wrapText="1"/>
      <protection locked="0"/>
    </xf>
    <xf numFmtId="9" fontId="15" fillId="0" borderId="60" xfId="0" applyNumberFormat="1" applyFont="1" applyBorder="1" applyAlignment="1">
      <alignment horizontal="center" vertical="center" wrapText="1"/>
    </xf>
    <xf numFmtId="0" fontId="6" fillId="9" borderId="1" xfId="0" applyFont="1" applyFill="1" applyBorder="1" applyAlignment="1">
      <alignment horizontal="justify" vertical="center" wrapText="1"/>
    </xf>
    <xf numFmtId="0" fontId="66" fillId="0" borderId="1" xfId="0" applyFont="1" applyFill="1" applyBorder="1" applyAlignment="1" applyProtection="1">
      <alignment horizontal="justify" vertical="center" wrapText="1"/>
      <protection locked="0"/>
    </xf>
    <xf numFmtId="164" fontId="61" fillId="2" borderId="1" xfId="89" applyNumberFormat="1" applyFont="1" applyFill="1" applyBorder="1" applyAlignment="1">
      <alignment horizontal="justify" vertical="center" wrapText="1"/>
    </xf>
    <xf numFmtId="0" fontId="107" fillId="0" borderId="1" xfId="0" applyFont="1" applyFill="1" applyBorder="1" applyAlignment="1" applyProtection="1">
      <alignment horizontal="justify" vertical="center" wrapText="1"/>
      <protection locked="0"/>
    </xf>
    <xf numFmtId="0" fontId="108" fillId="0" borderId="1" xfId="0" applyFont="1" applyFill="1" applyBorder="1" applyAlignment="1" applyProtection="1">
      <alignment horizontal="justify" vertical="center" wrapText="1"/>
      <protection locked="0"/>
    </xf>
    <xf numFmtId="0" fontId="112" fillId="0" borderId="1" xfId="0" applyFont="1" applyBorder="1" applyAlignment="1">
      <alignment horizontal="center" vertical="center" wrapText="1"/>
    </xf>
    <xf numFmtId="164" fontId="20" fillId="0" borderId="1" xfId="18" applyNumberFormat="1" applyFont="1" applyFill="1" applyBorder="1" applyAlignment="1" applyProtection="1">
      <alignment horizontal="justify" vertical="center" wrapText="1"/>
      <protection locked="0"/>
    </xf>
    <xf numFmtId="0" fontId="20" fillId="0" borderId="1" xfId="0" applyFont="1" applyFill="1" applyBorder="1" applyAlignment="1" applyProtection="1">
      <alignment horizontal="justify" vertical="center" wrapText="1"/>
      <protection locked="0"/>
    </xf>
    <xf numFmtId="0" fontId="61" fillId="0" borderId="1" xfId="0" applyNumberFormat="1" applyFont="1" applyFill="1" applyBorder="1" applyAlignment="1" applyProtection="1">
      <alignment horizontal="center" vertical="center" wrapText="1"/>
      <protection locked="0"/>
    </xf>
    <xf numFmtId="0" fontId="112" fillId="0" borderId="1" xfId="0" applyNumberFormat="1" applyFont="1" applyFill="1" applyBorder="1" applyAlignment="1" applyProtection="1">
      <alignment horizontal="center" vertical="center" wrapText="1"/>
      <protection locked="0"/>
    </xf>
    <xf numFmtId="0" fontId="61" fillId="0" borderId="1" xfId="0" quotePrefix="1" applyFont="1" applyFill="1" applyBorder="1" applyAlignment="1" applyProtection="1">
      <alignment horizontal="center" vertical="center" wrapText="1"/>
      <protection locked="0"/>
    </xf>
    <xf numFmtId="0" fontId="108" fillId="0" borderId="28" xfId="0" applyFont="1" applyBorder="1" applyAlignment="1">
      <alignment horizontal="center" vertical="center" wrapText="1"/>
    </xf>
    <xf numFmtId="0" fontId="92" fillId="0" borderId="28" xfId="0" applyFont="1" applyBorder="1" applyAlignment="1">
      <alignment horizontal="center" vertical="center" wrapText="1"/>
    </xf>
    <xf numFmtId="0" fontId="108" fillId="0" borderId="28" xfId="0" applyFont="1" applyFill="1" applyBorder="1" applyAlignment="1">
      <alignment horizontal="center" vertical="center" wrapText="1"/>
    </xf>
    <xf numFmtId="0" fontId="92" fillId="0" borderId="28" xfId="0" applyFont="1" applyFill="1" applyBorder="1" applyAlignment="1">
      <alignment horizontal="center" vertical="center" wrapText="1"/>
    </xf>
    <xf numFmtId="0" fontId="108" fillId="0" borderId="1" xfId="0" quotePrefix="1" applyFont="1" applyFill="1" applyBorder="1" applyAlignment="1" applyProtection="1">
      <alignment horizontal="justify" vertical="center" wrapText="1"/>
      <protection locked="0"/>
    </xf>
    <xf numFmtId="0" fontId="108" fillId="0" borderId="1" xfId="0" applyFont="1" applyBorder="1" applyAlignment="1">
      <alignment horizontal="center" vertical="center"/>
    </xf>
    <xf numFmtId="0" fontId="108" fillId="0" borderId="1" xfId="0" applyFont="1" applyBorder="1" applyAlignment="1">
      <alignment horizontal="justify" vertical="center" wrapText="1"/>
    </xf>
    <xf numFmtId="0" fontId="114" fillId="0" borderId="1" xfId="0" applyFont="1" applyBorder="1" applyAlignment="1">
      <alignment horizontal="center" vertical="center" wrapText="1"/>
    </xf>
    <xf numFmtId="0" fontId="108" fillId="0" borderId="1" xfId="0" quotePrefix="1" applyFont="1" applyBorder="1" applyAlignment="1">
      <alignment horizontal="center" vertical="center" wrapText="1"/>
    </xf>
    <xf numFmtId="0" fontId="108" fillId="0" borderId="1" xfId="0" quotePrefix="1" applyNumberFormat="1" applyFont="1" applyFill="1" applyBorder="1" applyAlignment="1" applyProtection="1">
      <alignment horizontal="justify" vertical="center" wrapText="1"/>
      <protection locked="0"/>
    </xf>
    <xf numFmtId="0" fontId="108" fillId="12" borderId="1" xfId="0" applyFont="1" applyFill="1" applyBorder="1" applyAlignment="1">
      <alignment horizontal="center" vertical="center" wrapText="1"/>
    </xf>
    <xf numFmtId="0" fontId="20" fillId="0" borderId="1" xfId="0" quotePrefix="1" applyNumberFormat="1" applyFont="1" applyFill="1" applyBorder="1" applyAlignment="1" applyProtection="1">
      <alignment horizontal="justify" vertical="center" wrapText="1"/>
      <protection locked="0"/>
    </xf>
    <xf numFmtId="1" fontId="20" fillId="0" borderId="1" xfId="109" quotePrefix="1" applyNumberFormat="1" applyFont="1" applyFill="1" applyBorder="1" applyAlignment="1" applyProtection="1">
      <alignment horizontal="justify" vertical="center" wrapText="1"/>
      <protection locked="0"/>
    </xf>
    <xf numFmtId="0" fontId="20" fillId="0" borderId="1" xfId="0" quotePrefix="1" applyFont="1" applyFill="1" applyBorder="1" applyAlignment="1" applyProtection="1">
      <alignment horizontal="justify" vertical="center" wrapText="1"/>
      <protection locked="0"/>
    </xf>
    <xf numFmtId="1" fontId="20" fillId="0" borderId="1" xfId="109" applyNumberFormat="1" applyFont="1" applyFill="1" applyBorder="1" applyAlignment="1" applyProtection="1">
      <alignment horizontal="justify" vertical="center" wrapText="1"/>
      <protection locked="0"/>
    </xf>
    <xf numFmtId="0" fontId="20" fillId="0" borderId="1" xfId="0" applyNumberFormat="1" applyFont="1" applyFill="1" applyBorder="1" applyAlignment="1" applyProtection="1">
      <alignment horizontal="justify" vertical="center" wrapText="1"/>
      <protection locked="0"/>
    </xf>
    <xf numFmtId="0" fontId="43" fillId="0" borderId="1" xfId="0" applyFont="1" applyFill="1" applyBorder="1" applyAlignment="1" applyProtection="1">
      <alignment horizontal="justify" vertical="center" wrapText="1"/>
      <protection locked="0"/>
    </xf>
    <xf numFmtId="0" fontId="43" fillId="0" borderId="1" xfId="0" quotePrefix="1" applyNumberFormat="1" applyFont="1" applyFill="1" applyBorder="1" applyAlignment="1" applyProtection="1">
      <alignment horizontal="justify" vertical="center" wrapText="1"/>
      <protection locked="0"/>
    </xf>
    <xf numFmtId="0" fontId="20" fillId="0" borderId="1" xfId="0" quotePrefix="1" applyNumberFormat="1" applyFont="1" applyFill="1" applyBorder="1" applyAlignment="1" applyProtection="1">
      <alignment vertical="center" wrapText="1"/>
      <protection locked="0"/>
    </xf>
    <xf numFmtId="0" fontId="20" fillId="0" borderId="1" xfId="120" applyFont="1" applyFill="1" applyBorder="1" applyAlignment="1" applyProtection="1">
      <alignment horizontal="justify" vertical="center" wrapText="1"/>
      <protection locked="0"/>
    </xf>
    <xf numFmtId="0" fontId="61" fillId="0" borderId="1" xfId="0" applyFont="1" applyFill="1" applyBorder="1" applyAlignment="1" applyProtection="1">
      <alignment vertical="center" wrapText="1"/>
      <protection locked="0"/>
    </xf>
    <xf numFmtId="0" fontId="20" fillId="5" borderId="1" xfId="0" applyFont="1" applyFill="1" applyBorder="1" applyAlignment="1" applyProtection="1">
      <alignment horizontal="justify" vertical="center" wrapText="1"/>
      <protection locked="0"/>
    </xf>
    <xf numFmtId="0" fontId="20" fillId="10" borderId="1" xfId="0" applyNumberFormat="1" applyFont="1" applyFill="1" applyBorder="1" applyAlignment="1" applyProtection="1">
      <alignment horizontal="justify" vertical="center" wrapText="1"/>
      <protection locked="0"/>
    </xf>
    <xf numFmtId="0" fontId="2" fillId="16" borderId="19"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10" borderId="1" xfId="0" applyFont="1" applyFill="1" applyBorder="1" applyAlignment="1" applyProtection="1">
      <alignment horizontal="center" vertical="center" wrapText="1"/>
      <protection locked="0"/>
    </xf>
    <xf numFmtId="0" fontId="2" fillId="9" borderId="1" xfId="0" applyFont="1" applyFill="1" applyBorder="1" applyAlignment="1" applyProtection="1">
      <alignment horizontal="center" vertical="center" wrapText="1"/>
      <protection locked="0"/>
    </xf>
    <xf numFmtId="0" fontId="2" fillId="5" borderId="1" xfId="0" applyFont="1" applyFill="1" applyBorder="1" applyAlignment="1" applyProtection="1">
      <alignment horizontal="center" vertical="center" wrapText="1"/>
      <protection locked="0"/>
    </xf>
    <xf numFmtId="0" fontId="2" fillId="8" borderId="1" xfId="0" applyFont="1" applyFill="1" applyBorder="1" applyAlignment="1" applyProtection="1">
      <alignment horizontal="center" vertical="center" wrapText="1"/>
    </xf>
    <xf numFmtId="0" fontId="2" fillId="0" borderId="0" xfId="117" applyFont="1" applyFill="1" applyAlignment="1">
      <alignment horizontal="center" vertical="center" wrapText="1"/>
    </xf>
    <xf numFmtId="0" fontId="18" fillId="0" borderId="1" xfId="0" applyFont="1" applyFill="1" applyBorder="1" applyAlignment="1" applyProtection="1">
      <alignment horizontal="center" vertical="center" wrapText="1"/>
      <protection locked="0"/>
    </xf>
    <xf numFmtId="0" fontId="18" fillId="0" borderId="2" xfId="0" applyFont="1" applyFill="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0" fontId="6" fillId="0" borderId="61" xfId="0" quotePrefix="1" applyFont="1" applyFill="1" applyBorder="1" applyAlignment="1" applyProtection="1">
      <alignment horizontal="justify" vertical="center" wrapText="1"/>
    </xf>
    <xf numFmtId="0" fontId="3" fillId="8" borderId="61" xfId="0" applyFont="1" applyFill="1" applyBorder="1" applyAlignment="1" applyProtection="1">
      <alignment horizontal="center" vertical="center" wrapText="1"/>
    </xf>
    <xf numFmtId="0" fontId="6" fillId="0" borderId="61" xfId="0" quotePrefix="1" applyFont="1" applyFill="1" applyBorder="1" applyAlignment="1" applyProtection="1">
      <alignment horizontal="justify" vertical="center" wrapText="1"/>
      <protection locked="0"/>
    </xf>
    <xf numFmtId="1" fontId="91" fillId="0" borderId="57" xfId="0" quotePrefix="1" applyNumberFormat="1" applyFont="1" applyFill="1" applyBorder="1" applyAlignment="1">
      <alignment horizontal="center" vertical="center" wrapText="1"/>
    </xf>
    <xf numFmtId="0" fontId="19" fillId="0" borderId="61" xfId="0" applyFont="1" applyFill="1" applyBorder="1" applyAlignment="1" applyProtection="1">
      <alignment horizontal="center" vertical="center" wrapText="1"/>
      <protection locked="0"/>
    </xf>
    <xf numFmtId="14" fontId="15" fillId="0" borderId="61" xfId="0" applyNumberFormat="1" applyFont="1" applyBorder="1" applyAlignment="1">
      <alignment horizontal="center" vertical="center"/>
    </xf>
    <xf numFmtId="0" fontId="91" fillId="0" borderId="61" xfId="0" applyFont="1" applyBorder="1" applyAlignment="1">
      <alignment horizontal="center" vertical="center"/>
    </xf>
    <xf numFmtId="0" fontId="91" fillId="0" borderId="61" xfId="0" applyFont="1" applyFill="1" applyBorder="1" applyAlignment="1">
      <alignment horizontal="center" vertical="center"/>
    </xf>
    <xf numFmtId="9" fontId="15" fillId="0" borderId="61" xfId="0" applyNumberFormat="1" applyFont="1" applyBorder="1" applyAlignment="1">
      <alignment horizontal="center" vertical="center" wrapText="1"/>
    </xf>
    <xf numFmtId="0" fontId="15" fillId="0" borderId="61" xfId="0" applyFont="1" applyBorder="1" applyAlignment="1">
      <alignment horizontal="center" vertical="center" wrapText="1"/>
    </xf>
    <xf numFmtId="0" fontId="3" fillId="0" borderId="61" xfId="0" quotePrefix="1" applyFont="1" applyFill="1" applyBorder="1" applyAlignment="1" applyProtection="1">
      <alignment horizontal="center" vertical="center" wrapText="1"/>
      <protection locked="0"/>
    </xf>
    <xf numFmtId="0" fontId="3" fillId="9" borderId="61" xfId="0" applyFont="1" applyFill="1" applyBorder="1" applyAlignment="1">
      <alignment horizontal="center" vertical="center" wrapText="1"/>
    </xf>
    <xf numFmtId="49" fontId="6" fillId="10" borderId="61" xfId="18" quotePrefix="1" applyNumberFormat="1" applyFont="1" applyFill="1" applyBorder="1" applyAlignment="1" applyProtection="1">
      <alignment horizontal="justify" vertical="center" wrapText="1"/>
      <protection locked="0"/>
    </xf>
    <xf numFmtId="49" fontId="6" fillId="0" borderId="61" xfId="18" quotePrefix="1" applyNumberFormat="1" applyFont="1" applyFill="1" applyBorder="1" applyAlignment="1" applyProtection="1">
      <alignment horizontal="justify" vertical="center" wrapText="1"/>
      <protection locked="0"/>
    </xf>
    <xf numFmtId="0" fontId="6" fillId="5" borderId="61" xfId="0" applyFont="1" applyFill="1" applyBorder="1" applyAlignment="1" applyProtection="1">
      <alignment horizontal="justify" vertical="center" wrapText="1"/>
      <protection locked="0"/>
    </xf>
    <xf numFmtId="0" fontId="6" fillId="0" borderId="61" xfId="0" applyFont="1" applyFill="1" applyBorder="1" applyAlignment="1" applyProtection="1">
      <alignment horizontal="justify" vertical="center" wrapText="1"/>
      <protection locked="0"/>
    </xf>
    <xf numFmtId="0" fontId="15" fillId="0" borderId="62" xfId="0" applyFont="1" applyFill="1" applyBorder="1" applyAlignment="1" applyProtection="1">
      <alignment horizontal="center" vertical="center" wrapText="1"/>
      <protection locked="0"/>
    </xf>
    <xf numFmtId="0" fontId="15" fillId="0" borderId="62" xfId="0" applyFont="1" applyBorder="1" applyAlignment="1">
      <alignment horizontal="center" vertical="center" wrapText="1"/>
    </xf>
    <xf numFmtId="0" fontId="3" fillId="0" borderId="62" xfId="0" quotePrefix="1" applyFont="1" applyFill="1" applyBorder="1" applyAlignment="1" applyProtection="1">
      <alignment horizontal="center" vertical="center" wrapText="1"/>
      <protection locked="0"/>
    </xf>
    <xf numFmtId="0" fontId="3" fillId="0" borderId="62" xfId="0" applyNumberFormat="1" applyFont="1" applyFill="1" applyBorder="1" applyAlignment="1" applyProtection="1">
      <alignment horizontal="center" vertical="center" wrapText="1"/>
      <protection locked="0"/>
    </xf>
    <xf numFmtId="0" fontId="6" fillId="0" borderId="62" xfId="0" quotePrefix="1" applyFont="1" applyFill="1" applyBorder="1" applyAlignment="1" applyProtection="1">
      <alignment horizontal="justify" vertical="center" wrapText="1"/>
    </xf>
    <xf numFmtId="0" fontId="109" fillId="0" borderId="62" xfId="0" quotePrefix="1" applyFont="1" applyFill="1" applyBorder="1" applyAlignment="1" applyProtection="1">
      <alignment horizontal="justify" vertical="center" wrapText="1"/>
    </xf>
    <xf numFmtId="0" fontId="6" fillId="9" borderId="62" xfId="0" quotePrefix="1" applyNumberFormat="1" applyFont="1" applyFill="1" applyBorder="1" applyAlignment="1" applyProtection="1">
      <alignment horizontal="justify" vertical="center" wrapText="1"/>
      <protection locked="0"/>
    </xf>
    <xf numFmtId="0" fontId="67" fillId="10" borderId="62" xfId="0" quotePrefix="1" applyNumberFormat="1" applyFont="1" applyFill="1" applyBorder="1" applyAlignment="1" applyProtection="1">
      <alignment horizontal="justify" vertical="center" wrapText="1"/>
      <protection locked="0"/>
    </xf>
    <xf numFmtId="0" fontId="67" fillId="0" borderId="62" xfId="0" quotePrefix="1" applyNumberFormat="1" applyFont="1" applyFill="1" applyBorder="1" applyAlignment="1" applyProtection="1">
      <alignment horizontal="justify" vertical="center" wrapText="1"/>
      <protection locked="0"/>
    </xf>
    <xf numFmtId="0" fontId="6" fillId="5" borderId="62" xfId="0" quotePrefix="1" applyNumberFormat="1" applyFont="1" applyFill="1" applyBorder="1" applyAlignment="1" applyProtection="1">
      <alignment horizontal="justify" vertical="center" wrapText="1"/>
      <protection locked="0"/>
    </xf>
    <xf numFmtId="0" fontId="20" fillId="0" borderId="62" xfId="0" quotePrefix="1" applyFont="1" applyFill="1" applyBorder="1" applyAlignment="1" applyProtection="1">
      <alignment horizontal="justify" vertical="center" wrapText="1"/>
      <protection locked="0"/>
    </xf>
    <xf numFmtId="0" fontId="20" fillId="0" borderId="62" xfId="0" applyFont="1" applyFill="1" applyBorder="1" applyAlignment="1" applyProtection="1">
      <alignment horizontal="justify" vertical="center" wrapText="1"/>
      <protection locked="0"/>
    </xf>
    <xf numFmtId="0" fontId="43" fillId="0" borderId="62" xfId="0" applyFont="1" applyFill="1" applyBorder="1" applyAlignment="1" applyProtection="1">
      <alignment vertical="center" wrapText="1"/>
      <protection locked="0"/>
    </xf>
    <xf numFmtId="0" fontId="19" fillId="0" borderId="62" xfId="0" applyFont="1" applyFill="1" applyBorder="1" applyAlignment="1">
      <alignment vertical="center" wrapText="1"/>
    </xf>
    <xf numFmtId="0" fontId="19" fillId="0" borderId="62" xfId="0" quotePrefix="1" applyFont="1" applyFill="1" applyBorder="1" applyAlignment="1">
      <alignment horizontal="center" vertical="center" wrapText="1"/>
    </xf>
    <xf numFmtId="0" fontId="6" fillId="10" borderId="62" xfId="0" applyNumberFormat="1" applyFont="1" applyFill="1" applyBorder="1" applyAlignment="1" applyProtection="1">
      <alignment horizontal="justify" vertical="center" wrapText="1"/>
      <protection locked="0"/>
    </xf>
    <xf numFmtId="0" fontId="6" fillId="0" borderId="62" xfId="0" applyNumberFormat="1" applyFont="1" applyFill="1" applyBorder="1" applyAlignment="1" applyProtection="1">
      <alignment horizontal="justify" vertical="center" wrapText="1"/>
      <protection locked="0"/>
    </xf>
    <xf numFmtId="0" fontId="3" fillId="0" borderId="62" xfId="0" quotePrefix="1" applyNumberFormat="1" applyFont="1" applyFill="1" applyBorder="1" applyAlignment="1" applyProtection="1">
      <alignment horizontal="center" vertical="center" wrapText="1"/>
      <protection locked="0"/>
    </xf>
    <xf numFmtId="0" fontId="6" fillId="0" borderId="62" xfId="0" quotePrefix="1" applyFont="1" applyFill="1" applyBorder="1" applyAlignment="1" applyProtection="1">
      <alignment horizontal="justify" vertical="center" wrapText="1"/>
      <protection locked="0"/>
    </xf>
    <xf numFmtId="0" fontId="6" fillId="0" borderId="62" xfId="0" quotePrefix="1" applyNumberFormat="1" applyFont="1" applyFill="1" applyBorder="1" applyAlignment="1" applyProtection="1">
      <alignment horizontal="justify" vertical="center" wrapText="1"/>
      <protection locked="0"/>
    </xf>
    <xf numFmtId="0" fontId="61" fillId="0" borderId="62" xfId="0" applyFont="1" applyFill="1" applyBorder="1" applyAlignment="1" applyProtection="1">
      <alignment horizontal="center" vertical="center" wrapText="1"/>
      <protection locked="0"/>
    </xf>
    <xf numFmtId="0" fontId="67" fillId="0" borderId="62" xfId="0" applyFont="1" applyFill="1" applyBorder="1" applyAlignment="1" applyProtection="1">
      <alignment horizontal="justify" vertical="center" wrapText="1"/>
      <protection locked="0"/>
    </xf>
    <xf numFmtId="0" fontId="3" fillId="0" borderId="62" xfId="0" applyFont="1" applyFill="1" applyBorder="1" applyAlignment="1">
      <alignment horizontal="left" vertical="center" wrapText="1"/>
    </xf>
    <xf numFmtId="0" fontId="3" fillId="0" borderId="62" xfId="0" quotePrefix="1" applyFont="1" applyFill="1" applyBorder="1" applyAlignment="1">
      <alignment horizontal="left" vertical="center" wrapText="1"/>
    </xf>
    <xf numFmtId="14" fontId="93" fillId="0" borderId="62" xfId="0" applyNumberFormat="1" applyFont="1" applyBorder="1" applyAlignment="1">
      <alignment horizontal="center" vertical="center"/>
    </xf>
    <xf numFmtId="0" fontId="12" fillId="0" borderId="62" xfId="0" applyFont="1" applyFill="1" applyBorder="1" applyAlignment="1" applyProtection="1">
      <alignment vertical="center" wrapText="1"/>
      <protection locked="0"/>
    </xf>
    <xf numFmtId="14" fontId="30" fillId="0" borderId="62" xfId="0" quotePrefix="1" applyNumberFormat="1" applyFont="1" applyBorder="1" applyAlignment="1">
      <alignment horizontal="center" vertical="center" wrapText="1"/>
    </xf>
    <xf numFmtId="0" fontId="62" fillId="0" borderId="62" xfId="0" applyFont="1" applyBorder="1" applyAlignment="1">
      <alignment horizontal="center" vertical="center"/>
    </xf>
    <xf numFmtId="9" fontId="15" fillId="0" borderId="62" xfId="0" applyNumberFormat="1" applyFont="1" applyBorder="1" applyAlignment="1">
      <alignment horizontal="center" vertical="center" wrapText="1"/>
    </xf>
    <xf numFmtId="0" fontId="30" fillId="0" borderId="62" xfId="0" applyFont="1" applyBorder="1" applyAlignment="1">
      <alignment horizontal="center" vertical="center" wrapText="1"/>
    </xf>
    <xf numFmtId="0" fontId="15" fillId="0" borderId="62" xfId="0" applyFont="1" applyFill="1" applyBorder="1" applyAlignment="1">
      <alignment vertical="center" wrapText="1"/>
    </xf>
    <xf numFmtId="0" fontId="3" fillId="0" borderId="62" xfId="0" quotePrefix="1" applyFont="1" applyFill="1" applyBorder="1" applyAlignment="1">
      <alignment horizontal="center" vertical="center" wrapText="1"/>
    </xf>
    <xf numFmtId="0" fontId="105" fillId="0" borderId="62" xfId="0" applyFont="1" applyFill="1" applyBorder="1" applyAlignment="1" applyProtection="1">
      <alignment horizontal="center" vertical="center" wrapText="1"/>
      <protection locked="0"/>
    </xf>
    <xf numFmtId="14" fontId="15" fillId="0" borderId="62" xfId="0" quotePrefix="1" applyNumberFormat="1" applyFont="1" applyFill="1" applyBorder="1" applyAlignment="1">
      <alignment horizontal="center" vertical="center" wrapText="1"/>
    </xf>
    <xf numFmtId="9" fontId="15" fillId="0" borderId="62" xfId="0" applyNumberFormat="1" applyFont="1" applyFill="1" applyBorder="1" applyAlignment="1">
      <alignment horizontal="center" vertical="center" wrapText="1"/>
    </xf>
    <xf numFmtId="0" fontId="2" fillId="13" borderId="1" xfId="0" quotePrefix="1" applyNumberFormat="1" applyFont="1" applyFill="1" applyBorder="1" applyAlignment="1" applyProtection="1">
      <alignment horizontal="center" vertical="center" wrapText="1"/>
      <protection locked="0"/>
    </xf>
    <xf numFmtId="0" fontId="3" fillId="2" borderId="24" xfId="0" applyFont="1" applyFill="1" applyBorder="1" applyAlignment="1" applyProtection="1">
      <alignment horizontal="justify" vertical="center" wrapText="1"/>
      <protection locked="0"/>
    </xf>
    <xf numFmtId="14" fontId="91" fillId="0" borderId="63" xfId="0" quotePrefix="1" applyNumberFormat="1" applyFont="1" applyBorder="1" applyAlignment="1">
      <alignment horizontal="center" vertical="center" wrapText="1"/>
    </xf>
    <xf numFmtId="14" fontId="91" fillId="0" borderId="63" xfId="0" applyNumberFormat="1" applyFont="1" applyBorder="1" applyAlignment="1">
      <alignment horizontal="center" vertical="center"/>
    </xf>
    <xf numFmtId="0" fontId="15" fillId="0" borderId="63" xfId="0" applyFont="1" applyFill="1" applyBorder="1" applyAlignment="1">
      <alignment horizontal="center" vertical="center"/>
    </xf>
    <xf numFmtId="0" fontId="15" fillId="0" borderId="63" xfId="0" applyFont="1" applyBorder="1" applyAlignment="1">
      <alignment horizontal="center" vertical="center"/>
    </xf>
    <xf numFmtId="0" fontId="91" fillId="0" borderId="64" xfId="0" applyFont="1" applyBorder="1" applyAlignment="1">
      <alignment horizontal="center" vertical="center"/>
    </xf>
    <xf numFmtId="14" fontId="91" fillId="0" borderId="64" xfId="0" quotePrefix="1" applyNumberFormat="1" applyFont="1" applyBorder="1" applyAlignment="1">
      <alignment horizontal="center" vertical="center" wrapText="1"/>
    </xf>
    <xf numFmtId="9" fontId="15" fillId="0" borderId="64" xfId="0" applyNumberFormat="1" applyFont="1" applyBorder="1" applyAlignment="1">
      <alignment horizontal="center" vertical="center" wrapText="1"/>
    </xf>
    <xf numFmtId="0" fontId="91" fillId="12" borderId="64" xfId="0" applyFont="1" applyFill="1" applyBorder="1" applyAlignment="1">
      <alignment horizontal="center" vertical="center"/>
    </xf>
    <xf numFmtId="0" fontId="91" fillId="0" borderId="64" xfId="0" quotePrefix="1" applyFont="1" applyBorder="1" applyAlignment="1">
      <alignment horizontal="center" vertical="center"/>
    </xf>
    <xf numFmtId="0" fontId="15" fillId="0" borderId="64" xfId="0" applyFont="1" applyBorder="1" applyAlignment="1">
      <alignment horizontal="center" vertical="center"/>
    </xf>
    <xf numFmtId="0" fontId="0" fillId="0" borderId="64" xfId="0" applyBorder="1" applyAlignment="1">
      <alignment horizontal="center" vertical="center"/>
    </xf>
    <xf numFmtId="0" fontId="3" fillId="12" borderId="64" xfId="0" applyFont="1" applyFill="1" applyBorder="1" applyAlignment="1">
      <alignment horizontal="center" vertical="center" wrapText="1"/>
    </xf>
    <xf numFmtId="0" fontId="3" fillId="12" borderId="63" xfId="0" applyFont="1" applyFill="1" applyBorder="1" applyAlignment="1">
      <alignment horizontal="center" vertical="center" wrapText="1"/>
    </xf>
    <xf numFmtId="1" fontId="91" fillId="0" borderId="65" xfId="0" quotePrefix="1" applyNumberFormat="1" applyFont="1" applyBorder="1" applyAlignment="1">
      <alignment horizontal="center" vertical="center" wrapText="1"/>
    </xf>
    <xf numFmtId="1" fontId="3" fillId="2" borderId="24" xfId="0" quotePrefix="1" applyNumberFormat="1" applyFont="1" applyFill="1" applyBorder="1" applyAlignment="1" applyProtection="1">
      <alignment horizontal="center" vertical="center" wrapText="1"/>
      <protection locked="0"/>
    </xf>
    <xf numFmtId="0" fontId="107" fillId="0" borderId="1" xfId="0" quotePrefix="1" applyFont="1" applyFill="1" applyBorder="1" applyAlignment="1" applyProtection="1">
      <alignment vertical="center" wrapText="1"/>
      <protection locked="0"/>
    </xf>
    <xf numFmtId="14" fontId="91" fillId="0" borderId="66" xfId="0" quotePrefix="1" applyNumberFormat="1" applyFont="1" applyBorder="1" applyAlignment="1">
      <alignment horizontal="center" vertical="center" wrapText="1"/>
    </xf>
    <xf numFmtId="14" fontId="91" fillId="0" borderId="66" xfId="0" applyNumberFormat="1" applyFont="1" applyBorder="1" applyAlignment="1">
      <alignment horizontal="center" vertical="center"/>
    </xf>
    <xf numFmtId="9" fontId="15" fillId="0" borderId="66" xfId="0" applyNumberFormat="1" applyFont="1" applyBorder="1" applyAlignment="1">
      <alignment horizontal="center" vertical="center" wrapText="1"/>
    </xf>
    <xf numFmtId="0" fontId="85" fillId="0" borderId="54" xfId="0" applyFont="1" applyFill="1" applyBorder="1" applyAlignment="1" applyProtection="1">
      <alignment horizontal="center" vertical="center" wrapText="1"/>
      <protection locked="0"/>
    </xf>
    <xf numFmtId="0" fontId="3" fillId="0" borderId="62" xfId="0" applyFont="1" applyFill="1" applyBorder="1" applyAlignment="1" applyProtection="1">
      <alignment vertical="center" wrapText="1"/>
      <protection locked="0"/>
    </xf>
    <xf numFmtId="0" fontId="3" fillId="0" borderId="61" xfId="0" applyFont="1" applyBorder="1" applyAlignment="1">
      <alignment vertical="center" wrapText="1"/>
    </xf>
    <xf numFmtId="0" fontId="108" fillId="0" borderId="45" xfId="0" applyFont="1" applyFill="1" applyBorder="1" applyAlignment="1" applyProtection="1">
      <alignment vertical="center" wrapText="1"/>
      <protection locked="0"/>
    </xf>
    <xf numFmtId="0" fontId="3" fillId="0" borderId="19" xfId="0" applyFont="1" applyFill="1" applyBorder="1" applyAlignment="1" applyProtection="1">
      <alignment horizontal="center" vertical="center" wrapText="1"/>
      <protection locked="0"/>
    </xf>
    <xf numFmtId="0" fontId="12" fillId="16" borderId="19" xfId="0" applyFont="1" applyFill="1" applyBorder="1" applyAlignment="1">
      <alignment horizontal="center" vertical="center" wrapText="1"/>
    </xf>
    <xf numFmtId="0" fontId="2" fillId="0" borderId="19" xfId="0" applyFont="1" applyFill="1" applyBorder="1" applyAlignment="1" applyProtection="1">
      <alignment horizontal="center" vertical="center" wrapText="1"/>
      <protection locked="0"/>
    </xf>
    <xf numFmtId="14" fontId="91" fillId="0" borderId="28" xfId="0" applyNumberFormat="1" applyFont="1" applyBorder="1" applyAlignment="1">
      <alignment horizontal="center" vertical="center" wrapText="1"/>
    </xf>
    <xf numFmtId="0" fontId="17" fillId="0" borderId="11" xfId="0" applyFont="1" applyFill="1" applyBorder="1" applyAlignment="1">
      <alignment horizontal="center" vertical="center" wrapText="1"/>
    </xf>
    <xf numFmtId="0" fontId="15" fillId="0" borderId="68" xfId="0" applyFont="1" applyFill="1" applyBorder="1" applyAlignment="1">
      <alignment vertical="center" wrapText="1"/>
    </xf>
    <xf numFmtId="0" fontId="15" fillId="0" borderId="68" xfId="0" applyFont="1" applyFill="1" applyBorder="1" applyAlignment="1">
      <alignment horizontal="center" vertical="center" wrapText="1"/>
    </xf>
    <xf numFmtId="0" fontId="15" fillId="0" borderId="20" xfId="0" applyFont="1" applyFill="1" applyBorder="1" applyAlignment="1">
      <alignment horizontal="center" vertical="center" wrapText="1"/>
    </xf>
    <xf numFmtId="0" fontId="15" fillId="0" borderId="69" xfId="0" applyFont="1" applyFill="1" applyBorder="1" applyAlignment="1">
      <alignment horizontal="center" vertical="center" wrapText="1"/>
    </xf>
    <xf numFmtId="167" fontId="15" fillId="0" borderId="69" xfId="0" applyNumberFormat="1" applyFont="1" applyFill="1" applyBorder="1" applyAlignment="1">
      <alignment horizontal="center" vertical="center" wrapText="1"/>
    </xf>
    <xf numFmtId="0" fontId="17" fillId="0" borderId="70" xfId="0" applyFont="1" applyFill="1" applyBorder="1" applyAlignment="1">
      <alignment horizontal="center" vertical="center" wrapText="1"/>
    </xf>
    <xf numFmtId="0" fontId="17" fillId="0" borderId="69" xfId="0" applyFont="1" applyFill="1" applyBorder="1" applyAlignment="1">
      <alignment horizontal="center" vertical="center" wrapText="1"/>
    </xf>
    <xf numFmtId="0" fontId="17" fillId="8" borderId="70" xfId="0" applyFont="1" applyFill="1" applyBorder="1" applyAlignment="1">
      <alignment horizontal="center" vertical="center" wrapText="1"/>
    </xf>
    <xf numFmtId="0" fontId="15" fillId="8" borderId="69" xfId="0" applyFont="1" applyFill="1" applyBorder="1" applyAlignment="1">
      <alignment vertical="center" wrapText="1"/>
    </xf>
    <xf numFmtId="0" fontId="15" fillId="8" borderId="69" xfId="0" applyFont="1" applyFill="1" applyBorder="1" applyAlignment="1">
      <alignment horizontal="center" vertical="center" wrapText="1"/>
    </xf>
    <xf numFmtId="0" fontId="100" fillId="0" borderId="0" xfId="0" applyFont="1" applyFill="1"/>
    <xf numFmtId="0" fontId="100" fillId="0" borderId="0" xfId="0" applyFont="1" applyFill="1" applyAlignment="1">
      <alignment wrapText="1"/>
    </xf>
    <xf numFmtId="0" fontId="17" fillId="17" borderId="69" xfId="0" applyFont="1" applyFill="1" applyBorder="1" applyAlignment="1">
      <alignment horizontal="center" vertical="center" wrapText="1"/>
    </xf>
    <xf numFmtId="0" fontId="17" fillId="20" borderId="69" xfId="0" applyFont="1" applyFill="1" applyBorder="1" applyAlignment="1">
      <alignment horizontal="center" vertical="center" wrapText="1"/>
    </xf>
    <xf numFmtId="0" fontId="15" fillId="21" borderId="69" xfId="0" applyFont="1" applyFill="1" applyBorder="1" applyAlignment="1">
      <alignment horizontal="center" vertical="center" wrapText="1"/>
    </xf>
    <xf numFmtId="0" fontId="15" fillId="21" borderId="1" xfId="0" applyFont="1" applyFill="1" applyBorder="1" applyAlignment="1">
      <alignment vertical="center" wrapText="1"/>
    </xf>
    <xf numFmtId="0" fontId="15" fillId="21" borderId="69" xfId="0" applyFont="1" applyFill="1" applyBorder="1" applyAlignment="1">
      <alignment vertical="center" wrapText="1"/>
    </xf>
    <xf numFmtId="0" fontId="15" fillId="17" borderId="69" xfId="0" applyFont="1" applyFill="1" applyBorder="1" applyAlignment="1">
      <alignment horizontal="center" vertical="center" wrapText="1"/>
    </xf>
    <xf numFmtId="0" fontId="15" fillId="20" borderId="69" xfId="0" applyFont="1" applyFill="1" applyBorder="1" applyAlignment="1">
      <alignment horizontal="center" vertical="center" wrapText="1"/>
    </xf>
    <xf numFmtId="0" fontId="15" fillId="21" borderId="1" xfId="0" applyFont="1" applyFill="1" applyBorder="1" applyAlignment="1">
      <alignment horizontal="center" vertical="center" wrapText="1"/>
    </xf>
    <xf numFmtId="0" fontId="15" fillId="0" borderId="20" xfId="0" quotePrefix="1" applyFont="1" applyFill="1" applyBorder="1" applyAlignment="1">
      <alignment horizontal="center" vertical="center" wrapText="1"/>
    </xf>
    <xf numFmtId="0" fontId="15" fillId="0" borderId="1" xfId="0" applyFont="1" applyBorder="1" applyAlignment="1" applyProtection="1">
      <alignment horizontal="left" vertical="center" wrapText="1"/>
      <protection locked="0"/>
    </xf>
    <xf numFmtId="0" fontId="14" fillId="0" borderId="1" xfId="0" quotePrefix="1" applyFont="1" applyFill="1" applyBorder="1" applyAlignment="1">
      <alignment horizontal="center" vertical="center" wrapText="1"/>
    </xf>
    <xf numFmtId="0" fontId="15" fillId="2" borderId="1" xfId="0" applyFont="1" applyFill="1" applyBorder="1" applyAlignment="1" applyProtection="1">
      <alignment horizontal="justify" vertical="center" wrapText="1"/>
      <protection locked="0"/>
    </xf>
    <xf numFmtId="1" fontId="15" fillId="2" borderId="1" xfId="0" quotePrefix="1" applyNumberFormat="1" applyFont="1" applyFill="1" applyBorder="1" applyAlignment="1" applyProtection="1">
      <alignment horizontal="center" vertical="center" wrapText="1"/>
      <protection locked="0"/>
    </xf>
    <xf numFmtId="0" fontId="15" fillId="0" borderId="1" xfId="0" applyFont="1" applyFill="1" applyBorder="1" applyAlignment="1" applyProtection="1">
      <alignment horizontal="left" vertical="center" wrapText="1"/>
      <protection locked="0"/>
    </xf>
    <xf numFmtId="49" fontId="15" fillId="0" borderId="1" xfId="0" applyNumberFormat="1" applyFont="1" applyFill="1" applyBorder="1" applyAlignment="1" applyProtection="1">
      <alignment horizontal="center" vertical="center" wrapText="1"/>
      <protection locked="0"/>
    </xf>
    <xf numFmtId="0" fontId="15" fillId="2" borderId="1" xfId="0" quotePrefix="1"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15" fillId="0" borderId="1" xfId="0" applyFont="1" applyFill="1" applyBorder="1" applyAlignment="1" applyProtection="1">
      <alignment vertical="center" wrapText="1"/>
      <protection locked="0"/>
    </xf>
    <xf numFmtId="0" fontId="15" fillId="0" borderId="1" xfId="0" quotePrefix="1" applyNumberFormat="1" applyFont="1" applyFill="1" applyBorder="1" applyAlignment="1" applyProtection="1">
      <alignment horizontal="center" vertical="center" wrapText="1"/>
      <protection locked="0"/>
    </xf>
    <xf numFmtId="0" fontId="15" fillId="21" borderId="12" xfId="0" applyFont="1" applyFill="1" applyBorder="1" applyAlignment="1">
      <alignment horizontal="center" vertical="center" wrapText="1"/>
    </xf>
    <xf numFmtId="0" fontId="15" fillId="0" borderId="1" xfId="0" applyFont="1" applyBorder="1" applyAlignment="1" applyProtection="1">
      <alignment vertical="center" wrapText="1"/>
      <protection locked="0"/>
    </xf>
    <xf numFmtId="0" fontId="15" fillId="0" borderId="1" xfId="0" quotePrefix="1" applyFont="1" applyBorder="1" applyAlignment="1" applyProtection="1">
      <alignment horizontal="center" vertical="center" wrapText="1"/>
      <protection locked="0"/>
    </xf>
    <xf numFmtId="0" fontId="14" fillId="0" borderId="1" xfId="0" quotePrefix="1" applyFont="1" applyBorder="1" applyAlignment="1">
      <alignment horizontal="center" vertical="center" wrapText="1"/>
    </xf>
    <xf numFmtId="0" fontId="15" fillId="0" borderId="1" xfId="0" applyNumberFormat="1" applyFont="1" applyFill="1" applyBorder="1" applyAlignment="1" applyProtection="1">
      <alignment horizontal="center" vertical="center" wrapText="1"/>
      <protection locked="0"/>
    </xf>
    <xf numFmtId="0" fontId="14" fillId="2" borderId="1" xfId="0" applyFont="1" applyFill="1" applyBorder="1" applyAlignment="1">
      <alignment vertical="center" wrapText="1"/>
    </xf>
    <xf numFmtId="0" fontId="15" fillId="0" borderId="5" xfId="0" applyFont="1" applyBorder="1" applyAlignment="1">
      <alignment horizontal="center" vertical="center" wrapText="1"/>
    </xf>
    <xf numFmtId="1" fontId="15" fillId="0" borderId="1" xfId="0" quotePrefix="1" applyNumberFormat="1" applyFont="1" applyFill="1" applyBorder="1" applyAlignment="1" applyProtection="1">
      <alignment horizontal="center" vertical="center" wrapText="1"/>
      <protection locked="0"/>
    </xf>
    <xf numFmtId="0" fontId="15" fillId="21" borderId="68" xfId="0" applyFont="1" applyFill="1" applyBorder="1" applyAlignment="1">
      <alignment vertical="center" wrapText="1"/>
    </xf>
    <xf numFmtId="49" fontId="15" fillId="0" borderId="1" xfId="0" applyNumberFormat="1" applyFont="1" applyBorder="1" applyAlignment="1">
      <alignment horizontal="left" vertical="center" wrapText="1"/>
    </xf>
    <xf numFmtId="49" fontId="14" fillId="0" borderId="1" xfId="0" quotePrefix="1" applyNumberFormat="1" applyFont="1" applyBorder="1" applyAlignment="1">
      <alignment horizontal="center" vertical="center" wrapText="1"/>
    </xf>
    <xf numFmtId="0" fontId="14" fillId="0" borderId="1" xfId="0" applyFont="1" applyFill="1" applyBorder="1" applyAlignment="1">
      <alignment horizontal="left" vertical="center" wrapText="1"/>
    </xf>
    <xf numFmtId="49" fontId="15" fillId="0" borderId="1" xfId="0" applyNumberFormat="1" applyFont="1" applyBorder="1" applyAlignment="1" applyProtection="1">
      <alignment horizontal="center" vertical="center" wrapText="1"/>
      <protection locked="0"/>
    </xf>
    <xf numFmtId="0" fontId="14" fillId="0" borderId="1" xfId="0" applyFont="1" applyBorder="1" applyAlignment="1">
      <alignment horizontal="left" vertical="center" wrapText="1"/>
    </xf>
    <xf numFmtId="49" fontId="14" fillId="0" borderId="1" xfId="104" applyNumberFormat="1" applyFont="1" applyBorder="1" applyAlignment="1">
      <alignment horizontal="center" vertical="center" wrapText="1"/>
    </xf>
    <xf numFmtId="0" fontId="17" fillId="0" borderId="1" xfId="0" applyFont="1" applyFill="1" applyBorder="1" applyAlignment="1">
      <alignment horizontal="center" vertical="center" wrapText="1"/>
    </xf>
    <xf numFmtId="0" fontId="17" fillId="0" borderId="1" xfId="0" applyFont="1" applyFill="1" applyBorder="1" applyAlignment="1">
      <alignment vertical="center" wrapText="1"/>
    </xf>
    <xf numFmtId="0" fontId="98" fillId="12" borderId="71" xfId="0" applyFont="1" applyFill="1" applyBorder="1" applyAlignment="1" applyProtection="1">
      <alignment vertical="center" wrapText="1"/>
      <protection locked="0"/>
    </xf>
    <xf numFmtId="0" fontId="2" fillId="9" borderId="1" xfId="0" applyFont="1" applyFill="1" applyBorder="1" applyAlignment="1" applyProtection="1">
      <alignment horizontal="center" vertical="center" wrapText="1"/>
      <protection locked="0"/>
    </xf>
    <xf numFmtId="14" fontId="91" fillId="0" borderId="72" xfId="0" quotePrefix="1" applyNumberFormat="1" applyFont="1" applyBorder="1" applyAlignment="1">
      <alignment horizontal="center" vertical="center" wrapText="1"/>
    </xf>
    <xf numFmtId="14" fontId="91" fillId="0" borderId="72" xfId="0" applyNumberFormat="1" applyFont="1" applyBorder="1" applyAlignment="1">
      <alignment horizontal="center" vertical="center"/>
    </xf>
    <xf numFmtId="0" fontId="14" fillId="0" borderId="72" xfId="0" applyFont="1" applyFill="1" applyBorder="1" applyAlignment="1" applyProtection="1">
      <alignment horizontal="center" vertical="center" wrapText="1"/>
      <protection locked="0"/>
    </xf>
    <xf numFmtId="0" fontId="91" fillId="0" borderId="72" xfId="0" quotePrefix="1" applyFont="1" applyBorder="1" applyAlignment="1">
      <alignment horizontal="center" vertical="center"/>
    </xf>
    <xf numFmtId="0" fontId="91" fillId="0" borderId="72" xfId="0" applyFont="1" applyBorder="1" applyAlignment="1">
      <alignment horizontal="center" vertical="center"/>
    </xf>
    <xf numFmtId="9" fontId="15" fillId="0" borderId="72" xfId="0" applyNumberFormat="1" applyFont="1" applyBorder="1" applyAlignment="1">
      <alignment horizontal="center" vertical="center" wrapText="1"/>
    </xf>
    <xf numFmtId="0" fontId="115" fillId="0" borderId="73" xfId="0" applyFont="1" applyFill="1" applyBorder="1" applyAlignment="1" applyProtection="1">
      <alignment horizontal="center" vertical="center" wrapText="1"/>
      <protection locked="0"/>
    </xf>
    <xf numFmtId="0" fontId="115" fillId="0" borderId="74" xfId="0" applyFont="1" applyFill="1" applyBorder="1" applyAlignment="1" applyProtection="1">
      <alignment horizontal="center" vertical="center" wrapText="1"/>
      <protection locked="0"/>
    </xf>
    <xf numFmtId="0" fontId="116" fillId="0" borderId="75" xfId="0" applyFont="1" applyBorder="1" applyAlignment="1">
      <alignment vertical="center" wrapText="1"/>
    </xf>
    <xf numFmtId="0" fontId="108" fillId="0" borderId="1" xfId="0" applyFont="1" applyBorder="1" applyAlignment="1">
      <alignment horizontal="center" vertical="center" wrapText="1"/>
    </xf>
    <xf numFmtId="0" fontId="85" fillId="0" borderId="1" xfId="0" applyNumberFormat="1" applyFont="1" applyFill="1" applyBorder="1" applyAlignment="1" applyProtection="1">
      <alignment horizontal="right" vertical="center" wrapText="1"/>
      <protection locked="0"/>
    </xf>
    <xf numFmtId="9" fontId="15" fillId="0" borderId="76" xfId="0" applyNumberFormat="1" applyFont="1" applyBorder="1" applyAlignment="1">
      <alignment horizontal="center" vertical="center" wrapText="1"/>
    </xf>
    <xf numFmtId="0" fontId="15" fillId="0" borderId="76" xfId="0" applyFont="1" applyBorder="1" applyAlignment="1">
      <alignment horizontal="center" vertical="center" wrapText="1"/>
    </xf>
    <xf numFmtId="0" fontId="35" fillId="0" borderId="1" xfId="0" quotePrefix="1" applyNumberFormat="1" applyFont="1" applyFill="1" applyBorder="1" applyAlignment="1" applyProtection="1">
      <alignment horizontal="justify" vertical="center" wrapText="1"/>
      <protection locked="0"/>
    </xf>
    <xf numFmtId="0" fontId="3" fillId="0" borderId="76" xfId="0" applyFont="1" applyBorder="1" applyAlignment="1">
      <alignment horizontal="center" vertical="center" wrapText="1"/>
    </xf>
    <xf numFmtId="0" fontId="108" fillId="0" borderId="76" xfId="0" applyFont="1" applyFill="1" applyBorder="1" applyAlignment="1" applyProtection="1">
      <alignment vertical="center" wrapText="1"/>
      <protection locked="0"/>
    </xf>
    <xf numFmtId="0" fontId="93" fillId="0" borderId="77" xfId="0" applyFont="1" applyBorder="1" applyAlignment="1">
      <alignment horizontal="center" vertical="center" wrapText="1"/>
    </xf>
    <xf numFmtId="0" fontId="15" fillId="0" borderId="0" xfId="0" applyFont="1" applyFill="1" applyBorder="1"/>
    <xf numFmtId="0" fontId="15" fillId="0" borderId="0" xfId="0" applyFont="1" applyFill="1" applyBorder="1" applyAlignment="1" applyProtection="1">
      <alignment vertical="center" wrapText="1"/>
      <protection locked="0"/>
    </xf>
    <xf numFmtId="0" fontId="17" fillId="0" borderId="0" xfId="0" quotePrefix="1" applyNumberFormat="1" applyFont="1" applyFill="1" applyBorder="1" applyAlignment="1">
      <alignment vertical="center"/>
    </xf>
    <xf numFmtId="0" fontId="17" fillId="0" borderId="0" xfId="0" applyNumberFormat="1" applyFont="1" applyFill="1" applyBorder="1" applyAlignment="1">
      <alignment vertical="center" wrapText="1"/>
    </xf>
    <xf numFmtId="0" fontId="15" fillId="0" borderId="0" xfId="0" applyFont="1" applyFill="1" applyBorder="1" applyAlignment="1">
      <alignment vertical="center"/>
    </xf>
    <xf numFmtId="0" fontId="17" fillId="0" borderId="0" xfId="0" applyFont="1" applyFill="1" applyBorder="1" applyAlignment="1" applyProtection="1">
      <alignment vertical="center" wrapText="1"/>
      <protection locked="0"/>
    </xf>
    <xf numFmtId="0" fontId="15" fillId="0" borderId="0" xfId="0" applyFont="1" applyFill="1" applyBorder="1" applyAlignment="1">
      <alignment horizontal="center"/>
    </xf>
    <xf numFmtId="0" fontId="15" fillId="0" borderId="0" xfId="0" applyFont="1" applyFill="1" applyBorder="1" applyAlignment="1"/>
    <xf numFmtId="0" fontId="15" fillId="0" borderId="0" xfId="0" applyFont="1" applyFill="1" applyAlignment="1" applyProtection="1">
      <alignment vertical="center" wrapText="1"/>
      <protection locked="0"/>
    </xf>
    <xf numFmtId="0" fontId="15" fillId="0" borderId="0" xfId="0" applyFont="1" applyFill="1" applyAlignment="1" applyProtection="1">
      <alignment horizontal="center" vertical="center" wrapText="1"/>
      <protection locked="0"/>
    </xf>
    <xf numFmtId="0" fontId="15" fillId="0" borderId="0" xfId="0" quotePrefix="1" applyFont="1" applyAlignment="1">
      <alignment vertical="center"/>
    </xf>
    <xf numFmtId="0" fontId="15" fillId="0" borderId="0" xfId="0" applyFont="1" applyFill="1" applyAlignment="1" applyProtection="1">
      <alignment horizontal="left" vertical="center" wrapText="1"/>
      <protection locked="0"/>
    </xf>
    <xf numFmtId="0" fontId="15" fillId="0" borderId="0" xfId="0" applyFont="1" applyFill="1" applyAlignment="1" applyProtection="1">
      <alignment horizontal="justify" vertical="center" wrapText="1"/>
      <protection locked="0"/>
    </xf>
    <xf numFmtId="0" fontId="15" fillId="0" borderId="0" xfId="0" applyFont="1" applyFill="1" applyAlignment="1" applyProtection="1">
      <alignment horizontal="justify" vertical="justify" wrapText="1"/>
      <protection locked="0"/>
    </xf>
    <xf numFmtId="0" fontId="15" fillId="0" borderId="0" xfId="0" applyFont="1" applyFill="1" applyAlignment="1" applyProtection="1">
      <alignment horizontal="left" vertical="center"/>
      <protection locked="0"/>
    </xf>
    <xf numFmtId="0" fontId="15" fillId="0" borderId="0" xfId="0" quotePrefix="1" applyFont="1" applyBorder="1" applyAlignment="1">
      <alignment vertical="center"/>
    </xf>
    <xf numFmtId="0" fontId="15" fillId="0" borderId="0" xfId="0" applyFont="1" applyFill="1" applyBorder="1" applyAlignment="1" applyProtection="1">
      <alignment horizontal="center" vertical="center" wrapText="1"/>
      <protection locked="0"/>
    </xf>
    <xf numFmtId="0" fontId="15" fillId="0" borderId="0" xfId="0" applyFont="1" applyFill="1" applyBorder="1" applyAlignment="1" applyProtection="1">
      <alignment horizontal="left" vertical="center" wrapText="1"/>
      <protection locked="0"/>
    </xf>
    <xf numFmtId="0" fontId="15" fillId="0" borderId="0" xfId="0" applyFont="1" applyFill="1" applyBorder="1" applyAlignment="1" applyProtection="1">
      <alignment horizontal="justify" vertical="center" wrapText="1"/>
      <protection locked="0"/>
    </xf>
    <xf numFmtId="0" fontId="15" fillId="0" borderId="0" xfId="0" applyFont="1" applyFill="1" applyBorder="1" applyAlignment="1" applyProtection="1">
      <alignment horizontal="justify" vertical="justify" wrapText="1"/>
      <protection locked="0"/>
    </xf>
    <xf numFmtId="0" fontId="15" fillId="0" borderId="0" xfId="0" applyFont="1" applyFill="1" applyBorder="1" applyAlignment="1" applyProtection="1">
      <alignment horizontal="left" vertical="center"/>
      <protection locked="0"/>
    </xf>
    <xf numFmtId="0" fontId="15" fillId="0" borderId="0" xfId="0" applyFont="1" applyAlignment="1">
      <alignment horizontal="center"/>
    </xf>
    <xf numFmtId="0" fontId="2" fillId="0" borderId="0" xfId="0" applyFont="1" applyFill="1" applyBorder="1" applyAlignment="1">
      <alignment vertical="center"/>
    </xf>
    <xf numFmtId="0" fontId="20" fillId="0" borderId="0" xfId="0" applyFont="1" applyFill="1" applyBorder="1" applyAlignment="1"/>
    <xf numFmtId="0" fontId="3" fillId="0" borderId="0" xfId="0" quotePrefix="1" applyNumberFormat="1" applyFont="1" applyFill="1" applyBorder="1" applyAlignment="1">
      <alignment vertical="center" wrapText="1"/>
    </xf>
    <xf numFmtId="0" fontId="20" fillId="0" borderId="0" xfId="0" applyFont="1" applyFill="1" applyBorder="1" applyAlignment="1">
      <alignment horizontal="center"/>
    </xf>
    <xf numFmtId="0" fontId="3" fillId="0" borderId="36" xfId="0" applyFont="1" applyFill="1" applyBorder="1" applyAlignment="1">
      <alignment horizontal="left" vertical="center" wrapText="1"/>
    </xf>
    <xf numFmtId="0" fontId="20"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1" xfId="124" quotePrefix="1" applyFont="1" applyFill="1" applyBorder="1" applyAlignment="1">
      <alignment horizontal="center" vertical="center" wrapText="1"/>
    </xf>
    <xf numFmtId="0" fontId="91" fillId="0" borderId="78" xfId="0" quotePrefix="1" applyFont="1" applyBorder="1" applyAlignment="1">
      <alignment horizontal="center" vertical="center"/>
    </xf>
    <xf numFmtId="0" fontId="91" fillId="0" borderId="78" xfId="0" applyFont="1" applyBorder="1" applyAlignment="1">
      <alignment horizontal="center" vertical="center"/>
    </xf>
    <xf numFmtId="9" fontId="15" fillId="0" borderId="78" xfId="0" applyNumberFormat="1" applyFont="1" applyBorder="1" applyAlignment="1">
      <alignment horizontal="center" vertical="center" wrapText="1"/>
    </xf>
    <xf numFmtId="0" fontId="91" fillId="12" borderId="78" xfId="0" applyFont="1" applyFill="1" applyBorder="1" applyAlignment="1">
      <alignment horizontal="center" vertical="center"/>
    </xf>
    <xf numFmtId="0" fontId="15" fillId="0" borderId="78" xfId="0" applyFont="1" applyBorder="1" applyAlignment="1">
      <alignment horizontal="center" vertical="center"/>
    </xf>
    <xf numFmtId="164" fontId="108" fillId="2" borderId="1" xfId="89" applyNumberFormat="1" applyFont="1" applyFill="1" applyBorder="1" applyAlignment="1">
      <alignment horizontal="justify" vertical="center" wrapText="1"/>
    </xf>
    <xf numFmtId="0" fontId="92" fillId="0" borderId="78" xfId="0" applyFont="1" applyBorder="1" applyAlignment="1">
      <alignment horizontal="center" vertical="center"/>
    </xf>
    <xf numFmtId="0" fontId="117" fillId="0" borderId="1" xfId="0" applyFont="1" applyFill="1" applyBorder="1" applyAlignment="1" applyProtection="1">
      <alignment vertical="center" wrapText="1"/>
      <protection locked="0"/>
    </xf>
    <xf numFmtId="0" fontId="112" fillId="0" borderId="39" xfId="0" applyFont="1" applyFill="1" applyBorder="1" applyAlignment="1" applyProtection="1">
      <alignment vertical="center" wrapText="1"/>
      <protection locked="0"/>
    </xf>
    <xf numFmtId="0" fontId="85" fillId="0" borderId="36" xfId="0" applyFont="1" applyBorder="1" applyAlignment="1">
      <alignment horizontal="center" vertical="center"/>
    </xf>
    <xf numFmtId="14" fontId="91" fillId="0" borderId="80" xfId="0" quotePrefix="1" applyNumberFormat="1" applyFont="1" applyBorder="1" applyAlignment="1">
      <alignment horizontal="center" vertical="center" wrapText="1"/>
    </xf>
    <xf numFmtId="14" fontId="91" fillId="0" borderId="80" xfId="0" applyNumberFormat="1" applyFont="1" applyBorder="1" applyAlignment="1">
      <alignment horizontal="center" vertical="center"/>
    </xf>
    <xf numFmtId="0" fontId="91" fillId="0" borderId="80" xfId="0" applyFont="1" applyBorder="1" applyAlignment="1">
      <alignment horizontal="center" vertical="center"/>
    </xf>
    <xf numFmtId="9" fontId="15" fillId="0" borderId="80" xfId="0" applyNumberFormat="1" applyFont="1" applyBorder="1" applyAlignment="1">
      <alignment horizontal="center" vertical="center" wrapText="1"/>
    </xf>
    <xf numFmtId="0" fontId="112" fillId="0" borderId="39" xfId="0" quotePrefix="1" applyFont="1" applyFill="1" applyBorder="1" applyAlignment="1" applyProtection="1">
      <alignment horizontal="justify" vertical="center" wrapText="1"/>
      <protection locked="0"/>
    </xf>
    <xf numFmtId="0" fontId="91" fillId="0" borderId="36" xfId="0" applyFont="1" applyBorder="1" applyAlignment="1">
      <alignment horizontal="center" vertical="center"/>
    </xf>
    <xf numFmtId="9" fontId="91" fillId="0" borderId="36" xfId="0" applyNumberFormat="1" applyFont="1" applyBorder="1" applyAlignment="1">
      <alignment horizontal="center" vertical="center" wrapText="1"/>
    </xf>
    <xf numFmtId="0" fontId="91" fillId="0" borderId="36" xfId="0" applyFont="1" applyBorder="1" applyAlignment="1">
      <alignment horizontal="center" vertical="center" wrapText="1"/>
    </xf>
    <xf numFmtId="0" fontId="14" fillId="0" borderId="81" xfId="0" applyFont="1" applyFill="1" applyBorder="1" applyAlignment="1" applyProtection="1">
      <alignment horizontal="center" vertical="center" wrapText="1"/>
      <protection locked="0"/>
    </xf>
    <xf numFmtId="0" fontId="14" fillId="0" borderId="81" xfId="0" applyFont="1" applyFill="1" applyBorder="1" applyAlignment="1" applyProtection="1">
      <alignment vertical="center" wrapText="1"/>
      <protection locked="0"/>
    </xf>
    <xf numFmtId="0" fontId="14" fillId="0" borderId="80" xfId="0" applyFont="1" applyFill="1" applyBorder="1" applyAlignment="1" applyProtection="1">
      <alignment vertical="center" wrapText="1"/>
      <protection locked="0"/>
    </xf>
    <xf numFmtId="0" fontId="14" fillId="0" borderId="80" xfId="0" applyFont="1" applyFill="1" applyBorder="1" applyAlignment="1" applyProtection="1">
      <alignment horizontal="center" vertical="center" wrapText="1"/>
      <protection locked="0"/>
    </xf>
    <xf numFmtId="0" fontId="93" fillId="0" borderId="82" xfId="0" applyFont="1" applyBorder="1" applyAlignment="1">
      <alignment horizontal="center" vertical="center" wrapText="1"/>
    </xf>
    <xf numFmtId="1" fontId="91" fillId="0" borderId="83" xfId="0" quotePrefix="1" applyNumberFormat="1" applyFont="1" applyBorder="1" applyAlignment="1">
      <alignment horizontal="center" vertical="center" wrapText="1"/>
    </xf>
    <xf numFmtId="9" fontId="15" fillId="0" borderId="83" xfId="0" applyNumberFormat="1" applyFont="1" applyBorder="1" applyAlignment="1">
      <alignment horizontal="center" vertical="center" wrapText="1"/>
    </xf>
    <xf numFmtId="14" fontId="3" fillId="0" borderId="83" xfId="0" quotePrefix="1" applyNumberFormat="1" applyFont="1" applyFill="1" applyBorder="1" applyAlignment="1">
      <alignment horizontal="center" vertical="center" wrapText="1"/>
    </xf>
    <xf numFmtId="0" fontId="19" fillId="0" borderId="84" xfId="0" applyFont="1" applyFill="1" applyBorder="1" applyAlignment="1" applyProtection="1">
      <alignment horizontal="center" vertical="center" wrapText="1"/>
      <protection locked="0"/>
    </xf>
    <xf numFmtId="14" fontId="3" fillId="0" borderId="83" xfId="0" applyNumberFormat="1" applyFont="1" applyFill="1" applyBorder="1" applyAlignment="1">
      <alignment horizontal="center" vertical="center" wrapText="1"/>
    </xf>
    <xf numFmtId="0" fontId="12" fillId="0" borderId="84" xfId="0" applyFont="1" applyFill="1" applyBorder="1" applyAlignment="1" applyProtection="1">
      <alignment horizontal="center" vertical="center" wrapText="1"/>
      <protection locked="0"/>
    </xf>
    <xf numFmtId="0" fontId="93" fillId="0" borderId="83" xfId="0" applyFont="1" applyBorder="1" applyAlignment="1">
      <alignment horizontal="center" vertical="center"/>
    </xf>
    <xf numFmtId="14" fontId="3" fillId="12" borderId="83" xfId="0" quotePrefix="1" applyNumberFormat="1" applyFont="1" applyFill="1" applyBorder="1" applyAlignment="1">
      <alignment horizontal="center" vertical="center" wrapText="1"/>
    </xf>
    <xf numFmtId="0" fontId="93" fillId="0" borderId="83" xfId="0" applyFont="1" applyBorder="1"/>
    <xf numFmtId="0" fontId="93" fillId="0" borderId="83" xfId="0" applyFont="1" applyBorder="1" applyAlignment="1">
      <alignment horizontal="center"/>
    </xf>
    <xf numFmtId="0" fontId="14" fillId="0" borderId="83" xfId="0" applyFont="1" applyFill="1" applyBorder="1" applyAlignment="1" applyProtection="1">
      <alignment horizontal="center" vertical="center" wrapText="1"/>
      <protection locked="0"/>
    </xf>
    <xf numFmtId="0" fontId="108" fillId="0" borderId="1" xfId="0" applyFont="1" applyFill="1" applyBorder="1" applyAlignment="1">
      <alignment horizontal="center" vertical="center" wrapText="1"/>
    </xf>
    <xf numFmtId="0" fontId="88" fillId="12" borderId="1" xfId="0" applyFont="1" applyFill="1" applyBorder="1" applyAlignment="1">
      <alignment horizontal="center" vertical="center" wrapText="1"/>
    </xf>
    <xf numFmtId="0" fontId="88" fillId="12" borderId="62" xfId="0" applyFont="1" applyFill="1" applyBorder="1" applyAlignment="1">
      <alignment horizontal="center" vertical="center" wrapText="1"/>
    </xf>
    <xf numFmtId="0" fontId="108" fillId="0" borderId="40" xfId="0" applyFont="1" applyBorder="1" applyAlignment="1">
      <alignment horizontal="center" vertical="center" wrapText="1"/>
    </xf>
    <xf numFmtId="14" fontId="91" fillId="0" borderId="83" xfId="0" quotePrefix="1" applyNumberFormat="1" applyFont="1" applyBorder="1" applyAlignment="1">
      <alignment horizontal="center" vertical="center" wrapText="1"/>
    </xf>
    <xf numFmtId="14" fontId="91" fillId="0" borderId="83" xfId="0" applyNumberFormat="1" applyFont="1" applyBorder="1" applyAlignment="1">
      <alignment horizontal="center" vertical="center" wrapText="1"/>
    </xf>
    <xf numFmtId="14" fontId="91" fillId="0" borderId="83" xfId="0" applyNumberFormat="1" applyFont="1" applyBorder="1" applyAlignment="1">
      <alignment horizontal="center" vertical="center"/>
    </xf>
    <xf numFmtId="0" fontId="15" fillId="0" borderId="0" xfId="0" quotePrefix="1" applyFont="1" applyAlignment="1">
      <alignment horizontal="left"/>
    </xf>
    <xf numFmtId="0" fontId="15" fillId="8" borderId="85" xfId="0" applyFont="1" applyFill="1" applyBorder="1" applyAlignment="1">
      <alignment vertical="center" wrapText="1"/>
    </xf>
    <xf numFmtId="0" fontId="15" fillId="0" borderId="85" xfId="0" applyFont="1" applyFill="1" applyBorder="1" applyAlignment="1">
      <alignment horizontal="center" vertical="center" wrapText="1"/>
    </xf>
    <xf numFmtId="0" fontId="15" fillId="17" borderId="85" xfId="0" applyFont="1" applyFill="1" applyBorder="1" applyAlignment="1">
      <alignment horizontal="center" vertical="center" wrapText="1"/>
    </xf>
    <xf numFmtId="167" fontId="15" fillId="0" borderId="85" xfId="0" applyNumberFormat="1" applyFont="1" applyFill="1" applyBorder="1" applyAlignment="1">
      <alignment horizontal="center" vertical="center" wrapText="1"/>
    </xf>
    <xf numFmtId="0" fontId="15" fillId="12" borderId="85" xfId="0" applyFont="1" applyFill="1" applyBorder="1" applyAlignment="1">
      <alignment horizontal="center" vertical="center" wrapText="1"/>
    </xf>
    <xf numFmtId="0" fontId="2" fillId="0" borderId="0" xfId="0" applyFont="1" applyFill="1" applyAlignment="1" applyProtection="1">
      <alignment horizontal="center" vertical="center" wrapText="1"/>
      <protection locked="0"/>
    </xf>
    <xf numFmtId="0" fontId="108" fillId="0" borderId="53" xfId="0" applyFont="1" applyFill="1" applyBorder="1" applyAlignment="1" applyProtection="1">
      <alignment horizontal="center" vertical="center" wrapText="1"/>
      <protection locked="0"/>
    </xf>
    <xf numFmtId="0" fontId="93" fillId="0" borderId="89" xfId="0" applyFont="1" applyBorder="1" applyAlignment="1">
      <alignment horizontal="center" vertical="center" wrapText="1"/>
    </xf>
    <xf numFmtId="0" fontId="93" fillId="0" borderId="87" xfId="0" applyFont="1" applyBorder="1" applyAlignment="1">
      <alignment horizontal="center" vertical="center" wrapText="1"/>
    </xf>
    <xf numFmtId="0" fontId="91" fillId="0" borderId="90" xfId="0" applyFont="1" applyBorder="1" applyAlignment="1">
      <alignment horizontal="center" vertical="center"/>
    </xf>
    <xf numFmtId="14" fontId="91" fillId="12" borderId="90" xfId="0" quotePrefix="1" applyNumberFormat="1" applyFont="1" applyFill="1" applyBorder="1" applyAlignment="1">
      <alignment horizontal="center" vertical="center" wrapText="1"/>
    </xf>
    <xf numFmtId="9" fontId="15" fillId="0" borderId="90" xfId="0" applyNumberFormat="1" applyFont="1" applyBorder="1" applyAlignment="1">
      <alignment horizontal="center" vertical="center" wrapText="1"/>
    </xf>
    <xf numFmtId="0" fontId="91" fillId="12" borderId="90" xfId="0" applyFont="1" applyFill="1" applyBorder="1" applyAlignment="1">
      <alignment horizontal="center" vertical="center"/>
    </xf>
    <xf numFmtId="0" fontId="3" fillId="0" borderId="19" xfId="0" applyFont="1" applyFill="1" applyBorder="1" applyAlignment="1" applyProtection="1">
      <alignment horizontal="center" vertical="center" wrapText="1"/>
      <protection locked="0"/>
    </xf>
    <xf numFmtId="164" fontId="6" fillId="0" borderId="1" xfId="18" applyNumberFormat="1" applyFont="1" applyFill="1" applyBorder="1" applyAlignment="1" applyProtection="1">
      <alignment vertical="center" wrapText="1"/>
      <protection locked="0"/>
    </xf>
    <xf numFmtId="0" fontId="6" fillId="0" borderId="1" xfId="0" applyFont="1" applyFill="1" applyBorder="1" applyAlignment="1" applyProtection="1">
      <alignment vertical="center" wrapText="1"/>
      <protection locked="0"/>
    </xf>
    <xf numFmtId="1" fontId="6" fillId="0" borderId="1" xfId="0" quotePrefix="1" applyNumberFormat="1" applyFont="1" applyFill="1" applyBorder="1" applyAlignment="1" applyProtection="1">
      <alignment vertical="center" wrapText="1"/>
      <protection locked="0"/>
    </xf>
    <xf numFmtId="0" fontId="7" fillId="0" borderId="1" xfId="0" applyFont="1" applyFill="1" applyBorder="1" applyAlignment="1" applyProtection="1">
      <alignment vertical="center" wrapText="1"/>
      <protection locked="0"/>
    </xf>
    <xf numFmtId="0" fontId="3" fillId="11" borderId="0" xfId="0" applyFont="1" applyFill="1" applyBorder="1" applyAlignment="1" applyProtection="1">
      <alignment horizontal="center" vertical="center" wrapText="1"/>
      <protection locked="0"/>
    </xf>
    <xf numFmtId="0" fontId="108" fillId="0" borderId="1" xfId="0" applyFont="1" applyFill="1" applyBorder="1" applyAlignment="1" applyProtection="1">
      <alignment vertical="center" wrapText="1"/>
      <protection locked="0"/>
    </xf>
    <xf numFmtId="14" fontId="91" fillId="0" borderId="91" xfId="0" quotePrefix="1" applyNumberFormat="1" applyFont="1" applyBorder="1" applyAlignment="1">
      <alignment horizontal="center" vertical="center" wrapText="1"/>
    </xf>
    <xf numFmtId="0" fontId="91" fillId="0" borderId="91" xfId="0" applyFont="1" applyBorder="1" applyAlignment="1">
      <alignment horizontal="center" vertical="center"/>
    </xf>
    <xf numFmtId="9" fontId="15" fillId="0" borderId="91" xfId="0" applyNumberFormat="1" applyFont="1" applyBorder="1" applyAlignment="1">
      <alignment horizontal="center" vertical="center" wrapText="1"/>
    </xf>
    <xf numFmtId="0" fontId="91" fillId="0" borderId="91" xfId="0" applyFont="1" applyFill="1" applyBorder="1" applyAlignment="1">
      <alignment horizontal="center" vertical="center"/>
    </xf>
    <xf numFmtId="9" fontId="3" fillId="0" borderId="91" xfId="0" applyNumberFormat="1" applyFont="1" applyFill="1" applyBorder="1" applyAlignment="1">
      <alignment horizontal="center" vertical="center" wrapText="1"/>
    </xf>
    <xf numFmtId="0" fontId="93" fillId="0" borderId="92" xfId="0" applyFont="1" applyBorder="1" applyAlignment="1">
      <alignment horizontal="center" vertical="center" wrapText="1"/>
    </xf>
    <xf numFmtId="0" fontId="93" fillId="12" borderId="92" xfId="0" applyFont="1" applyFill="1" applyBorder="1" applyAlignment="1">
      <alignment horizontal="center" vertical="center" wrapText="1"/>
    </xf>
    <xf numFmtId="0" fontId="15" fillId="0" borderId="91" xfId="0" applyFont="1" applyBorder="1" applyAlignment="1">
      <alignment horizontal="center" vertical="center"/>
    </xf>
    <xf numFmtId="14" fontId="91" fillId="0" borderId="93" xfId="0" quotePrefix="1" applyNumberFormat="1" applyFont="1" applyBorder="1" applyAlignment="1">
      <alignment horizontal="center" vertical="center" wrapText="1"/>
    </xf>
    <xf numFmtId="0" fontId="93" fillId="0" borderId="95" xfId="0" quotePrefix="1" applyFont="1" applyBorder="1" applyAlignment="1">
      <alignment horizontal="center" vertical="center" wrapText="1"/>
    </xf>
    <xf numFmtId="0" fontId="93" fillId="0" borderId="95" xfId="0" quotePrefix="1" applyFont="1" applyBorder="1" applyAlignment="1">
      <alignment horizontal="center" vertical="center"/>
    </xf>
    <xf numFmtId="0" fontId="3" fillId="0" borderId="95" xfId="0" applyFont="1" applyBorder="1" applyAlignment="1">
      <alignment horizontal="center" vertical="center" wrapText="1"/>
    </xf>
    <xf numFmtId="49" fontId="15" fillId="0" borderId="86" xfId="0" applyNumberFormat="1" applyFont="1" applyFill="1" applyBorder="1" applyAlignment="1" applyProtection="1">
      <alignment horizontal="left" vertical="center" wrapText="1"/>
      <protection locked="0"/>
    </xf>
    <xf numFmtId="0" fontId="15" fillId="0" borderId="86" xfId="0" quotePrefix="1"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08" fillId="0" borderId="53" xfId="0" applyFont="1" applyFill="1" applyBorder="1" applyAlignment="1" applyProtection="1">
      <alignment horizontal="justify" vertical="center" wrapText="1"/>
      <protection locked="0"/>
    </xf>
    <xf numFmtId="0" fontId="61" fillId="0" borderId="1" xfId="0" applyFont="1" applyBorder="1" applyAlignment="1">
      <alignment horizontal="center" vertical="center" wrapText="1"/>
    </xf>
    <xf numFmtId="0" fontId="61" fillId="0" borderId="1" xfId="0" applyFont="1" applyBorder="1" applyAlignment="1">
      <alignment horizontal="justify" vertical="center" wrapText="1"/>
    </xf>
    <xf numFmtId="0" fontId="108" fillId="12" borderId="39" xfId="0" applyFont="1" applyFill="1" applyBorder="1" applyAlignment="1">
      <alignment horizontal="center" vertical="center" wrapText="1"/>
    </xf>
    <xf numFmtId="0" fontId="20" fillId="9" borderId="1" xfId="0" quotePrefix="1" applyNumberFormat="1" applyFont="1" applyFill="1" applyBorder="1" applyAlignment="1" applyProtection="1">
      <alignment horizontal="justify" vertical="center" wrapText="1"/>
      <protection locked="0"/>
    </xf>
    <xf numFmtId="0" fontId="20" fillId="9" borderId="1" xfId="0" quotePrefix="1" applyFont="1" applyFill="1" applyBorder="1" applyAlignment="1" applyProtection="1">
      <alignment horizontal="justify" vertical="center" wrapText="1"/>
      <protection locked="0"/>
    </xf>
    <xf numFmtId="0" fontId="20" fillId="9" borderId="1" xfId="0" applyNumberFormat="1" applyFont="1" applyFill="1" applyBorder="1" applyAlignment="1" applyProtection="1">
      <alignment horizontal="justify" vertical="center" wrapText="1"/>
      <protection locked="0"/>
    </xf>
    <xf numFmtId="0" fontId="20" fillId="9" borderId="1" xfId="0" applyFont="1" applyFill="1" applyBorder="1" applyAlignment="1" applyProtection="1">
      <alignment horizontal="justify" vertical="center" wrapText="1"/>
      <protection locked="0"/>
    </xf>
    <xf numFmtId="164" fontId="20" fillId="9" borderId="1" xfId="18" applyNumberFormat="1" applyFont="1" applyFill="1" applyBorder="1" applyAlignment="1" applyProtection="1">
      <alignment horizontal="justify" vertical="center" wrapText="1"/>
      <protection locked="0"/>
    </xf>
    <xf numFmtId="164" fontId="20" fillId="9" borderId="1" xfId="18" quotePrefix="1" applyNumberFormat="1" applyFont="1" applyFill="1" applyBorder="1" applyAlignment="1" applyProtection="1">
      <alignment horizontal="justify" vertical="center" wrapText="1"/>
      <protection locked="0"/>
    </xf>
    <xf numFmtId="49" fontId="20" fillId="9" borderId="1" xfId="18" quotePrefix="1" applyNumberFormat="1" applyFont="1" applyFill="1" applyBorder="1" applyAlignment="1" applyProtection="1">
      <alignment horizontal="justify" vertical="center" wrapText="1"/>
      <protection locked="0"/>
    </xf>
    <xf numFmtId="0" fontId="43" fillId="9" borderId="1" xfId="0" applyFont="1" applyFill="1" applyBorder="1" applyAlignment="1" applyProtection="1">
      <alignment horizontal="justify" vertical="center" wrapText="1"/>
      <protection locked="0"/>
    </xf>
    <xf numFmtId="0" fontId="20" fillId="9" borderId="46" xfId="0" applyNumberFormat="1" applyFont="1" applyFill="1" applyBorder="1" applyAlignment="1" applyProtection="1">
      <alignment horizontal="justify" vertical="center" wrapText="1"/>
      <protection locked="0"/>
    </xf>
    <xf numFmtId="0" fontId="3" fillId="0" borderId="96" xfId="0" quotePrefix="1" applyFont="1" applyFill="1" applyBorder="1" applyAlignment="1" applyProtection="1">
      <alignment horizontal="center" vertical="center" wrapText="1"/>
      <protection locked="0"/>
    </xf>
    <xf numFmtId="0" fontId="3" fillId="0" borderId="96" xfId="0" applyNumberFormat="1" applyFont="1" applyFill="1" applyBorder="1" applyAlignment="1" applyProtection="1">
      <alignment horizontal="center" vertical="center" wrapText="1"/>
      <protection locked="0"/>
    </xf>
    <xf numFmtId="49" fontId="15" fillId="0" borderId="96" xfId="0" applyNumberFormat="1" applyFont="1" applyFill="1" applyBorder="1" applyAlignment="1" applyProtection="1">
      <alignment horizontal="left" vertical="center" wrapText="1"/>
      <protection locked="0"/>
    </xf>
    <xf numFmtId="14" fontId="91" fillId="0" borderId="97" xfId="0" quotePrefix="1" applyNumberFormat="1" applyFont="1" applyBorder="1" applyAlignment="1">
      <alignment horizontal="center" vertical="center" wrapText="1"/>
    </xf>
    <xf numFmtId="14" fontId="91" fillId="0" borderId="97" xfId="0" applyNumberFormat="1" applyFont="1" applyBorder="1" applyAlignment="1">
      <alignment horizontal="center" vertical="center" wrapText="1"/>
    </xf>
    <xf numFmtId="14" fontId="91" fillId="0" borderId="97" xfId="0" applyNumberFormat="1" applyFont="1" applyBorder="1" applyAlignment="1">
      <alignment horizontal="center" vertical="center"/>
    </xf>
    <xf numFmtId="0" fontId="15" fillId="0" borderId="97" xfId="0" applyFont="1" applyFill="1" applyBorder="1" applyAlignment="1">
      <alignment horizontal="center" vertical="center"/>
    </xf>
    <xf numFmtId="9" fontId="15" fillId="0" borderId="98" xfId="0" applyNumberFormat="1" applyFont="1" applyBorder="1" applyAlignment="1">
      <alignment horizontal="center" vertical="center" wrapText="1"/>
    </xf>
    <xf numFmtId="0" fontId="0" fillId="0" borderId="98" xfId="0" applyBorder="1" applyAlignment="1">
      <alignment horizontal="center" vertical="center"/>
    </xf>
    <xf numFmtId="0" fontId="14" fillId="0" borderId="98" xfId="0" applyFont="1" applyFill="1" applyBorder="1" applyAlignment="1" applyProtection="1">
      <alignment horizontal="center" vertical="center" wrapText="1"/>
      <protection locked="0"/>
    </xf>
    <xf numFmtId="0" fontId="14" fillId="0" borderId="99" xfId="0" applyFont="1" applyFill="1" applyBorder="1" applyAlignment="1" applyProtection="1">
      <alignment horizontal="center" vertical="center" wrapText="1"/>
      <protection locked="0"/>
    </xf>
    <xf numFmtId="0" fontId="93" fillId="0" borderId="100" xfId="0" applyFont="1" applyBorder="1" applyAlignment="1">
      <alignment vertical="center" wrapText="1"/>
    </xf>
    <xf numFmtId="9" fontId="15" fillId="0" borderId="101" xfId="0" applyNumberFormat="1" applyFont="1" applyBorder="1" applyAlignment="1">
      <alignment horizontal="center" vertical="center" wrapText="1"/>
    </xf>
    <xf numFmtId="0" fontId="91" fillId="0" borderId="101" xfId="0" applyFont="1" applyBorder="1" applyAlignment="1">
      <alignment horizontal="center" vertical="center"/>
    </xf>
    <xf numFmtId="49" fontId="88" fillId="2" borderId="1" xfId="0" applyNumberFormat="1" applyFont="1" applyFill="1" applyBorder="1" applyAlignment="1" applyProtection="1">
      <alignment horizontal="center" vertical="center" wrapText="1"/>
      <protection locked="0"/>
    </xf>
    <xf numFmtId="0" fontId="3" fillId="0" borderId="19" xfId="0" applyFont="1" applyFill="1" applyBorder="1" applyAlignment="1" applyProtection="1">
      <alignment horizontal="center" vertical="center" wrapText="1"/>
      <protection locked="0"/>
    </xf>
    <xf numFmtId="0" fontId="2" fillId="0" borderId="19"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14" fontId="15" fillId="0" borderId="102" xfId="0" quotePrefix="1" applyNumberFormat="1" applyFont="1" applyBorder="1" applyAlignment="1">
      <alignment horizontal="center" vertical="center" wrapText="1"/>
    </xf>
    <xf numFmtId="9" fontId="15" fillId="0" borderId="102" xfId="0" applyNumberFormat="1" applyFont="1" applyBorder="1" applyAlignment="1">
      <alignment horizontal="center" vertical="center" wrapText="1"/>
    </xf>
    <xf numFmtId="0" fontId="15" fillId="0" borderId="102" xfId="0" quotePrefix="1" applyFont="1" applyBorder="1" applyAlignment="1">
      <alignment horizontal="center" vertical="center"/>
    </xf>
    <xf numFmtId="0" fontId="15" fillId="0" borderId="102" xfId="0" applyFont="1" applyBorder="1" applyAlignment="1">
      <alignment horizontal="center" vertical="center" wrapText="1"/>
    </xf>
    <xf numFmtId="0" fontId="93" fillId="0" borderId="1" xfId="0" applyFont="1" applyBorder="1" applyAlignment="1">
      <alignment horizontal="left" vertical="center" wrapText="1"/>
    </xf>
    <xf numFmtId="0" fontId="3" fillId="11" borderId="0" xfId="0" applyFont="1" applyFill="1" applyAlignment="1" applyProtection="1">
      <alignment horizontal="center" vertical="center" wrapText="1"/>
      <protection locked="0"/>
    </xf>
    <xf numFmtId="0" fontId="3" fillId="0" borderId="96" xfId="0" applyFont="1" applyFill="1" applyBorder="1" applyAlignment="1" applyProtection="1">
      <alignment horizontal="left" vertical="center" wrapText="1"/>
      <protection locked="0"/>
    </xf>
    <xf numFmtId="0" fontId="3" fillId="0" borderId="96" xfId="0" quotePrefix="1" applyNumberFormat="1" applyFont="1" applyFill="1" applyBorder="1" applyAlignment="1" applyProtection="1">
      <alignment horizontal="center" vertical="center" wrapText="1"/>
      <protection locked="0"/>
    </xf>
    <xf numFmtId="0" fontId="3" fillId="2" borderId="96" xfId="0" applyFont="1" applyFill="1" applyBorder="1" applyAlignment="1" applyProtection="1">
      <alignment horizontal="justify" vertical="center" wrapText="1"/>
      <protection locked="0"/>
    </xf>
    <xf numFmtId="0" fontId="3" fillId="11" borderId="1" xfId="0" applyFont="1" applyFill="1" applyBorder="1" applyAlignment="1">
      <alignment horizontal="center" vertical="center"/>
    </xf>
    <xf numFmtId="0" fontId="92" fillId="0" borderId="1" xfId="0" applyFont="1" applyBorder="1" applyAlignment="1">
      <alignment vertical="center" wrapText="1"/>
    </xf>
    <xf numFmtId="14" fontId="91" fillId="0" borderId="103" xfId="0" quotePrefix="1" applyNumberFormat="1" applyFont="1" applyBorder="1" applyAlignment="1">
      <alignment horizontal="center" vertical="center" wrapText="1"/>
    </xf>
    <xf numFmtId="14" fontId="91" fillId="0" borderId="103" xfId="0" applyNumberFormat="1" applyFont="1" applyBorder="1" applyAlignment="1">
      <alignment horizontal="center" vertical="center" wrapText="1"/>
    </xf>
    <xf numFmtId="14" fontId="91" fillId="0" borderId="103" xfId="0" applyNumberFormat="1" applyFont="1" applyBorder="1" applyAlignment="1">
      <alignment horizontal="center" vertical="center"/>
    </xf>
    <xf numFmtId="0" fontId="14" fillId="0" borderId="103" xfId="0" applyFont="1" applyFill="1" applyBorder="1" applyAlignment="1" applyProtection="1">
      <alignment horizontal="center" vertical="center" wrapText="1"/>
      <protection locked="0"/>
    </xf>
    <xf numFmtId="0" fontId="91" fillId="0" borderId="103" xfId="0" quotePrefix="1" applyFont="1" applyBorder="1" applyAlignment="1">
      <alignment horizontal="center" vertical="center"/>
    </xf>
    <xf numFmtId="0" fontId="91" fillId="0" borderId="103" xfId="0" applyFont="1" applyBorder="1" applyAlignment="1">
      <alignment horizontal="center" vertical="center"/>
    </xf>
    <xf numFmtId="9" fontId="15" fillId="0" borderId="103" xfId="0" applyNumberFormat="1" applyFont="1" applyBorder="1" applyAlignment="1">
      <alignment horizontal="center" vertical="center" wrapText="1"/>
    </xf>
    <xf numFmtId="0" fontId="91" fillId="12" borderId="103" xfId="0" applyFont="1" applyFill="1" applyBorder="1" applyAlignment="1">
      <alignment horizontal="center" vertical="center"/>
    </xf>
    <xf numFmtId="9" fontId="15" fillId="12" borderId="103" xfId="0" applyNumberFormat="1" applyFont="1" applyFill="1" applyBorder="1" applyAlignment="1">
      <alignment horizontal="center" vertical="center" wrapText="1"/>
    </xf>
    <xf numFmtId="0" fontId="3" fillId="11" borderId="1" xfId="0" quotePrefix="1" applyNumberFormat="1" applyFont="1" applyFill="1" applyBorder="1" applyAlignment="1" applyProtection="1">
      <alignment horizontal="center" vertical="center" wrapText="1"/>
      <protection locked="0"/>
    </xf>
    <xf numFmtId="166" fontId="15" fillId="0" borderId="103" xfId="117" applyNumberFormat="1" applyFont="1" applyFill="1" applyBorder="1" applyAlignment="1">
      <alignment horizontal="center" vertical="center"/>
    </xf>
    <xf numFmtId="0" fontId="15" fillId="0" borderId="103" xfId="0" applyFont="1" applyFill="1" applyBorder="1" applyAlignment="1">
      <alignment horizontal="center" vertical="center"/>
    </xf>
    <xf numFmtId="0" fontId="15" fillId="0" borderId="103" xfId="0" applyFont="1" applyBorder="1" applyAlignment="1">
      <alignment horizontal="center" vertical="center" wrapText="1"/>
    </xf>
    <xf numFmtId="0" fontId="102" fillId="0" borderId="103" xfId="0" applyFont="1" applyFill="1" applyBorder="1" applyAlignment="1">
      <alignment horizontal="center" vertical="center"/>
    </xf>
    <xf numFmtId="14" fontId="91" fillId="12" borderId="103" xfId="0" quotePrefix="1" applyNumberFormat="1" applyFont="1" applyFill="1" applyBorder="1" applyAlignment="1">
      <alignment horizontal="center" vertical="center" wrapText="1"/>
    </xf>
    <xf numFmtId="0" fontId="0" fillId="0" borderId="103" xfId="0" applyBorder="1" applyAlignment="1">
      <alignment horizontal="center" vertical="center"/>
    </xf>
    <xf numFmtId="0" fontId="3" fillId="0" borderId="104" xfId="0" applyFont="1" applyBorder="1" applyAlignment="1">
      <alignment horizontal="center" vertical="center" wrapText="1"/>
    </xf>
    <xf numFmtId="0" fontId="3" fillId="12" borderId="104" xfId="0" applyFont="1" applyFill="1" applyBorder="1" applyAlignment="1">
      <alignment horizontal="center" vertical="center" wrapText="1"/>
    </xf>
    <xf numFmtId="0" fontId="93" fillId="0" borderId="104" xfId="0" applyFont="1" applyBorder="1" applyAlignment="1">
      <alignment horizontal="center" vertical="center" wrapText="1"/>
    </xf>
    <xf numFmtId="0" fontId="88" fillId="11" borderId="1" xfId="0" quotePrefix="1" applyNumberFormat="1" applyFont="1" applyFill="1" applyBorder="1" applyAlignment="1" applyProtection="1">
      <alignment horizontal="center" vertical="center" wrapText="1"/>
      <protection locked="0"/>
    </xf>
    <xf numFmtId="14" fontId="93" fillId="0" borderId="103" xfId="0" quotePrefix="1" applyNumberFormat="1" applyFont="1" applyBorder="1" applyAlignment="1">
      <alignment horizontal="center" vertical="center" wrapText="1"/>
    </xf>
    <xf numFmtId="14" fontId="93" fillId="0" borderId="103" xfId="0" quotePrefix="1" applyNumberFormat="1" applyFont="1" applyFill="1" applyBorder="1" applyAlignment="1">
      <alignment horizontal="center" vertical="center" wrapText="1"/>
    </xf>
    <xf numFmtId="0" fontId="91" fillId="0" borderId="103" xfId="0" applyFont="1" applyFill="1" applyBorder="1" applyAlignment="1">
      <alignment horizontal="center" vertical="center"/>
    </xf>
    <xf numFmtId="0" fontId="93" fillId="0" borderId="103" xfId="0" applyFont="1" applyFill="1" applyBorder="1" applyAlignment="1">
      <alignment horizontal="center" vertical="center"/>
    </xf>
    <xf numFmtId="9" fontId="3" fillId="0" borderId="103" xfId="0" applyNumberFormat="1" applyFont="1" applyFill="1" applyBorder="1" applyAlignment="1">
      <alignment horizontal="center" vertical="center" wrapText="1"/>
    </xf>
    <xf numFmtId="14" fontId="93" fillId="0" borderId="103" xfId="0" applyNumberFormat="1" applyFont="1" applyBorder="1" applyAlignment="1">
      <alignment horizontal="center" vertical="center" wrapText="1"/>
    </xf>
    <xf numFmtId="14" fontId="93" fillId="0" borderId="103" xfId="0" applyNumberFormat="1" applyFont="1" applyBorder="1" applyAlignment="1">
      <alignment horizontal="center" vertical="center"/>
    </xf>
    <xf numFmtId="14" fontId="93" fillId="0" borderId="103" xfId="0" applyNumberFormat="1" applyFont="1" applyFill="1" applyBorder="1" applyAlignment="1">
      <alignment horizontal="center" vertical="center"/>
    </xf>
    <xf numFmtId="0" fontId="19" fillId="0" borderId="103" xfId="0" applyFont="1" applyFill="1" applyBorder="1" applyAlignment="1" applyProtection="1">
      <alignment horizontal="center" vertical="center" wrapText="1"/>
      <protection locked="0"/>
    </xf>
    <xf numFmtId="0" fontId="18" fillId="0" borderId="103" xfId="0" applyFont="1" applyFill="1" applyBorder="1" applyAlignment="1" applyProtection="1">
      <alignment horizontal="center" vertical="center" wrapText="1"/>
      <protection locked="0"/>
    </xf>
    <xf numFmtId="0" fontId="19" fillId="0" borderId="103" xfId="0" applyFont="1" applyFill="1" applyBorder="1" applyAlignment="1" applyProtection="1">
      <alignment vertical="center" wrapText="1"/>
      <protection locked="0"/>
    </xf>
    <xf numFmtId="0" fontId="97" fillId="0" borderId="103" xfId="0" applyFont="1" applyFill="1" applyBorder="1" applyAlignment="1">
      <alignment horizontal="center" vertical="center"/>
    </xf>
    <xf numFmtId="1" fontId="118" fillId="0" borderId="36" xfId="0" applyNumberFormat="1" applyFont="1" applyBorder="1" applyAlignment="1">
      <alignment horizontal="center" vertical="center" wrapText="1"/>
    </xf>
    <xf numFmtId="0" fontId="118" fillId="0" borderId="36" xfId="0" applyFont="1" applyBorder="1" applyAlignment="1">
      <alignment horizontal="center" vertical="center"/>
    </xf>
    <xf numFmtId="0" fontId="2" fillId="0" borderId="0" xfId="0" applyFont="1" applyFill="1" applyAlignment="1" applyProtection="1">
      <alignment horizontal="center" vertical="center" wrapText="1"/>
      <protection locked="0"/>
    </xf>
    <xf numFmtId="1" fontId="91" fillId="12" borderId="103" xfId="0" quotePrefix="1" applyNumberFormat="1" applyFont="1" applyFill="1" applyBorder="1" applyAlignment="1">
      <alignment horizontal="center" vertical="center" wrapText="1"/>
    </xf>
    <xf numFmtId="1" fontId="15" fillId="0" borderId="103" xfId="0" applyNumberFormat="1" applyFont="1" applyBorder="1" applyAlignment="1">
      <alignment horizontal="center" vertical="center" wrapText="1"/>
    </xf>
    <xf numFmtId="1" fontId="15" fillId="0" borderId="103" xfId="129" applyNumberFormat="1" applyFont="1" applyBorder="1" applyAlignment="1">
      <alignment horizontal="center" vertical="center" wrapText="1"/>
    </xf>
    <xf numFmtId="1" fontId="0" fillId="0" borderId="103" xfId="0" applyNumberFormat="1" applyBorder="1" applyAlignment="1">
      <alignment horizontal="center" vertical="center"/>
    </xf>
    <xf numFmtId="0" fontId="0" fillId="12" borderId="0" xfId="0" applyFill="1" applyAlignment="1">
      <alignment horizontal="center" vertical="center"/>
    </xf>
    <xf numFmtId="1" fontId="15" fillId="12" borderId="103" xfId="0" applyNumberFormat="1" applyFont="1" applyFill="1" applyBorder="1" applyAlignment="1">
      <alignment horizontal="center" vertical="center" wrapText="1"/>
    </xf>
    <xf numFmtId="0" fontId="14" fillId="0" borderId="94" xfId="0" applyFont="1" applyFill="1" applyBorder="1" applyAlignment="1" applyProtection="1">
      <alignment horizontal="center" vertical="center" wrapText="1"/>
      <protection locked="0"/>
    </xf>
    <xf numFmtId="0" fontId="14" fillId="0" borderId="94" xfId="0" applyFont="1" applyFill="1" applyBorder="1" applyAlignment="1" applyProtection="1">
      <alignment vertical="center" wrapText="1"/>
      <protection locked="0"/>
    </xf>
    <xf numFmtId="0" fontId="12" fillId="0" borderId="94" xfId="0" applyFont="1" applyFill="1" applyBorder="1" applyAlignment="1" applyProtection="1">
      <alignment horizontal="center" vertical="center" wrapText="1"/>
      <protection locked="0"/>
    </xf>
    <xf numFmtId="14" fontId="15" fillId="0" borderId="103" xfId="0" quotePrefix="1" applyNumberFormat="1" applyFont="1" applyBorder="1" applyAlignment="1">
      <alignment horizontal="center" vertical="center" wrapText="1"/>
    </xf>
    <xf numFmtId="14" fontId="119" fillId="0" borderId="103" xfId="0" quotePrefix="1" applyNumberFormat="1" applyFont="1" applyBorder="1" applyAlignment="1">
      <alignment horizontal="center" vertical="center" wrapText="1"/>
    </xf>
    <xf numFmtId="14" fontId="119" fillId="0" borderId="103" xfId="0" applyNumberFormat="1" applyFont="1" applyBorder="1" applyAlignment="1">
      <alignment horizontal="center" vertical="center"/>
    </xf>
    <xf numFmtId="1" fontId="20" fillId="9" borderId="1" xfId="0" quotePrefix="1" applyNumberFormat="1" applyFont="1" applyFill="1" applyBorder="1" applyAlignment="1" applyProtection="1">
      <alignment horizontal="justify" vertical="center" wrapText="1"/>
      <protection locked="0"/>
    </xf>
    <xf numFmtId="14" fontId="3" fillId="0" borderId="103" xfId="0" quotePrefix="1" applyNumberFormat="1" applyFont="1" applyFill="1" applyBorder="1" applyAlignment="1">
      <alignment horizontal="center" vertical="center" wrapText="1"/>
    </xf>
    <xf numFmtId="14" fontId="3" fillId="0" borderId="103" xfId="0" applyNumberFormat="1" applyFont="1" applyFill="1" applyBorder="1" applyAlignment="1">
      <alignment horizontal="center" vertical="center" wrapText="1"/>
    </xf>
    <xf numFmtId="14" fontId="3" fillId="12" borderId="103" xfId="0" quotePrefix="1" applyNumberFormat="1" applyFont="1" applyFill="1" applyBorder="1" applyAlignment="1">
      <alignment horizontal="center" vertical="center" wrapText="1"/>
    </xf>
    <xf numFmtId="14" fontId="3" fillId="12" borderId="103" xfId="0" applyNumberFormat="1" applyFont="1" applyFill="1" applyBorder="1" applyAlignment="1">
      <alignment horizontal="center" vertical="center" wrapText="1"/>
    </xf>
    <xf numFmtId="0" fontId="93" fillId="0" borderId="103" xfId="0" applyFont="1" applyBorder="1" applyAlignment="1">
      <alignment horizontal="center" vertical="center"/>
    </xf>
    <xf numFmtId="14" fontId="2" fillId="0" borderId="103" xfId="0" quotePrefix="1" applyNumberFormat="1" applyFont="1" applyFill="1" applyBorder="1" applyAlignment="1">
      <alignment horizontal="center" vertical="center" wrapText="1"/>
    </xf>
    <xf numFmtId="0" fontId="93" fillId="0" borderId="103" xfId="0" applyFont="1" applyBorder="1"/>
    <xf numFmtId="0" fontId="12" fillId="0" borderId="103" xfId="0" applyFont="1" applyFill="1" applyBorder="1" applyAlignment="1" applyProtection="1">
      <alignment vertical="center" wrapText="1"/>
      <protection locked="0"/>
    </xf>
    <xf numFmtId="0" fontId="3" fillId="0" borderId="103" xfId="0" applyFont="1" applyFill="1" applyBorder="1" applyAlignment="1" applyProtection="1">
      <alignment horizontal="center" vertical="center" wrapText="1"/>
      <protection locked="0"/>
    </xf>
    <xf numFmtId="0" fontId="19" fillId="12" borderId="103" xfId="0" applyFont="1" applyFill="1" applyBorder="1" applyAlignment="1" applyProtection="1">
      <alignment horizontal="center" vertical="center" wrapText="1"/>
      <protection locked="0"/>
    </xf>
    <xf numFmtId="0" fontId="93" fillId="0" borderId="0" xfId="0" applyFont="1" applyAlignment="1">
      <alignment horizontal="center" vertical="center"/>
    </xf>
    <xf numFmtId="0" fontId="93" fillId="0" borderId="103" xfId="0" applyFont="1" applyBorder="1" applyAlignment="1">
      <alignment horizontal="center"/>
    </xf>
    <xf numFmtId="0" fontId="14" fillId="0" borderId="105" xfId="0" applyFont="1" applyFill="1" applyBorder="1" applyAlignment="1" applyProtection="1">
      <alignment horizontal="center" vertical="center" wrapText="1"/>
      <protection locked="0"/>
    </xf>
    <xf numFmtId="0" fontId="14" fillId="0" borderId="106" xfId="0" applyFont="1" applyFill="1" applyBorder="1" applyAlignment="1" applyProtection="1">
      <alignment horizontal="center" vertical="center" wrapText="1"/>
      <protection locked="0"/>
    </xf>
    <xf numFmtId="0" fontId="93" fillId="0" borderId="107" xfId="0" applyFont="1" applyBorder="1" applyAlignment="1">
      <alignment vertical="center" wrapText="1"/>
    </xf>
    <xf numFmtId="14" fontId="91" fillId="0" borderId="105" xfId="0" quotePrefix="1" applyNumberFormat="1" applyFont="1" applyBorder="1" applyAlignment="1">
      <alignment horizontal="center" vertical="center" wrapText="1"/>
    </xf>
    <xf numFmtId="0" fontId="15" fillId="0" borderId="105" xfId="0" applyFont="1" applyBorder="1" applyAlignment="1">
      <alignment horizontal="center" vertical="center"/>
    </xf>
    <xf numFmtId="14" fontId="15" fillId="0" borderId="105" xfId="0" quotePrefix="1" applyNumberFormat="1" applyFont="1" applyBorder="1" applyAlignment="1">
      <alignment horizontal="center" vertical="center" wrapText="1"/>
    </xf>
    <xf numFmtId="9" fontId="15" fillId="0" borderId="105" xfId="0" applyNumberFormat="1" applyFont="1" applyBorder="1" applyAlignment="1">
      <alignment horizontal="center" vertical="center" wrapText="1"/>
    </xf>
    <xf numFmtId="0" fontId="14" fillId="0" borderId="105" xfId="0" applyFont="1" applyBorder="1" applyAlignment="1">
      <alignment horizontal="center" vertical="center"/>
    </xf>
    <xf numFmtId="0" fontId="64" fillId="11" borderId="1" xfId="0" applyFont="1" applyFill="1" applyBorder="1" applyAlignment="1">
      <alignment horizontal="center" vertical="center" wrapText="1"/>
    </xf>
    <xf numFmtId="14" fontId="91" fillId="0" borderId="105" xfId="0" applyNumberFormat="1" applyFont="1" applyBorder="1" applyAlignment="1">
      <alignment horizontal="center" vertical="center" wrapText="1"/>
    </xf>
    <xf numFmtId="14" fontId="91" fillId="0" borderId="105" xfId="0" applyNumberFormat="1" applyFont="1" applyBorder="1" applyAlignment="1">
      <alignment horizontal="center" vertical="center"/>
    </xf>
    <xf numFmtId="0" fontId="91" fillId="0" borderId="105" xfId="0" applyFont="1" applyBorder="1" applyAlignment="1">
      <alignment horizontal="center" vertical="center"/>
    </xf>
    <xf numFmtId="14" fontId="91" fillId="12" borderId="105" xfId="110" quotePrefix="1" applyNumberFormat="1" applyFont="1" applyFill="1" applyBorder="1" applyAlignment="1">
      <alignment horizontal="center" vertical="center" wrapText="1"/>
    </xf>
    <xf numFmtId="14" fontId="92" fillId="12" borderId="105" xfId="110" quotePrefix="1" applyNumberFormat="1" applyFont="1" applyFill="1" applyBorder="1" applyAlignment="1">
      <alignment horizontal="center" vertical="center" wrapText="1"/>
    </xf>
    <xf numFmtId="14" fontId="92" fillId="0" borderId="105" xfId="110" quotePrefix="1" applyNumberFormat="1" applyFont="1" applyBorder="1" applyAlignment="1">
      <alignment horizontal="center" vertical="center" wrapText="1"/>
    </xf>
    <xf numFmtId="14" fontId="91" fillId="0" borderId="105" xfId="110" quotePrefix="1" applyNumberFormat="1" applyFont="1" applyBorder="1" applyAlignment="1">
      <alignment horizontal="center" vertical="center" wrapText="1"/>
    </xf>
    <xf numFmtId="0" fontId="91" fillId="0" borderId="105" xfId="110" applyFont="1" applyBorder="1" applyAlignment="1">
      <alignment horizontal="center" vertical="center"/>
    </xf>
    <xf numFmtId="9" fontId="15" fillId="0" borderId="105" xfId="110" applyNumberFormat="1" applyFont="1" applyBorder="1" applyAlignment="1">
      <alignment horizontal="center" vertical="center" wrapText="1"/>
    </xf>
    <xf numFmtId="0" fontId="3" fillId="0" borderId="105" xfId="0" quotePrefix="1" applyFont="1" applyBorder="1" applyAlignment="1">
      <alignment horizontal="center" vertical="center" wrapText="1"/>
    </xf>
    <xf numFmtId="0" fontId="3" fillId="0" borderId="105" xfId="0" applyFont="1" applyBorder="1" applyAlignment="1">
      <alignment horizontal="center" vertical="center" wrapText="1"/>
    </xf>
    <xf numFmtId="0" fontId="93" fillId="12" borderId="105" xfId="0" quotePrefix="1" applyFont="1" applyFill="1" applyBorder="1" applyAlignment="1">
      <alignment horizontal="center" vertical="center" wrapText="1"/>
    </xf>
    <xf numFmtId="0" fontId="93" fillId="0" borderId="105" xfId="0" quotePrefix="1" applyFont="1" applyBorder="1" applyAlignment="1">
      <alignment horizontal="center" vertical="center" wrapText="1"/>
    </xf>
    <xf numFmtId="0" fontId="93" fillId="0" borderId="105" xfId="0" applyFont="1" applyBorder="1" applyAlignment="1">
      <alignment horizontal="center" vertical="center"/>
    </xf>
    <xf numFmtId="0" fontId="93" fillId="0" borderId="105" xfId="0" applyFont="1" applyBorder="1" applyAlignment="1">
      <alignment horizontal="center" vertical="center" wrapText="1"/>
    </xf>
    <xf numFmtId="0" fontId="18" fillId="0" borderId="105" xfId="0" applyFont="1" applyBorder="1" applyAlignment="1" applyProtection="1">
      <alignment vertical="center" wrapText="1"/>
      <protection locked="0"/>
    </xf>
    <xf numFmtId="0" fontId="93" fillId="0" borderId="106" xfId="0" applyFont="1" applyBorder="1" applyAlignment="1">
      <alignment horizontal="center" vertical="center" wrapText="1"/>
    </xf>
    <xf numFmtId="14" fontId="93" fillId="0" borderId="105" xfId="0" quotePrefix="1" applyNumberFormat="1" applyFont="1" applyBorder="1" applyAlignment="1">
      <alignment horizontal="center" vertical="center" wrapText="1"/>
    </xf>
    <xf numFmtId="9" fontId="3" fillId="0" borderId="105" xfId="0" applyNumberFormat="1" applyFont="1" applyBorder="1" applyAlignment="1">
      <alignment horizontal="center" vertical="center" wrapText="1"/>
    </xf>
    <xf numFmtId="14" fontId="93" fillId="0" borderId="105" xfId="0" applyNumberFormat="1" applyFont="1" applyBorder="1" applyAlignment="1">
      <alignment horizontal="center" vertical="center" wrapText="1"/>
    </xf>
    <xf numFmtId="14" fontId="93" fillId="0" borderId="105" xfId="0" applyNumberFormat="1" applyFont="1" applyBorder="1" applyAlignment="1">
      <alignment horizontal="center" vertical="center"/>
    </xf>
    <xf numFmtId="0" fontId="93" fillId="0" borderId="105" xfId="0" quotePrefix="1" applyFont="1" applyBorder="1" applyAlignment="1">
      <alignment horizontal="center" vertical="center"/>
    </xf>
    <xf numFmtId="0" fontId="19" fillId="0" borderId="108" xfId="0" applyFont="1" applyFill="1" applyBorder="1" applyAlignment="1" applyProtection="1">
      <alignment horizontal="center" vertical="center" wrapText="1"/>
      <protection locked="0"/>
    </xf>
    <xf numFmtId="0" fontId="93" fillId="0" borderId="20" xfId="0" quotePrefix="1" applyFont="1" applyBorder="1" applyAlignment="1">
      <alignment horizontal="center" vertical="center" wrapText="1"/>
    </xf>
    <xf numFmtId="0" fontId="19" fillId="0" borderId="105" xfId="0" applyFont="1" applyFill="1" applyBorder="1" applyAlignment="1" applyProtection="1">
      <alignment horizontal="center" vertical="center" wrapText="1"/>
      <protection locked="0"/>
    </xf>
    <xf numFmtId="0" fontId="18" fillId="0" borderId="105" xfId="0" applyFont="1" applyFill="1" applyBorder="1" applyAlignment="1" applyProtection="1">
      <alignment horizontal="center" vertical="center" wrapText="1"/>
      <protection locked="0"/>
    </xf>
    <xf numFmtId="0" fontId="93" fillId="0" borderId="105" xfId="0" quotePrefix="1" applyFont="1" applyBorder="1" applyAlignment="1">
      <alignment horizontal="left" vertical="center" wrapText="1"/>
    </xf>
    <xf numFmtId="0" fontId="94" fillId="0" borderId="105" xfId="0" applyFont="1" applyBorder="1" applyAlignment="1">
      <alignment horizontal="center" vertical="center" wrapText="1"/>
    </xf>
    <xf numFmtId="0" fontId="0" fillId="0" borderId="105" xfId="0" applyBorder="1" applyAlignment="1">
      <alignment horizontal="center" vertical="center"/>
    </xf>
    <xf numFmtId="0" fontId="88" fillId="12" borderId="67" xfId="0" applyFont="1" applyFill="1" applyBorder="1" applyAlignment="1">
      <alignment horizontal="center" vertical="center" wrapText="1"/>
    </xf>
    <xf numFmtId="0" fontId="85" fillId="0" borderId="79" xfId="0" applyFont="1" applyBorder="1" applyAlignment="1">
      <alignment horizontal="center" vertical="center" wrapText="1"/>
    </xf>
    <xf numFmtId="0" fontId="92" fillId="9" borderId="1" xfId="0" quotePrefix="1" applyFont="1" applyFill="1" applyBorder="1" applyAlignment="1" applyProtection="1">
      <alignment horizontal="justify" vertical="center" wrapText="1"/>
      <protection locked="0"/>
    </xf>
    <xf numFmtId="0" fontId="20" fillId="11" borderId="1" xfId="0" applyFont="1" applyFill="1" applyBorder="1" applyAlignment="1" applyProtection="1">
      <alignment horizontal="justify" vertical="center" wrapText="1"/>
      <protection locked="0"/>
    </xf>
    <xf numFmtId="164" fontId="20" fillId="11" borderId="1" xfId="18" applyNumberFormat="1" applyFont="1" applyFill="1" applyBorder="1" applyAlignment="1" applyProtection="1">
      <alignment horizontal="justify" vertical="center" wrapText="1"/>
      <protection locked="0"/>
    </xf>
    <xf numFmtId="0" fontId="3" fillId="11" borderId="1" xfId="0" applyFont="1" applyFill="1" applyBorder="1" applyAlignment="1" applyProtection="1">
      <alignment vertical="center" wrapText="1"/>
      <protection locked="0"/>
    </xf>
    <xf numFmtId="0" fontId="86" fillId="11" borderId="1" xfId="0" quotePrefix="1" applyFont="1" applyFill="1" applyBorder="1" applyAlignment="1" applyProtection="1">
      <alignment horizontal="justify" vertical="center" wrapText="1"/>
      <protection locked="0"/>
    </xf>
    <xf numFmtId="0" fontId="86" fillId="11" borderId="1" xfId="0" quotePrefix="1" applyNumberFormat="1" applyFont="1" applyFill="1" applyBorder="1" applyAlignment="1" applyProtection="1">
      <alignment horizontal="justify" vertical="center" wrapText="1"/>
      <protection locked="0"/>
    </xf>
    <xf numFmtId="0" fontId="2" fillId="0" borderId="110" xfId="0" applyFont="1" applyFill="1" applyBorder="1" applyAlignment="1">
      <alignment horizontal="center" vertical="center"/>
    </xf>
    <xf numFmtId="0" fontId="3" fillId="0" borderId="110" xfId="0" quotePrefix="1" applyFont="1" applyFill="1" applyBorder="1" applyAlignment="1">
      <alignment horizontal="center" vertical="center"/>
    </xf>
    <xf numFmtId="0" fontId="3" fillId="0" borderId="110" xfId="0" applyNumberFormat="1" applyFont="1" applyFill="1" applyBorder="1" applyAlignment="1">
      <alignment horizontal="center" vertical="center"/>
    </xf>
    <xf numFmtId="0" fontId="3" fillId="0" borderId="110" xfId="0" applyNumberFormat="1" applyFont="1" applyFill="1" applyBorder="1" applyAlignment="1">
      <alignment horizontal="center" vertical="center" wrapText="1"/>
    </xf>
    <xf numFmtId="0" fontId="3" fillId="0" borderId="110" xfId="0" quotePrefix="1" applyNumberFormat="1" applyFont="1" applyFill="1" applyBorder="1" applyAlignment="1">
      <alignment vertical="center" wrapText="1"/>
    </xf>
    <xf numFmtId="0" fontId="3" fillId="0" borderId="110" xfId="0" applyFont="1" applyFill="1" applyBorder="1" applyAlignment="1">
      <alignment horizontal="left" vertical="center" wrapText="1"/>
    </xf>
    <xf numFmtId="0" fontId="3" fillId="11" borderId="1" xfId="0" quotePrefix="1" applyFont="1" applyFill="1" applyBorder="1" applyAlignment="1" applyProtection="1">
      <alignment horizontal="center" vertical="center" wrapText="1"/>
      <protection locked="0"/>
    </xf>
    <xf numFmtId="0" fontId="2" fillId="0" borderId="21" xfId="0" applyFont="1" applyFill="1" applyBorder="1" applyAlignment="1">
      <alignment horizontal="center" vertical="center" wrapText="1"/>
    </xf>
    <xf numFmtId="0" fontId="2" fillId="16" borderId="21" xfId="0" applyFont="1" applyFill="1" applyBorder="1" applyAlignment="1">
      <alignment horizontal="center" vertical="center"/>
    </xf>
    <xf numFmtId="0" fontId="2" fillId="16" borderId="24" xfId="0" applyFont="1" applyFill="1" applyBorder="1" applyAlignment="1">
      <alignment horizontal="center" vertical="center"/>
    </xf>
    <xf numFmtId="0" fontId="18" fillId="16" borderId="1" xfId="0" applyFont="1" applyFill="1" applyBorder="1" applyAlignment="1">
      <alignment horizontal="center" vertical="center" wrapText="1"/>
    </xf>
    <xf numFmtId="0" fontId="2" fillId="0" borderId="2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18" fillId="17" borderId="1" xfId="0" applyFont="1" applyFill="1" applyBorder="1" applyAlignment="1">
      <alignment horizontal="center" vertical="center" wrapText="1"/>
    </xf>
    <xf numFmtId="0" fontId="2" fillId="17" borderId="21" xfId="0" applyFont="1" applyFill="1" applyBorder="1" applyAlignment="1">
      <alignment horizontal="center" vertical="center"/>
    </xf>
    <xf numFmtId="0" fontId="2" fillId="17" borderId="24" xfId="0" applyFont="1" applyFill="1" applyBorder="1" applyAlignment="1">
      <alignment horizontal="center" vertical="center"/>
    </xf>
    <xf numFmtId="0" fontId="3" fillId="11" borderId="0" xfId="0" applyFont="1" applyFill="1" applyBorder="1" applyAlignment="1">
      <alignment horizontal="center" vertical="center" wrapText="1"/>
    </xf>
    <xf numFmtId="0" fontId="3" fillId="11" borderId="18" xfId="0" applyFont="1" applyFill="1" applyBorder="1" applyAlignment="1">
      <alignment horizontal="center" vertical="center" wrapText="1"/>
    </xf>
    <xf numFmtId="0" fontId="2" fillId="13" borderId="21" xfId="0" applyFont="1" applyFill="1" applyBorder="1" applyAlignment="1">
      <alignment horizontal="center" vertical="center"/>
    </xf>
    <xf numFmtId="0" fontId="2" fillId="13" borderId="24" xfId="0" applyFont="1" applyFill="1" applyBorder="1" applyAlignment="1">
      <alignment horizontal="center" vertical="center"/>
    </xf>
    <xf numFmtId="0" fontId="18" fillId="13" borderId="1"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17" fillId="0" borderId="11" xfId="0" applyFont="1" applyFill="1" applyBorder="1" applyAlignment="1">
      <alignment horizontal="center" vertical="center" wrapText="1"/>
    </xf>
    <xf numFmtId="0" fontId="17" fillId="0" borderId="12" xfId="0" applyFont="1" applyFill="1" applyBorder="1" applyAlignment="1">
      <alignment horizontal="center" vertical="center" wrapText="1"/>
    </xf>
    <xf numFmtId="0" fontId="0" fillId="0" borderId="11" xfId="0" applyBorder="1" applyAlignment="1">
      <alignment horizontal="center"/>
    </xf>
    <xf numFmtId="0" fontId="0" fillId="0" borderId="12" xfId="0" applyBorder="1" applyAlignment="1">
      <alignment horizontal="center"/>
    </xf>
    <xf numFmtId="0" fontId="17" fillId="0" borderId="7"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11" borderId="15" xfId="0" applyFont="1" applyFill="1" applyBorder="1" applyAlignment="1">
      <alignment horizontal="center" vertical="center" wrapText="1"/>
    </xf>
    <xf numFmtId="0" fontId="17" fillId="11" borderId="13" xfId="0" applyFont="1" applyFill="1" applyBorder="1" applyAlignment="1">
      <alignment horizontal="center" vertical="center" wrapText="1"/>
    </xf>
    <xf numFmtId="0" fontId="17" fillId="14" borderId="15" xfId="0" applyFont="1" applyFill="1" applyBorder="1" applyAlignment="1">
      <alignment horizontal="center" vertical="center" wrapText="1"/>
    </xf>
    <xf numFmtId="0" fontId="17" fillId="14" borderId="13" xfId="0" applyFont="1" applyFill="1" applyBorder="1" applyAlignment="1">
      <alignment horizontal="center" vertical="center" wrapText="1"/>
    </xf>
    <xf numFmtId="0" fontId="2" fillId="0" borderId="0" xfId="0" applyFont="1" applyFill="1" applyAlignment="1">
      <alignment horizontal="center" vertical="center"/>
    </xf>
    <xf numFmtId="0" fontId="3" fillId="0" borderId="110" xfId="0" applyNumberFormat="1" applyFont="1" applyFill="1" applyBorder="1" applyAlignment="1">
      <alignment horizontal="center" vertical="center" wrapText="1"/>
    </xf>
    <xf numFmtId="0" fontId="3" fillId="0" borderId="110" xfId="0" quotePrefix="1" applyNumberFormat="1" applyFont="1" applyFill="1" applyBorder="1" applyAlignment="1">
      <alignment horizontal="justify" vertical="center" wrapText="1"/>
    </xf>
    <xf numFmtId="0" fontId="2" fillId="0" borderId="110" xfId="0" applyNumberFormat="1" applyFont="1" applyFill="1" applyBorder="1" applyAlignment="1">
      <alignment horizontal="center" vertical="center"/>
    </xf>
    <xf numFmtId="0" fontId="2" fillId="0" borderId="110" xfId="0" applyNumberFormat="1" applyFont="1" applyFill="1" applyBorder="1" applyAlignment="1">
      <alignment horizontal="center" vertical="center" wrapText="1"/>
    </xf>
    <xf numFmtId="0" fontId="2" fillId="0" borderId="110" xfId="0" applyFont="1" applyFill="1" applyBorder="1" applyAlignment="1">
      <alignment horizontal="center" vertical="center"/>
    </xf>
    <xf numFmtId="0" fontId="2" fillId="16" borderId="19" xfId="0" applyFont="1" applyFill="1" applyBorder="1" applyAlignment="1" applyProtection="1">
      <alignment horizontal="center" vertical="center" wrapText="1"/>
      <protection locked="0"/>
    </xf>
    <xf numFmtId="0" fontId="3" fillId="0" borderId="19" xfId="0" applyFont="1" applyFill="1" applyBorder="1" applyAlignment="1" applyProtection="1">
      <alignment horizontal="center" vertical="center" wrapText="1"/>
      <protection locked="0"/>
    </xf>
    <xf numFmtId="0" fontId="12" fillId="16" borderId="19" xfId="0" applyFont="1" applyFill="1" applyBorder="1" applyAlignment="1">
      <alignment horizontal="center" vertical="center" wrapText="1"/>
    </xf>
    <xf numFmtId="0" fontId="2" fillId="0" borderId="7"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0" fillId="0" borderId="47" xfId="0" applyFont="1" applyFill="1" applyBorder="1" applyAlignment="1" applyProtection="1">
      <alignment horizontal="justify" vertical="center" wrapText="1"/>
      <protection locked="0"/>
    </xf>
    <xf numFmtId="0" fontId="20" fillId="0" borderId="20" xfId="0" applyFont="1" applyFill="1" applyBorder="1" applyAlignment="1" applyProtection="1">
      <alignment horizontal="justify" vertical="center" wrapText="1"/>
      <protection locked="0"/>
    </xf>
    <xf numFmtId="0" fontId="2" fillId="0" borderId="19" xfId="0" applyFont="1" applyFill="1" applyBorder="1" applyAlignment="1" applyProtection="1">
      <alignment horizontal="center" vertical="center" wrapText="1"/>
      <protection locked="0"/>
    </xf>
    <xf numFmtId="0" fontId="35" fillId="0" borderId="88" xfId="0" quotePrefix="1"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5" fillId="0" borderId="20" xfId="0" quotePrefix="1" applyFont="1" applyFill="1" applyBorder="1" applyAlignment="1" applyProtection="1">
      <alignment horizontal="center" vertical="center" wrapText="1"/>
      <protection locked="0"/>
    </xf>
    <xf numFmtId="0" fontId="2" fillId="10" borderId="7" xfId="0" applyFont="1" applyFill="1" applyBorder="1" applyAlignment="1" applyProtection="1">
      <alignment horizontal="center" vertical="center" wrapText="1"/>
      <protection locked="0"/>
    </xf>
    <xf numFmtId="0" fontId="2" fillId="10" borderId="3" xfId="0" applyFont="1" applyFill="1" applyBorder="1" applyAlignment="1" applyProtection="1">
      <alignment horizontal="center" vertical="center" wrapText="1"/>
      <protection locked="0"/>
    </xf>
    <xf numFmtId="0" fontId="7" fillId="0" borderId="0" xfId="0" applyNumberFormat="1" applyFont="1" applyFill="1" applyBorder="1" applyAlignment="1" applyProtection="1">
      <alignment horizontal="left" vertical="center" wrapText="1"/>
      <protection locked="0"/>
    </xf>
    <xf numFmtId="0" fontId="2" fillId="9" borderId="1" xfId="0" applyFont="1" applyFill="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5"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5" borderId="7" xfId="0" applyFont="1" applyFill="1" applyBorder="1" applyAlignment="1" applyProtection="1">
      <alignment horizontal="center" vertical="center" wrapText="1"/>
      <protection locked="0"/>
    </xf>
    <xf numFmtId="0" fontId="2" fillId="5" borderId="3" xfId="0" applyFont="1" applyFill="1" applyBorder="1" applyAlignment="1" applyProtection="1">
      <alignment horizontal="center" vertical="center" wrapText="1"/>
      <protection locked="0"/>
    </xf>
    <xf numFmtId="0" fontId="2" fillId="10" borderId="2" xfId="0" applyNumberFormat="1" applyFont="1" applyFill="1" applyBorder="1" applyAlignment="1" applyProtection="1">
      <alignment horizontal="center" vertical="center" wrapText="1"/>
      <protection locked="0"/>
    </xf>
    <xf numFmtId="0" fontId="2" fillId="10" borderId="3" xfId="0" applyNumberFormat="1"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43" fillId="2" borderId="1" xfId="0" applyFont="1" applyFill="1" applyBorder="1" applyAlignment="1" applyProtection="1">
      <alignment horizontal="center" vertical="center" wrapText="1"/>
      <protection locked="0"/>
    </xf>
    <xf numFmtId="0" fontId="20" fillId="11" borderId="11" xfId="0" applyFont="1" applyFill="1" applyBorder="1" applyAlignment="1" applyProtection="1">
      <alignment horizontal="left" vertical="center" wrapText="1"/>
      <protection locked="0"/>
    </xf>
    <xf numFmtId="0" fontId="20" fillId="11" borderId="12" xfId="0" applyFont="1" applyFill="1" applyBorder="1" applyAlignment="1" applyProtection="1">
      <alignment horizontal="left" vertical="center" wrapText="1"/>
      <protection locked="0"/>
    </xf>
    <xf numFmtId="0" fontId="20" fillId="12" borderId="11" xfId="0" applyFont="1" applyFill="1" applyBorder="1" applyAlignment="1" applyProtection="1">
      <alignment horizontal="left" vertical="center" wrapText="1"/>
      <protection locked="0"/>
    </xf>
    <xf numFmtId="0" fontId="20" fillId="12" borderId="12" xfId="0" applyFont="1" applyFill="1" applyBorder="1" applyAlignment="1" applyProtection="1">
      <alignment horizontal="left" vertical="center" wrapText="1"/>
      <protection locked="0"/>
    </xf>
    <xf numFmtId="0" fontId="43" fillId="2" borderId="25" xfId="0" applyFont="1" applyFill="1" applyBorder="1" applyAlignment="1" applyProtection="1">
      <alignment horizontal="center" vertical="center" wrapText="1"/>
      <protection locked="0"/>
    </xf>
    <xf numFmtId="0" fontId="43" fillId="2" borderId="26" xfId="0" applyFont="1" applyFill="1" applyBorder="1" applyAlignment="1" applyProtection="1">
      <alignment horizontal="center" vertical="center" wrapText="1"/>
      <protection locked="0"/>
    </xf>
    <xf numFmtId="0" fontId="43" fillId="2" borderId="4" xfId="0" applyFont="1" applyFill="1" applyBorder="1" applyAlignment="1" applyProtection="1">
      <alignment horizontal="center" vertical="center" wrapText="1"/>
      <protection locked="0"/>
    </xf>
    <xf numFmtId="0" fontId="43" fillId="2" borderId="18" xfId="0" applyFont="1" applyFill="1" applyBorder="1" applyAlignment="1" applyProtection="1">
      <alignment horizontal="center" vertical="center" wrapText="1"/>
      <protection locked="0"/>
    </xf>
    <xf numFmtId="0" fontId="43" fillId="2" borderId="13" xfId="0" applyFont="1" applyFill="1" applyBorder="1" applyAlignment="1" applyProtection="1">
      <alignment horizontal="center" vertical="center" wrapText="1"/>
      <protection locked="0"/>
    </xf>
    <xf numFmtId="0" fontId="43" fillId="2" borderId="14" xfId="0" applyFont="1" applyFill="1" applyBorder="1" applyAlignment="1" applyProtection="1">
      <alignment horizontal="center" vertical="center" wrapText="1"/>
      <protection locked="0"/>
    </xf>
    <xf numFmtId="0" fontId="20" fillId="12" borderId="20" xfId="0" applyFont="1" applyFill="1" applyBorder="1" applyAlignment="1" applyProtection="1">
      <alignment horizontal="left" vertical="center" wrapText="1"/>
      <protection locked="0"/>
    </xf>
    <xf numFmtId="0" fontId="20" fillId="11" borderId="22" xfId="0" applyFont="1" applyFill="1" applyBorder="1" applyAlignment="1" applyProtection="1">
      <alignment horizontal="left" vertical="center" wrapText="1"/>
      <protection locked="0"/>
    </xf>
    <xf numFmtId="0" fontId="20" fillId="11" borderId="20" xfId="0" applyFont="1" applyFill="1" applyBorder="1" applyAlignment="1" applyProtection="1">
      <alignment horizontal="left" vertical="center" wrapText="1"/>
      <protection locked="0"/>
    </xf>
    <xf numFmtId="0" fontId="3" fillId="11" borderId="4" xfId="0" applyFont="1" applyFill="1" applyBorder="1" applyAlignment="1" applyProtection="1">
      <alignment horizontal="center" vertical="center" wrapText="1"/>
      <protection locked="0"/>
    </xf>
    <xf numFmtId="0" fontId="2" fillId="10" borderId="1" xfId="0" applyFont="1" applyFill="1" applyBorder="1" applyAlignment="1" applyProtection="1">
      <alignment horizontal="center" vertical="center" wrapText="1"/>
      <protection locked="0"/>
    </xf>
    <xf numFmtId="0" fontId="87" fillId="13" borderId="1" xfId="0" applyFont="1" applyFill="1" applyBorder="1" applyAlignment="1" applyProtection="1">
      <alignment horizontal="center" vertical="center" wrapText="1"/>
      <protection locked="0"/>
    </xf>
    <xf numFmtId="0" fontId="7" fillId="10" borderId="1" xfId="0" applyFont="1" applyFill="1" applyBorder="1" applyAlignment="1" applyProtection="1">
      <alignment horizontal="center" vertical="center" wrapText="1"/>
      <protection locked="0"/>
    </xf>
    <xf numFmtId="0" fontId="43" fillId="2" borderId="11" xfId="0" applyFont="1" applyFill="1" applyBorder="1" applyAlignment="1" applyProtection="1">
      <alignment horizontal="center" vertical="center" wrapText="1"/>
      <protection locked="0"/>
    </xf>
    <xf numFmtId="0" fontId="43" fillId="2" borderId="10" xfId="0" applyFont="1" applyFill="1" applyBorder="1" applyAlignment="1" applyProtection="1">
      <alignment horizontal="center" vertical="center" wrapText="1"/>
      <protection locked="0"/>
    </xf>
    <xf numFmtId="0" fontId="43" fillId="2" borderId="12" xfId="0" applyFont="1" applyFill="1" applyBorder="1" applyAlignment="1" applyProtection="1">
      <alignment horizontal="center" vertical="center" wrapText="1"/>
      <protection locked="0"/>
    </xf>
    <xf numFmtId="0" fontId="20" fillId="11" borderId="23"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2" fillId="0" borderId="25" xfId="0" applyFont="1" applyFill="1" applyBorder="1" applyAlignment="1" applyProtection="1">
      <alignment horizontal="center" vertical="center" wrapText="1"/>
      <protection locked="0"/>
    </xf>
    <xf numFmtId="0" fontId="2" fillId="0" borderId="26"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18"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14" xfId="0" applyFont="1" applyFill="1" applyBorder="1" applyAlignment="1" applyProtection="1">
      <alignment horizontal="center" vertical="center" wrapText="1"/>
      <protection locked="0"/>
    </xf>
    <xf numFmtId="0" fontId="43" fillId="9" borderId="1" xfId="0" applyFont="1" applyFill="1" applyBorder="1" applyAlignment="1" applyProtection="1">
      <alignment horizontal="center" vertical="center" wrapText="1"/>
      <protection locked="0"/>
    </xf>
    <xf numFmtId="0" fontId="7" fillId="9"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xf>
    <xf numFmtId="0" fontId="2" fillId="8" borderId="1" xfId="0" applyFont="1" applyFill="1" applyBorder="1" applyAlignment="1" applyProtection="1">
      <alignment horizontal="center" vertical="center" wrapText="1"/>
    </xf>
    <xf numFmtId="0" fontId="2" fillId="9" borderId="7" xfId="0" applyFont="1" applyFill="1" applyBorder="1" applyAlignment="1" applyProtection="1">
      <alignment horizontal="center" vertical="center" wrapText="1"/>
      <protection locked="0"/>
    </xf>
    <xf numFmtId="0" fontId="2" fillId="9" borderId="3" xfId="0" applyFont="1" applyFill="1" applyBorder="1" applyAlignment="1" applyProtection="1">
      <alignment horizontal="center" vertical="center" wrapText="1"/>
      <protection locked="0"/>
    </xf>
    <xf numFmtId="0" fontId="8" fillId="0" borderId="0" xfId="0" applyFont="1" applyBorder="1" applyAlignment="1">
      <alignment horizontal="center" vertical="center"/>
    </xf>
    <xf numFmtId="0" fontId="17" fillId="0" borderId="7" xfId="0" applyFont="1" applyFill="1" applyBorder="1" applyAlignment="1" applyProtection="1">
      <alignment horizontal="center" vertical="center" wrapText="1"/>
      <protection locked="0"/>
    </xf>
    <xf numFmtId="0" fontId="17" fillId="0" borderId="2" xfId="0" applyFont="1" applyFill="1" applyBorder="1" applyAlignment="1" applyProtection="1">
      <alignment horizontal="center" vertical="center" wrapText="1"/>
      <protection locked="0"/>
    </xf>
    <xf numFmtId="0" fontId="17" fillId="0" borderId="3" xfId="0" applyFont="1" applyFill="1" applyBorder="1" applyAlignment="1" applyProtection="1">
      <alignment horizontal="center" vertical="center" wrapText="1"/>
      <protection locked="0"/>
    </xf>
    <xf numFmtId="0" fontId="17" fillId="2" borderId="0" xfId="0" applyFont="1" applyFill="1" applyAlignment="1">
      <alignment horizontal="center"/>
    </xf>
    <xf numFmtId="0" fontId="3" fillId="0" borderId="0" xfId="0" quotePrefix="1" applyFont="1" applyBorder="1" applyAlignment="1">
      <alignment horizontal="left" vertical="center" wrapText="1"/>
    </xf>
    <xf numFmtId="0" fontId="17" fillId="0" borderId="11" xfId="0" applyFont="1" applyFill="1" applyBorder="1" applyAlignment="1" applyProtection="1">
      <alignment horizontal="center" vertical="center" wrapText="1"/>
      <protection locked="0"/>
    </xf>
    <xf numFmtId="0" fontId="17" fillId="0" borderId="12"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59" fillId="0" borderId="0" xfId="0" applyFont="1" applyAlignment="1">
      <alignment horizontal="center"/>
    </xf>
    <xf numFmtId="0" fontId="3" fillId="0" borderId="0" xfId="117" applyFont="1" applyFill="1" applyAlignment="1">
      <alignment horizontal="center" vertical="center" wrapText="1"/>
    </xf>
    <xf numFmtId="0" fontId="2" fillId="0" borderId="0" xfId="117" applyFont="1" applyFill="1" applyAlignment="1">
      <alignment horizontal="center" vertical="center" wrapText="1"/>
    </xf>
    <xf numFmtId="0" fontId="2" fillId="0" borderId="0" xfId="117" applyFont="1" applyFill="1" applyAlignment="1">
      <alignment horizontal="center" vertical="center"/>
    </xf>
    <xf numFmtId="0" fontId="17" fillId="0" borderId="0" xfId="0" applyFont="1" applyAlignment="1">
      <alignment horizontal="center"/>
    </xf>
    <xf numFmtId="0" fontId="3" fillId="0" borderId="0" xfId="0" applyFont="1" applyAlignment="1">
      <alignment horizontal="center"/>
    </xf>
    <xf numFmtId="0" fontId="17" fillId="0" borderId="0" xfId="117" applyFont="1" applyFill="1" applyAlignment="1">
      <alignment horizontal="center" vertical="center" wrapText="1"/>
    </xf>
    <xf numFmtId="0" fontId="2" fillId="0" borderId="0" xfId="0" applyFont="1" applyAlignment="1">
      <alignment horizontal="center"/>
    </xf>
    <xf numFmtId="0" fontId="17" fillId="0" borderId="17" xfId="0" applyFont="1" applyFill="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17" fillId="0" borderId="1" xfId="0" applyFont="1" applyFill="1" applyBorder="1" applyAlignment="1" applyProtection="1">
      <alignment horizontal="right" vertical="center" wrapText="1"/>
      <protection locked="0"/>
    </xf>
    <xf numFmtId="0" fontId="17" fillId="0" borderId="0" xfId="0" applyFont="1" applyAlignment="1">
      <alignment horizontal="center" vertical="center"/>
    </xf>
    <xf numFmtId="0" fontId="3" fillId="0" borderId="9" xfId="0" quotePrefix="1" applyFont="1" applyBorder="1" applyAlignment="1">
      <alignment horizontal="center" vertical="center" wrapText="1"/>
    </xf>
    <xf numFmtId="0" fontId="41" fillId="0" borderId="0" xfId="0" applyFont="1" applyBorder="1" applyAlignment="1">
      <alignment horizontal="center" vertical="center"/>
    </xf>
    <xf numFmtId="0" fontId="28" fillId="0" borderId="0" xfId="0" applyFont="1" applyAlignment="1">
      <alignment horizontal="center" vertical="center" wrapText="1"/>
    </xf>
    <xf numFmtId="0" fontId="36" fillId="0" borderId="0" xfId="0" quotePrefix="1" applyFont="1" applyBorder="1" applyAlignment="1">
      <alignment horizontal="left" vertical="center" wrapText="1"/>
    </xf>
    <xf numFmtId="0" fontId="28" fillId="0" borderId="0" xfId="0" applyFont="1" applyAlignment="1">
      <alignment horizontal="center" wrapText="1"/>
    </xf>
    <xf numFmtId="0" fontId="12" fillId="0" borderId="11" xfId="0" applyFont="1" applyFill="1" applyBorder="1" applyAlignment="1" applyProtection="1">
      <alignment horizontal="center" vertical="center" wrapText="1"/>
      <protection locked="0"/>
    </xf>
    <xf numFmtId="0" fontId="12" fillId="0" borderId="12"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39" fillId="0" borderId="0" xfId="0" applyFont="1" applyAlignment="1">
      <alignment horizontal="center" wrapText="1"/>
    </xf>
    <xf numFmtId="0" fontId="18" fillId="0" borderId="1" xfId="0" applyFont="1" applyFill="1" applyBorder="1" applyAlignment="1" applyProtection="1">
      <alignment horizontal="center" vertical="center" wrapText="1"/>
      <protection locked="0"/>
    </xf>
    <xf numFmtId="0" fontId="39" fillId="0" borderId="0" xfId="0" applyFont="1" applyAlignment="1">
      <alignment horizontal="center"/>
    </xf>
    <xf numFmtId="0" fontId="28" fillId="0" borderId="0" xfId="0" applyFont="1" applyAlignment="1">
      <alignment horizontal="center"/>
    </xf>
    <xf numFmtId="0" fontId="18" fillId="0" borderId="11" xfId="0" applyFont="1" applyFill="1" applyBorder="1" applyAlignment="1" applyProtection="1">
      <alignment horizontal="center" vertical="center" wrapText="1"/>
      <protection locked="0"/>
    </xf>
    <xf numFmtId="0" fontId="18" fillId="0" borderId="12" xfId="0" applyFont="1" applyFill="1" applyBorder="1" applyAlignment="1" applyProtection="1">
      <alignment horizontal="center" vertical="center" wrapText="1"/>
      <protection locked="0"/>
    </xf>
    <xf numFmtId="0" fontId="27" fillId="0" borderId="0" xfId="0" quotePrefix="1" applyFont="1" applyBorder="1" applyAlignment="1">
      <alignment horizontal="left" vertical="center" wrapText="1"/>
    </xf>
    <xf numFmtId="0" fontId="18" fillId="0" borderId="7" xfId="0" applyFont="1" applyFill="1" applyBorder="1" applyAlignment="1" applyProtection="1">
      <alignment horizontal="center" vertical="center" wrapText="1"/>
      <protection locked="0"/>
    </xf>
    <xf numFmtId="0" fontId="18" fillId="0" borderId="2" xfId="0" applyFont="1" applyFill="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17" fillId="0" borderId="29" xfId="0" applyFont="1" applyFill="1" applyBorder="1" applyAlignment="1" applyProtection="1">
      <alignment horizontal="center" vertical="center" wrapText="1"/>
      <protection locked="0"/>
    </xf>
    <xf numFmtId="0" fontId="14" fillId="0" borderId="0" xfId="0" applyFont="1" applyAlignment="1">
      <alignment horizontal="center" vertical="center"/>
    </xf>
    <xf numFmtId="0" fontId="32" fillId="0" borderId="0" xfId="0" applyFont="1" applyAlignment="1">
      <alignment horizontal="center" vertical="center"/>
    </xf>
    <xf numFmtId="0" fontId="17" fillId="0" borderId="15" xfId="0" applyFont="1" applyFill="1" applyBorder="1" applyAlignment="1" applyProtection="1">
      <alignment horizontal="right" vertical="center" wrapText="1"/>
      <protection locked="0"/>
    </xf>
    <xf numFmtId="0" fontId="17" fillId="0" borderId="16" xfId="0" applyFont="1" applyFill="1" applyBorder="1" applyAlignment="1" applyProtection="1">
      <alignment horizontal="right" vertical="center" wrapText="1"/>
      <protection locked="0"/>
    </xf>
    <xf numFmtId="0" fontId="12" fillId="0" borderId="1" xfId="0" applyFont="1" applyFill="1" applyBorder="1" applyAlignment="1" applyProtection="1">
      <alignment horizontal="right" vertical="center" wrapText="1"/>
      <protection locked="0"/>
    </xf>
    <xf numFmtId="0" fontId="12" fillId="0" borderId="7"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3" fillId="0" borderId="9" xfId="0" applyFont="1" applyBorder="1" applyAlignment="1">
      <alignment horizontal="center" vertical="center" wrapText="1"/>
    </xf>
    <xf numFmtId="0" fontId="3" fillId="0" borderId="0" xfId="0" applyFont="1" applyBorder="1" applyAlignment="1">
      <alignment horizontal="left" vertical="center" wrapText="1"/>
    </xf>
    <xf numFmtId="0" fontId="18" fillId="0" borderId="0" xfId="0" applyFont="1" applyAlignment="1">
      <alignment horizontal="center"/>
    </xf>
    <xf numFmtId="0" fontId="29" fillId="0" borderId="0" xfId="0" applyFont="1" applyAlignment="1">
      <alignment horizontal="center"/>
    </xf>
    <xf numFmtId="0" fontId="27" fillId="0" borderId="0" xfId="0" applyFont="1" applyBorder="1" applyAlignment="1">
      <alignment horizontal="left" vertical="center" wrapText="1"/>
    </xf>
    <xf numFmtId="0" fontId="81" fillId="0" borderId="0" xfId="0" applyFont="1" applyAlignment="1">
      <alignment horizontal="center" vertical="center"/>
    </xf>
    <xf numFmtId="0" fontId="2" fillId="0" borderId="15" xfId="0" applyFont="1" applyFill="1" applyBorder="1" applyAlignment="1" applyProtection="1">
      <alignment horizontal="center" vertical="center" wrapText="1"/>
      <protection locked="0"/>
    </xf>
    <xf numFmtId="0" fontId="2" fillId="0" borderId="16" xfId="0" applyFont="1" applyFill="1" applyBorder="1" applyAlignment="1" applyProtection="1">
      <alignment horizontal="center" vertical="center" wrapText="1"/>
      <protection locked="0"/>
    </xf>
    <xf numFmtId="0" fontId="2" fillId="0" borderId="58" xfId="0" applyFont="1" applyFill="1" applyBorder="1" applyAlignment="1" applyProtection="1">
      <alignment horizontal="center" vertical="center" wrapText="1"/>
      <protection locked="0"/>
    </xf>
    <xf numFmtId="0" fontId="17" fillId="0" borderId="33"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right" vertical="center" wrapText="1"/>
      <protection locked="0"/>
    </xf>
    <xf numFmtId="0" fontId="3" fillId="0" borderId="109" xfId="0" quotePrefix="1" applyFont="1" applyBorder="1" applyAlignment="1">
      <alignment horizontal="center" vertical="center" wrapText="1"/>
    </xf>
    <xf numFmtId="0" fontId="2" fillId="0" borderId="107" xfId="0" applyFont="1" applyFill="1" applyBorder="1" applyAlignment="1" applyProtection="1">
      <alignment horizontal="center" vertical="center" wrapText="1"/>
      <protection locked="0"/>
    </xf>
    <xf numFmtId="0" fontId="2" fillId="0" borderId="0" xfId="0" applyFont="1" applyAlignment="1">
      <alignment horizontal="center" vertical="center"/>
    </xf>
    <xf numFmtId="0" fontId="29" fillId="0" borderId="0" xfId="0" applyFont="1" applyAlignment="1">
      <alignment horizontal="center" vertical="center"/>
    </xf>
    <xf numFmtId="0" fontId="18" fillId="0" borderId="1" xfId="0" applyFont="1" applyFill="1" applyBorder="1" applyAlignment="1" applyProtection="1">
      <alignment horizontal="right" vertical="center" wrapText="1"/>
      <protection locked="0"/>
    </xf>
    <xf numFmtId="0" fontId="27" fillId="0" borderId="9" xfId="0" quotePrefix="1" applyFont="1" applyBorder="1" applyAlignment="1">
      <alignment horizontal="center" vertical="center" wrapText="1"/>
    </xf>
  </cellXfs>
  <cellStyles count="130">
    <cellStyle name="Comma [0] 2" xfId="1"/>
    <cellStyle name="Comma [0] 2 2" xfId="2"/>
    <cellStyle name="Comma [0] 3" xfId="3"/>
    <cellStyle name="Comma 10" xfId="4"/>
    <cellStyle name="Comma 10 2" xfId="5"/>
    <cellStyle name="Comma 11" xfId="6"/>
    <cellStyle name="Comma 11 2" xfId="7"/>
    <cellStyle name="Comma 12" xfId="8"/>
    <cellStyle name="Comma 12 2" xfId="9"/>
    <cellStyle name="Comma 13" xfId="10"/>
    <cellStyle name="Comma 13 2" xfId="11"/>
    <cellStyle name="Comma 14" xfId="12"/>
    <cellStyle name="Comma 14 2" xfId="13"/>
    <cellStyle name="Comma 15" xfId="14"/>
    <cellStyle name="Comma 15 2" xfId="15"/>
    <cellStyle name="Comma 16" xfId="16"/>
    <cellStyle name="Comma 16 2" xfId="17"/>
    <cellStyle name="Comma 17" xfId="18"/>
    <cellStyle name="Comma 17 2" xfId="19"/>
    <cellStyle name="Comma 18" xfId="20"/>
    <cellStyle name="Comma 18 2" xfId="21"/>
    <cellStyle name="Comma 19" xfId="22"/>
    <cellStyle name="Comma 19 2" xfId="23"/>
    <cellStyle name="Comma 2" xfId="24"/>
    <cellStyle name="Comma 2 2" xfId="25"/>
    <cellStyle name="Comma 2 2 2" xfId="26"/>
    <cellStyle name="Comma 2 3" xfId="27"/>
    <cellStyle name="Comma 2 4" xfId="28"/>
    <cellStyle name="Comma 2 4 2" xfId="29"/>
    <cellStyle name="Comma 20" xfId="30"/>
    <cellStyle name="Comma 20 2" xfId="31"/>
    <cellStyle name="Comma 21" xfId="32"/>
    <cellStyle name="Comma 22" xfId="33"/>
    <cellStyle name="Comma 22 2" xfId="34"/>
    <cellStyle name="Comma 23" xfId="35"/>
    <cellStyle name="Comma 23 2" xfId="36"/>
    <cellStyle name="Comma 24" xfId="37"/>
    <cellStyle name="Comma 24 2" xfId="38"/>
    <cellStyle name="Comma 25" xfId="39"/>
    <cellStyle name="Comma 25 2" xfId="40"/>
    <cellStyle name="Comma 26" xfId="41"/>
    <cellStyle name="Comma 26 2" xfId="42"/>
    <cellStyle name="Comma 27" xfId="43"/>
    <cellStyle name="Comma 27 2" xfId="44"/>
    <cellStyle name="Comma 28" xfId="45"/>
    <cellStyle name="Comma 28 2" xfId="46"/>
    <cellStyle name="Comma 29" xfId="47"/>
    <cellStyle name="Comma 29 2" xfId="48"/>
    <cellStyle name="Comma 3" xfId="49"/>
    <cellStyle name="Comma 3 2" xfId="50"/>
    <cellStyle name="Comma 30" xfId="51"/>
    <cellStyle name="Comma 30 2" xfId="52"/>
    <cellStyle name="Comma 31" xfId="53"/>
    <cellStyle name="Comma 31 2" xfId="54"/>
    <cellStyle name="Comma 32" xfId="55"/>
    <cellStyle name="Comma 32 2" xfId="56"/>
    <cellStyle name="Comma 33" xfId="57"/>
    <cellStyle name="Comma 33 2" xfId="58"/>
    <cellStyle name="Comma 34" xfId="59"/>
    <cellStyle name="Comma 34 2" xfId="60"/>
    <cellStyle name="Comma 35" xfId="61"/>
    <cellStyle name="Comma 35 2" xfId="62"/>
    <cellStyle name="Comma 36" xfId="63"/>
    <cellStyle name="Comma 36 2" xfId="64"/>
    <cellStyle name="Comma 37" xfId="65"/>
    <cellStyle name="Comma 37 2" xfId="66"/>
    <cellStyle name="Comma 38" xfId="67"/>
    <cellStyle name="Comma 38 2" xfId="68"/>
    <cellStyle name="Comma 39" xfId="69"/>
    <cellStyle name="Comma 39 2" xfId="70"/>
    <cellStyle name="Comma 4" xfId="71"/>
    <cellStyle name="Comma 4 2" xfId="72"/>
    <cellStyle name="Comma 40" xfId="73"/>
    <cellStyle name="Comma 40 2" xfId="74"/>
    <cellStyle name="Comma 41" xfId="75"/>
    <cellStyle name="Comma 41 2" xfId="76"/>
    <cellStyle name="Comma 42" xfId="77"/>
    <cellStyle name="Comma 42 2" xfId="78"/>
    <cellStyle name="Comma 43" xfId="79"/>
    <cellStyle name="Comma 43 2" xfId="80"/>
    <cellStyle name="Comma 44" xfId="81"/>
    <cellStyle name="Comma 45" xfId="82"/>
    <cellStyle name="Comma 46" xfId="83"/>
    <cellStyle name="Comma 47" xfId="84"/>
    <cellStyle name="Comma 48" xfId="85"/>
    <cellStyle name="Comma 49" xfId="86"/>
    <cellStyle name="Comma 5" xfId="87"/>
    <cellStyle name="Comma 5 2" xfId="88"/>
    <cellStyle name="Comma 50" xfId="89"/>
    <cellStyle name="Comma 51" xfId="90"/>
    <cellStyle name="Comma 52" xfId="91"/>
    <cellStyle name="Comma 52 2" xfId="92"/>
    <cellStyle name="Comma 53" xfId="93"/>
    <cellStyle name="Comma 53 2" xfId="94"/>
    <cellStyle name="Comma 54" xfId="95"/>
    <cellStyle name="Comma 6" xfId="96"/>
    <cellStyle name="Comma 6 2" xfId="97"/>
    <cellStyle name="Comma 7" xfId="98"/>
    <cellStyle name="Comma 7 2" xfId="99"/>
    <cellStyle name="Comma 8" xfId="100"/>
    <cellStyle name="Comma 8 2" xfId="101"/>
    <cellStyle name="Comma 9" xfId="102"/>
    <cellStyle name="Comma 9 2" xfId="103"/>
    <cellStyle name="Currency" xfId="104" builtinId="4"/>
    <cellStyle name="Currency 2" xfId="105"/>
    <cellStyle name="Currency 2 2" xfId="106"/>
    <cellStyle name="Currency 3" xfId="107"/>
    <cellStyle name="Currency 4" xfId="108"/>
    <cellStyle name="Normal" xfId="0" builtinId="0"/>
    <cellStyle name="Normal 2" xfId="109"/>
    <cellStyle name="Normal 2 2" xfId="110"/>
    <cellStyle name="Normal 2 2 2" xfId="111"/>
    <cellStyle name="Normal 2 2 3" xfId="112"/>
    <cellStyle name="Normal 2 3" xfId="113"/>
    <cellStyle name="Normal 2 4" xfId="114"/>
    <cellStyle name="Normal 2 5" xfId="115"/>
    <cellStyle name="Normal 2 5 2" xfId="116"/>
    <cellStyle name="Normal 3" xfId="117"/>
    <cellStyle name="Normal 3 2" xfId="118"/>
    <cellStyle name="Normal 3 3" xfId="119"/>
    <cellStyle name="Normal 4" xfId="120"/>
    <cellStyle name="Normal 4 2" xfId="121"/>
    <cellStyle name="Normal 5" xfId="122"/>
    <cellStyle name="Normal 5 2" xfId="123"/>
    <cellStyle name="Normal_Sheet1" xfId="124"/>
    <cellStyle name="Percent" xfId="129" builtinId="5"/>
    <cellStyle name="Percent 2" xfId="125"/>
    <cellStyle name="Percent 2 2" xfId="126"/>
    <cellStyle name="Percent 3" xfId="127"/>
    <cellStyle name="Percent 3 2" xfId="128"/>
  </cellStyles>
  <dxfs count="40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B0F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calcChain" Target="calcChain.xml"/><Relationship Id="rId8" Type="http://schemas.openxmlformats.org/officeDocument/2006/relationships/worksheet" Target="worksheets/sheet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Dieu%20kien%20xep%20loai%20A123%20nam%2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Thong%20bao%20ket%20qua%20thi%20dua%20thang\Thang%2001.2022\T01.2022%20tong%20hop%20thi%20dua%20thang%2001%20trinh%20hoi%20dong%20T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1 (2)"/>
      <sheetName val="Mau 1"/>
      <sheetName val="Mau 2"/>
      <sheetName val="Mau 3"/>
      <sheetName val="Mau 4 "/>
    </sheetNames>
    <sheetDataSet>
      <sheetData sheetId="0">
        <row r="12">
          <cell r="C12" t="str">
            <v>01001001</v>
          </cell>
          <cell r="D12" t="str">
            <v>A1</v>
          </cell>
          <cell r="E12" t="str">
            <v>- Có bài viết đăng kỷ yếu Hội thảo Quốc tế 2020
- Tham gia Đề án phát triển nhà trường</v>
          </cell>
          <cell r="F12" t="str">
            <v>Chủ nhiệm đề tài NCKH cấp trường. Mã số đề tài: T2020-TN03; T2020-TN04 (Theo Biên bản họp HĐ nghiệm thu đề tài ngày 14/9/2021)</v>
          </cell>
          <cell r="G12">
            <v>0</v>
          </cell>
          <cell r="H12" t="str">
            <v>X</v>
          </cell>
          <cell r="I12" t="str">
            <v>X</v>
          </cell>
          <cell r="J12">
            <v>0</v>
          </cell>
          <cell r="K12">
            <v>0</v>
          </cell>
        </row>
        <row r="13">
          <cell r="C13" t="str">
            <v>01002001</v>
          </cell>
          <cell r="D13" t="str">
            <v>A1</v>
          </cell>
          <cell r="E13" t="str">
            <v>- Có bài viết đăng kỷ yếu Hội thảo Quốc tế 2020
- Tham gia Đề án phát triển nhà trường</v>
          </cell>
          <cell r="F13">
            <v>0</v>
          </cell>
          <cell r="G13">
            <v>0</v>
          </cell>
          <cell r="H13" t="str">
            <v>X</v>
          </cell>
          <cell r="I13" t="str">
            <v>X</v>
          </cell>
          <cell r="J13">
            <v>0</v>
          </cell>
          <cell r="K13">
            <v>0</v>
          </cell>
        </row>
        <row r="14">
          <cell r="C14" t="str">
            <v>01001006</v>
          </cell>
          <cell r="D14" t="str">
            <v>A1</v>
          </cell>
          <cell r="E14" t="str">
            <v>- Có bài viết đăng kỷ yếu Hội thảo Quốc tế 2020
- Tham gia Đề án phát triển nhà trường</v>
          </cell>
          <cell r="F14">
            <v>0</v>
          </cell>
          <cell r="G14">
            <v>0</v>
          </cell>
          <cell r="H14" t="str">
            <v>X</v>
          </cell>
          <cell r="I14" t="str">
            <v>X</v>
          </cell>
          <cell r="J14">
            <v>0</v>
          </cell>
          <cell r="K14">
            <v>0</v>
          </cell>
        </row>
        <row r="15">
          <cell r="C15" t="str">
            <v>01014037</v>
          </cell>
          <cell r="D15" t="str">
            <v>A1</v>
          </cell>
          <cell r="E15" t="str">
            <v>- Có bài viết đăng kỷ yếu Hội thảo Quốc tế 2020
- Tham gia Đề án phát triển nhà trường</v>
          </cell>
          <cell r="F15" t="str">
            <v>Chủ nhiệm đề tài NCKH cấp trường. Mã số đề tài: T2020-TN06 (Theo Biên bản họp HĐ nghiệm thu đề tài ngày 3/9/2021)</v>
          </cell>
          <cell r="G15">
            <v>0</v>
          </cell>
          <cell r="H15" t="str">
            <v>X</v>
          </cell>
          <cell r="I15" t="str">
            <v>X</v>
          </cell>
          <cell r="J15">
            <v>0</v>
          </cell>
          <cell r="K15">
            <v>0</v>
          </cell>
        </row>
        <row r="16">
          <cell r="C16">
            <v>0</v>
          </cell>
          <cell r="D16" t="e">
            <v>#VALUE!</v>
          </cell>
          <cell r="E16">
            <v>0</v>
          </cell>
          <cell r="F16">
            <v>0</v>
          </cell>
          <cell r="G16">
            <v>0</v>
          </cell>
          <cell r="H16">
            <v>0</v>
          </cell>
          <cell r="I16">
            <v>0</v>
          </cell>
          <cell r="J16">
            <v>0</v>
          </cell>
          <cell r="K16">
            <v>0</v>
          </cell>
        </row>
        <row r="17">
          <cell r="C17">
            <v>0</v>
          </cell>
          <cell r="D17">
            <v>0</v>
          </cell>
          <cell r="E17">
            <v>0</v>
          </cell>
          <cell r="F17">
            <v>0</v>
          </cell>
          <cell r="G17">
            <v>0</v>
          </cell>
          <cell r="H17">
            <v>0</v>
          </cell>
          <cell r="I17">
            <v>0</v>
          </cell>
          <cell r="J17">
            <v>0</v>
          </cell>
          <cell r="K17">
            <v>0</v>
          </cell>
        </row>
        <row r="18">
          <cell r="C18" t="str">
            <v>01002024</v>
          </cell>
          <cell r="D18" t="str">
            <v>A1</v>
          </cell>
          <cell r="E18" t="str">
            <v>- Tham gia Đề án hợp tác đào tạo trình độ cao đẳng chất lượng cao giữa Trường CĐ Lý Tự Trọng Tp.HCM với công ty TNHH Sản xuất và Kinh doanh VINFAST (QĐ số 496A/QĐ-LTT-ĐT ngày 30/5/2020)</v>
          </cell>
          <cell r="F18">
            <v>0</v>
          </cell>
          <cell r="G18">
            <v>0</v>
          </cell>
          <cell r="H18" t="str">
            <v>X</v>
          </cell>
          <cell r="I18" t="str">
            <v>X</v>
          </cell>
          <cell r="J18">
            <v>0</v>
          </cell>
          <cell r="K18">
            <v>0</v>
          </cell>
        </row>
        <row r="19">
          <cell r="C19" t="str">
            <v>01003002</v>
          </cell>
          <cell r="D19" t="str">
            <v>A2</v>
          </cell>
          <cell r="E19" t="str">
            <v>Có sáng kiến được công nhận PVAH cấp ngành (QĐ số 1720/QĐ-GDĐT-VP ngày 21/8/2020)</v>
          </cell>
          <cell r="F19">
            <v>0</v>
          </cell>
          <cell r="G19">
            <v>0</v>
          </cell>
          <cell r="H19">
            <v>0</v>
          </cell>
          <cell r="I19" t="str">
            <v>X</v>
          </cell>
          <cell r="J19">
            <v>0</v>
          </cell>
          <cell r="K19">
            <v>0</v>
          </cell>
        </row>
        <row r="20">
          <cell r="C20" t="str">
            <v>01003009</v>
          </cell>
          <cell r="D20" t="str">
            <v>A2</v>
          </cell>
          <cell r="E20" t="str">
            <v>Có sáng kiến được công nhận PVAH cấp ngành (QĐ số 1720/QĐ-GDĐT-VP ngày 21/8/2020)</v>
          </cell>
          <cell r="F20">
            <v>0</v>
          </cell>
          <cell r="G20">
            <v>0</v>
          </cell>
          <cell r="H20">
            <v>0</v>
          </cell>
          <cell r="I20" t="str">
            <v>X</v>
          </cell>
          <cell r="J20">
            <v>0</v>
          </cell>
          <cell r="K20">
            <v>0</v>
          </cell>
        </row>
        <row r="21">
          <cell r="C21" t="str">
            <v>01003005</v>
          </cell>
          <cell r="D21" t="str">
            <v>A2</v>
          </cell>
          <cell r="E21" t="str">
            <v>Có sáng kiến được công nhận PVAH cấp ngành (QĐ số 1720/QĐ-GDĐT-VP ngày 21/8/2020)</v>
          </cell>
          <cell r="F21">
            <v>0</v>
          </cell>
          <cell r="G21">
            <v>0</v>
          </cell>
          <cell r="H21">
            <v>0</v>
          </cell>
          <cell r="I21" t="str">
            <v>X</v>
          </cell>
          <cell r="J21">
            <v>0</v>
          </cell>
          <cell r="K21">
            <v>0</v>
          </cell>
        </row>
        <row r="22">
          <cell r="C22" t="str">
            <v>01023004</v>
          </cell>
          <cell r="D22" t="str">
            <v>A2</v>
          </cell>
          <cell r="E22" t="str">
            <v>Có sáng kiến được công nhận PVAH cấp ngành (QĐ số 1720/QĐ-GDĐT-VP ngày 21/8/2020)</v>
          </cell>
          <cell r="F22">
            <v>0</v>
          </cell>
          <cell r="G22">
            <v>0</v>
          </cell>
          <cell r="H22">
            <v>0</v>
          </cell>
          <cell r="I22" t="str">
            <v>X</v>
          </cell>
          <cell r="J22">
            <v>0</v>
          </cell>
          <cell r="K22">
            <v>0</v>
          </cell>
        </row>
        <row r="23">
          <cell r="C23" t="str">
            <v>01003007</v>
          </cell>
          <cell r="D23" t="str">
            <v>A2</v>
          </cell>
          <cell r="E23" t="str">
            <v>Có sáng kiến được công nhận PVAH cấp ngành (QĐ số 1720/QĐ-GDĐT-VP ngày 21/8/2020)</v>
          </cell>
          <cell r="F23">
            <v>0</v>
          </cell>
          <cell r="G23">
            <v>0</v>
          </cell>
          <cell r="H23">
            <v>0</v>
          </cell>
          <cell r="I23" t="str">
            <v>X</v>
          </cell>
          <cell r="J23">
            <v>0</v>
          </cell>
          <cell r="K23">
            <v>0</v>
          </cell>
        </row>
        <row r="24">
          <cell r="C24">
            <v>0</v>
          </cell>
          <cell r="D24">
            <v>0</v>
          </cell>
          <cell r="E24">
            <v>0</v>
          </cell>
          <cell r="F24">
            <v>0</v>
          </cell>
          <cell r="G24">
            <v>0</v>
          </cell>
          <cell r="H24">
            <v>0</v>
          </cell>
          <cell r="I24">
            <v>0</v>
          </cell>
          <cell r="J24">
            <v>0</v>
          </cell>
          <cell r="K24">
            <v>0</v>
          </cell>
        </row>
        <row r="25">
          <cell r="C25" t="str">
            <v>01003008</v>
          </cell>
          <cell r="D25" t="str">
            <v>A2</v>
          </cell>
          <cell r="E25" t="str">
            <v>Có sáng kiến được công nhận PVAH cấp ngành (QĐ số 1720/QĐ-GDĐT-VP ngày 21/8/2020)</v>
          </cell>
          <cell r="F25">
            <v>0</v>
          </cell>
          <cell r="G25">
            <v>0</v>
          </cell>
          <cell r="H25">
            <v>0</v>
          </cell>
          <cell r="I25" t="str">
            <v>X</v>
          </cell>
          <cell r="J25">
            <v>0</v>
          </cell>
          <cell r="K25">
            <v>0</v>
          </cell>
        </row>
        <row r="26">
          <cell r="C26" t="str">
            <v>01003014</v>
          </cell>
          <cell r="D26" t="str">
            <v>A4</v>
          </cell>
          <cell r="E26">
            <v>0</v>
          </cell>
          <cell r="F26">
            <v>0</v>
          </cell>
          <cell r="G26">
            <v>0</v>
          </cell>
          <cell r="H26">
            <v>0</v>
          </cell>
          <cell r="I26">
            <v>0</v>
          </cell>
          <cell r="J26">
            <v>0</v>
          </cell>
          <cell r="K26" t="str">
            <v>X</v>
          </cell>
        </row>
        <row r="27">
          <cell r="C27" t="str">
            <v>01003015</v>
          </cell>
          <cell r="D27" t="str">
            <v>A4</v>
          </cell>
          <cell r="E27">
            <v>0</v>
          </cell>
          <cell r="F27">
            <v>0</v>
          </cell>
          <cell r="G27">
            <v>0</v>
          </cell>
          <cell r="H27">
            <v>0</v>
          </cell>
          <cell r="I27">
            <v>0</v>
          </cell>
          <cell r="J27">
            <v>0</v>
          </cell>
          <cell r="K27">
            <v>0</v>
          </cell>
        </row>
        <row r="28">
          <cell r="C28">
            <v>0</v>
          </cell>
          <cell r="D28">
            <v>0</v>
          </cell>
          <cell r="E28">
            <v>0</v>
          </cell>
          <cell r="F28">
            <v>0</v>
          </cell>
          <cell r="G28">
            <v>0</v>
          </cell>
          <cell r="H28">
            <v>0</v>
          </cell>
          <cell r="I28">
            <v>0</v>
          </cell>
          <cell r="J28">
            <v>0</v>
          </cell>
          <cell r="K28">
            <v>0</v>
          </cell>
        </row>
        <row r="29">
          <cell r="C29">
            <v>0</v>
          </cell>
          <cell r="D29">
            <v>0</v>
          </cell>
          <cell r="E29">
            <v>0</v>
          </cell>
          <cell r="F29">
            <v>0</v>
          </cell>
          <cell r="G29">
            <v>0</v>
          </cell>
          <cell r="H29">
            <v>0</v>
          </cell>
          <cell r="I29">
            <v>0</v>
          </cell>
          <cell r="J29">
            <v>0</v>
          </cell>
          <cell r="K29">
            <v>0</v>
          </cell>
        </row>
        <row r="30">
          <cell r="C30" t="str">
            <v>01004002</v>
          </cell>
          <cell r="D30" t="str">
            <v>A1</v>
          </cell>
          <cell r="E30" t="str">
            <v>- Tham gia Đề án hợp tác đào tạo trình độ cao đẳng chất lượng cao giữa Trường CĐ Lý Tự Trọng Tp.HCM với công ty TNHH Sản xuất và Kinh doanh VINFAST (QĐ số 496A/QĐ-LTT-ĐT ngày 30/5/2020)</v>
          </cell>
          <cell r="F30">
            <v>0</v>
          </cell>
          <cell r="G30">
            <v>0</v>
          </cell>
          <cell r="H30" t="str">
            <v>X</v>
          </cell>
          <cell r="I30" t="str">
            <v>X</v>
          </cell>
          <cell r="J30">
            <v>0</v>
          </cell>
          <cell r="K30">
            <v>0</v>
          </cell>
        </row>
        <row r="31">
          <cell r="C31" t="str">
            <v>01004001</v>
          </cell>
          <cell r="D31" t="str">
            <v>A2</v>
          </cell>
          <cell r="E31" t="str">
            <v>Có sáng kiến được công nhận PVAH cấp ngành (QĐ số 1720/QĐ-GDĐT-VP ngày 21/8/2020)</v>
          </cell>
          <cell r="F31">
            <v>0</v>
          </cell>
          <cell r="G31">
            <v>0</v>
          </cell>
          <cell r="H31">
            <v>0</v>
          </cell>
          <cell r="I31">
            <v>0</v>
          </cell>
          <cell r="J31">
            <v>0</v>
          </cell>
          <cell r="K31">
            <v>0</v>
          </cell>
        </row>
        <row r="32">
          <cell r="C32" t="str">
            <v>01004005</v>
          </cell>
          <cell r="D32" t="str">
            <v>A2</v>
          </cell>
          <cell r="E32" t="str">
            <v>- Có sáng kiến được công nhận PVAH cấp ngành (QĐ số 1720/QĐ-GDĐT-VP ngày 21/8/2020)</v>
          </cell>
          <cell r="F32">
            <v>0</v>
          </cell>
          <cell r="G32">
            <v>0</v>
          </cell>
          <cell r="H32" t="str">
            <v>X</v>
          </cell>
          <cell r="I32" t="str">
            <v>X</v>
          </cell>
          <cell r="J32">
            <v>0</v>
          </cell>
          <cell r="K32">
            <v>0</v>
          </cell>
        </row>
        <row r="33">
          <cell r="C33" t="str">
            <v>01004004</v>
          </cell>
          <cell r="D33" t="str">
            <v>A1</v>
          </cell>
          <cell r="E33" t="str">
            <v>- Tham gia Đề án hợp tác đào tạo trình độ cao đẳng chất lượng cao giữa Trường CĐ Lý Tự Trọng Tp.HCM với công ty TNHH Sản xuất và Kinh doanh VINFAST (QĐ số 496A/QĐ-LTT-ĐT ngày 30/5/2020)</v>
          </cell>
          <cell r="F33">
            <v>0</v>
          </cell>
          <cell r="G33">
            <v>0</v>
          </cell>
          <cell r="H33">
            <v>0</v>
          </cell>
          <cell r="I33" t="str">
            <v>X</v>
          </cell>
          <cell r="J33">
            <v>0</v>
          </cell>
          <cell r="K33">
            <v>0</v>
          </cell>
        </row>
        <row r="34">
          <cell r="C34" t="str">
            <v>01022013</v>
          </cell>
          <cell r="D34" t="str">
            <v>A2</v>
          </cell>
          <cell r="E34" t="str">
            <v>- Có bài viết đăng kỷ yếu Hội thảo Quốc tế 2020
- Có sáng kiến được công nhận PVAH cấp ngành (QĐ số 1720/QĐ-GDĐT-VP ngày 21/8/2020)</v>
          </cell>
          <cell r="F34">
            <v>0</v>
          </cell>
          <cell r="G34">
            <v>0</v>
          </cell>
          <cell r="H34">
            <v>0</v>
          </cell>
          <cell r="I34" t="str">
            <v>X</v>
          </cell>
          <cell r="J34">
            <v>0</v>
          </cell>
          <cell r="K34">
            <v>0</v>
          </cell>
        </row>
        <row r="35">
          <cell r="C35" t="str">
            <v>01004003</v>
          </cell>
          <cell r="D35" t="str">
            <v>A2</v>
          </cell>
          <cell r="E35" t="str">
            <v>Có sáng kiến được công nhận PVAH cấp ngành (QĐ số 1720/QĐ-GDĐT-VP ngày 21/8/2020)</v>
          </cell>
          <cell r="F35">
            <v>0</v>
          </cell>
          <cell r="G35">
            <v>0</v>
          </cell>
          <cell r="H35">
            <v>0</v>
          </cell>
          <cell r="I35" t="str">
            <v>X</v>
          </cell>
          <cell r="J35">
            <v>0</v>
          </cell>
          <cell r="K35">
            <v>0</v>
          </cell>
        </row>
        <row r="36">
          <cell r="C36" t="str">
            <v>01004008</v>
          </cell>
          <cell r="D36" t="str">
            <v>A2</v>
          </cell>
          <cell r="E36" t="str">
            <v>Có sáng kiến được công nhận PVAH cấp ngành (QĐ số 1720/QĐ-GDĐT-VP ngày 21/8/2020)</v>
          </cell>
          <cell r="F36">
            <v>0</v>
          </cell>
          <cell r="G36">
            <v>0</v>
          </cell>
          <cell r="H36">
            <v>0</v>
          </cell>
          <cell r="I36" t="str">
            <v>X</v>
          </cell>
          <cell r="J36">
            <v>0</v>
          </cell>
          <cell r="K36">
            <v>0</v>
          </cell>
        </row>
        <row r="37">
          <cell r="C37" t="str">
            <v>01005009</v>
          </cell>
          <cell r="D37" t="str">
            <v>A4</v>
          </cell>
          <cell r="E37">
            <v>0</v>
          </cell>
          <cell r="F37">
            <v>0</v>
          </cell>
          <cell r="G37">
            <v>0</v>
          </cell>
          <cell r="H37">
            <v>0</v>
          </cell>
          <cell r="I37">
            <v>0</v>
          </cell>
          <cell r="J37">
            <v>0</v>
          </cell>
          <cell r="K37">
            <v>0</v>
          </cell>
        </row>
        <row r="38">
          <cell r="C38" t="str">
            <v>01004009</v>
          </cell>
          <cell r="D38" t="str">
            <v>A3</v>
          </cell>
          <cell r="E38" t="str">
            <v>Có sáng kiến được công nhận cấp trường</v>
          </cell>
          <cell r="F38">
            <v>0</v>
          </cell>
          <cell r="G38">
            <v>0</v>
          </cell>
          <cell r="H38">
            <v>0</v>
          </cell>
          <cell r="I38" t="str">
            <v>X</v>
          </cell>
          <cell r="J38">
            <v>0</v>
          </cell>
          <cell r="K38">
            <v>0</v>
          </cell>
        </row>
        <row r="39">
          <cell r="C39" t="str">
            <v>01002020</v>
          </cell>
          <cell r="D39" t="str">
            <v>A2</v>
          </cell>
          <cell r="E39" t="str">
            <v>- Có bài viết đăng kỷ yếu Hội thảo Quốc tế 2020
- Có sáng kiến được công nhận PVAH cấp ngành (QĐ số 1720/QĐ-GDĐT-VP ngày 21/8/2020)</v>
          </cell>
          <cell r="F39">
            <v>0</v>
          </cell>
          <cell r="G39">
            <v>0</v>
          </cell>
          <cell r="H39" t="str">
            <v>X</v>
          </cell>
          <cell r="I39" t="str">
            <v>X</v>
          </cell>
          <cell r="J39">
            <v>0</v>
          </cell>
          <cell r="K39">
            <v>0</v>
          </cell>
        </row>
        <row r="40">
          <cell r="C40" t="str">
            <v>01010038</v>
          </cell>
          <cell r="D40" t="str">
            <v>A4</v>
          </cell>
          <cell r="E40">
            <v>0</v>
          </cell>
          <cell r="F40">
            <v>0</v>
          </cell>
          <cell r="G40">
            <v>0</v>
          </cell>
          <cell r="H40" t="str">
            <v>X</v>
          </cell>
          <cell r="I40">
            <v>0</v>
          </cell>
          <cell r="J40">
            <v>0</v>
          </cell>
          <cell r="K40">
            <v>0</v>
          </cell>
        </row>
        <row r="41">
          <cell r="C41" t="str">
            <v>01012026</v>
          </cell>
          <cell r="D41" t="str">
            <v>A2</v>
          </cell>
          <cell r="E41" t="str">
            <v>Có sáng kiến được công nhận PVAH cấp ngành (QĐ số 1720/QĐ-GDĐT-VP ngày 21/8/2020)</v>
          </cell>
          <cell r="F41">
            <v>0</v>
          </cell>
          <cell r="G41">
            <v>0</v>
          </cell>
          <cell r="H41" t="str">
            <v>X</v>
          </cell>
          <cell r="I41">
            <v>0</v>
          </cell>
          <cell r="J41">
            <v>0</v>
          </cell>
          <cell r="K41">
            <v>0</v>
          </cell>
        </row>
        <row r="42">
          <cell r="C42">
            <v>0</v>
          </cell>
          <cell r="D42">
            <v>0</v>
          </cell>
          <cell r="E42">
            <v>0</v>
          </cell>
          <cell r="F42">
            <v>0</v>
          </cell>
          <cell r="G42">
            <v>0</v>
          </cell>
          <cell r="H42">
            <v>0</v>
          </cell>
          <cell r="I42">
            <v>0</v>
          </cell>
          <cell r="J42">
            <v>0</v>
          </cell>
          <cell r="K42">
            <v>0</v>
          </cell>
        </row>
        <row r="43">
          <cell r="C43" t="str">
            <v>01011017</v>
          </cell>
          <cell r="D43" t="str">
            <v>A1</v>
          </cell>
          <cell r="E43" t="str">
            <v>- Tham gia Đề án hợp tác đào tạo trình độ cao đẳng chất lượng cao giữa Trường CĐ Lý Tự Trọng Tp.HCM với công ty TNHH Sản xuất và Kinh doanh VINFAST (QĐ số 496A/QĐ-LTT-ĐT ngày 30/5/2020)</v>
          </cell>
          <cell r="F43">
            <v>0</v>
          </cell>
          <cell r="G43">
            <v>0</v>
          </cell>
          <cell r="H43">
            <v>0</v>
          </cell>
          <cell r="I43" t="str">
            <v>X</v>
          </cell>
          <cell r="J43">
            <v>0</v>
          </cell>
          <cell r="K43">
            <v>0</v>
          </cell>
        </row>
        <row r="44">
          <cell r="C44" t="str">
            <v>01022059</v>
          </cell>
          <cell r="D44" t="str">
            <v>A1</v>
          </cell>
          <cell r="E44" t="str">
            <v>- Tham gia Đề án hợp tác đào tạo trình độ cao đẳng chất lượng cao giữa Trường CĐ Lý Tự Trọng Tp.HCM với công ty TNHH Sản xuất và Kinh doanh VINFAST (QĐ số 496A/QĐ-LTT-ĐT ngày 30/5/2020)</v>
          </cell>
          <cell r="F44">
            <v>0</v>
          </cell>
          <cell r="G44">
            <v>0</v>
          </cell>
          <cell r="H44" t="str">
            <v>X</v>
          </cell>
          <cell r="I44" t="str">
            <v>X</v>
          </cell>
          <cell r="J44">
            <v>0</v>
          </cell>
          <cell r="K44">
            <v>0</v>
          </cell>
        </row>
        <row r="45">
          <cell r="C45" t="str">
            <v>01018006</v>
          </cell>
          <cell r="D45" t="str">
            <v>A2</v>
          </cell>
          <cell r="E45" t="str">
            <v>- Có sáng kiến được công nhận PVAH cấp ngành (QĐ số 1720/QĐ-GDĐT-VP ngày 21/8/2020)</v>
          </cell>
          <cell r="F45">
            <v>0</v>
          </cell>
          <cell r="G45">
            <v>0</v>
          </cell>
          <cell r="H45">
            <v>0</v>
          </cell>
          <cell r="I45" t="str">
            <v>X</v>
          </cell>
          <cell r="J45">
            <v>0</v>
          </cell>
          <cell r="K45">
            <v>0</v>
          </cell>
        </row>
        <row r="46">
          <cell r="C46" t="str">
            <v>01004013</v>
          </cell>
          <cell r="D46" t="str">
            <v>A3</v>
          </cell>
          <cell r="E46" t="str">
            <v>Có sáng kiến được công nhận cấp trường</v>
          </cell>
          <cell r="F46">
            <v>0</v>
          </cell>
          <cell r="G46">
            <v>0</v>
          </cell>
          <cell r="H46" t="str">
            <v>X</v>
          </cell>
          <cell r="I46">
            <v>0</v>
          </cell>
          <cell r="J46">
            <v>0</v>
          </cell>
          <cell r="K46">
            <v>0</v>
          </cell>
        </row>
        <row r="47">
          <cell r="C47">
            <v>0</v>
          </cell>
          <cell r="D47">
            <v>0</v>
          </cell>
          <cell r="E47">
            <v>0</v>
          </cell>
          <cell r="F47">
            <v>0</v>
          </cell>
          <cell r="G47">
            <v>0</v>
          </cell>
          <cell r="H47">
            <v>0</v>
          </cell>
          <cell r="I47">
            <v>0</v>
          </cell>
          <cell r="J47">
            <v>0</v>
          </cell>
          <cell r="K47">
            <v>0</v>
          </cell>
        </row>
        <row r="48">
          <cell r="C48">
            <v>0</v>
          </cell>
          <cell r="D48">
            <v>0</v>
          </cell>
          <cell r="E48">
            <v>0</v>
          </cell>
          <cell r="F48">
            <v>0</v>
          </cell>
          <cell r="G48">
            <v>0</v>
          </cell>
          <cell r="H48">
            <v>0</v>
          </cell>
          <cell r="I48">
            <v>0</v>
          </cell>
          <cell r="J48">
            <v>0</v>
          </cell>
          <cell r="K48">
            <v>0</v>
          </cell>
        </row>
        <row r="49">
          <cell r="C49" t="str">
            <v>01007009</v>
          </cell>
          <cell r="D49" t="str">
            <v>A1</v>
          </cell>
          <cell r="E49" t="str">
            <v>Tham gia Đề án hợp tác đào tạo trình độ cao đẳng chất lượng cao giữa Trường CĐ Lý Tự Trọng Tp.HCM với công ty TNHH Sản xuất và Kinh doanh VINFAST (QĐ số 496A/QĐ-LTT-ĐT ngày 30/5/2020)</v>
          </cell>
          <cell r="F49">
            <v>0</v>
          </cell>
          <cell r="G49">
            <v>0</v>
          </cell>
          <cell r="H49" t="str">
            <v>X</v>
          </cell>
          <cell r="I49" t="str">
            <v>X</v>
          </cell>
          <cell r="J49">
            <v>0</v>
          </cell>
          <cell r="K49">
            <v>0</v>
          </cell>
        </row>
        <row r="50">
          <cell r="C50" t="str">
            <v>01002019</v>
          </cell>
          <cell r="D50" t="str">
            <v>A2</v>
          </cell>
          <cell r="E50" t="str">
            <v xml:space="preserve">Có tham gia đề án nâng cấp trường
</v>
          </cell>
          <cell r="F50">
            <v>0</v>
          </cell>
          <cell r="G50">
            <v>0</v>
          </cell>
          <cell r="H50" t="str">
            <v>X</v>
          </cell>
          <cell r="I50" t="str">
            <v>X</v>
          </cell>
          <cell r="J50">
            <v>0</v>
          </cell>
          <cell r="K50">
            <v>0</v>
          </cell>
        </row>
        <row r="51">
          <cell r="C51" t="str">
            <v>01004007</v>
          </cell>
          <cell r="D51" t="str">
            <v>A2</v>
          </cell>
          <cell r="E51" t="str">
            <v>- Có bài viết đăng kỷ yếu hội thảo cấp trường (Hội thảo Quốc tế COSS 2020).
- Có bài viết sáng kiến đạt PVAH cấp ngành (QĐ số 1720/QĐ-GDĐT ngày 21/8/2020)</v>
          </cell>
          <cell r="F51">
            <v>0</v>
          </cell>
          <cell r="G51">
            <v>0</v>
          </cell>
          <cell r="H51" t="str">
            <v>X</v>
          </cell>
          <cell r="I51" t="str">
            <v>X</v>
          </cell>
          <cell r="J51">
            <v>0</v>
          </cell>
          <cell r="K51">
            <v>0</v>
          </cell>
        </row>
        <row r="52">
          <cell r="C52" t="str">
            <v>01002017</v>
          </cell>
          <cell r="D52" t="str">
            <v>A2</v>
          </cell>
          <cell r="E52" t="str">
            <v>Có sáng kiến được công nhận PVAH cấp ngành (QĐ số 1720/QĐ-GDĐT-VP ngày 21/8/2020)</v>
          </cell>
          <cell r="F52">
            <v>0</v>
          </cell>
          <cell r="G52">
            <v>0</v>
          </cell>
          <cell r="H52" t="str">
            <v>X</v>
          </cell>
          <cell r="I52" t="str">
            <v>X</v>
          </cell>
          <cell r="J52">
            <v>0</v>
          </cell>
          <cell r="K52">
            <v>0</v>
          </cell>
        </row>
        <row r="53">
          <cell r="C53" t="str">
            <v>01002018</v>
          </cell>
          <cell r="D53" t="str">
            <v>A3</v>
          </cell>
          <cell r="E53" t="str">
            <v>Có bài viết Hội thảo cấp khoa trong tháng 03/2021</v>
          </cell>
          <cell r="F53">
            <v>0</v>
          </cell>
          <cell r="G53">
            <v>0</v>
          </cell>
          <cell r="H53" t="str">
            <v>X</v>
          </cell>
          <cell r="I53" t="str">
            <v>X</v>
          </cell>
          <cell r="J53">
            <v>0</v>
          </cell>
          <cell r="K53">
            <v>0</v>
          </cell>
        </row>
        <row r="54">
          <cell r="C54" t="str">
            <v>01002005</v>
          </cell>
          <cell r="D54" t="str">
            <v>A3</v>
          </cell>
          <cell r="E54" t="str">
            <v>Có sáng kiến được công nhận cấp trường</v>
          </cell>
          <cell r="F54">
            <v>0</v>
          </cell>
          <cell r="G54">
            <v>0</v>
          </cell>
          <cell r="H54">
            <v>0</v>
          </cell>
          <cell r="I54">
            <v>0</v>
          </cell>
          <cell r="J54">
            <v>0</v>
          </cell>
          <cell r="K54">
            <v>0</v>
          </cell>
        </row>
        <row r="55">
          <cell r="C55" t="str">
            <v>01023001</v>
          </cell>
          <cell r="D55" t="str">
            <v>A3</v>
          </cell>
          <cell r="E55" t="str">
            <v>Có bài viết Hội thảo cấp khoa trong tháng 03/2021</v>
          </cell>
          <cell r="F55">
            <v>0</v>
          </cell>
          <cell r="G55">
            <v>0</v>
          </cell>
          <cell r="H55">
            <v>0</v>
          </cell>
          <cell r="I55">
            <v>0</v>
          </cell>
          <cell r="J55">
            <v>0</v>
          </cell>
          <cell r="K55">
            <v>0</v>
          </cell>
        </row>
        <row r="56">
          <cell r="C56" t="str">
            <v>01017006</v>
          </cell>
          <cell r="D56" t="str">
            <v>A3</v>
          </cell>
          <cell r="E56" t="str">
            <v>Có bài viết Hội thảo cấp khoa trong tháng 03/2021</v>
          </cell>
          <cell r="F56">
            <v>0</v>
          </cell>
          <cell r="G56">
            <v>0</v>
          </cell>
          <cell r="H56" t="str">
            <v>X</v>
          </cell>
          <cell r="I56" t="str">
            <v>X</v>
          </cell>
          <cell r="J56">
            <v>0</v>
          </cell>
          <cell r="K56">
            <v>0</v>
          </cell>
        </row>
        <row r="57">
          <cell r="C57" t="str">
            <v>01002032</v>
          </cell>
          <cell r="D57" t="str">
            <v>A3</v>
          </cell>
          <cell r="E57" t="str">
            <v>Có bài viết Hội thảo cấp khoa trong tháng 03/2021</v>
          </cell>
          <cell r="F57">
            <v>0</v>
          </cell>
          <cell r="G57">
            <v>0</v>
          </cell>
          <cell r="H57">
            <v>0</v>
          </cell>
          <cell r="I57">
            <v>0</v>
          </cell>
          <cell r="J57">
            <v>0</v>
          </cell>
          <cell r="K57">
            <v>0</v>
          </cell>
        </row>
        <row r="58">
          <cell r="C58" t="str">
            <v>01007007</v>
          </cell>
          <cell r="D58" t="str">
            <v>A3</v>
          </cell>
          <cell r="E58" t="str">
            <v>Có sáng kiến được công nhận cấp trường</v>
          </cell>
          <cell r="F58">
            <v>0</v>
          </cell>
          <cell r="G58">
            <v>0</v>
          </cell>
          <cell r="H58" t="str">
            <v>X</v>
          </cell>
          <cell r="I58">
            <v>0</v>
          </cell>
          <cell r="J58">
            <v>0</v>
          </cell>
          <cell r="K58">
            <v>0</v>
          </cell>
        </row>
        <row r="59">
          <cell r="C59" t="str">
            <v>01007005</v>
          </cell>
          <cell r="D59" t="str">
            <v>A2</v>
          </cell>
          <cell r="E59" t="str">
            <v>Có sáng kiến được công nhận PVAH cấp ngành (QĐ số 1720/QĐ-GDĐT-VP ngày 21/8/2020)</v>
          </cell>
          <cell r="F59">
            <v>0</v>
          </cell>
          <cell r="G59">
            <v>0</v>
          </cell>
          <cell r="H59">
            <v>0</v>
          </cell>
          <cell r="I59" t="str">
            <v>X</v>
          </cell>
          <cell r="J59">
            <v>0</v>
          </cell>
          <cell r="K59">
            <v>0</v>
          </cell>
        </row>
        <row r="60">
          <cell r="C60" t="str">
            <v>01007006</v>
          </cell>
          <cell r="D60" t="str">
            <v>A3</v>
          </cell>
          <cell r="E60" t="str">
            <v>Có bài viết Hội thảo cấp khoa trong tháng 03/2021</v>
          </cell>
          <cell r="F60">
            <v>0</v>
          </cell>
          <cell r="G60">
            <v>0</v>
          </cell>
          <cell r="H60">
            <v>0</v>
          </cell>
          <cell r="I60" t="str">
            <v>X</v>
          </cell>
          <cell r="J60">
            <v>0</v>
          </cell>
          <cell r="K60">
            <v>0</v>
          </cell>
        </row>
        <row r="61">
          <cell r="C61" t="str">
            <v>01002007</v>
          </cell>
          <cell r="D61" t="str">
            <v>A3</v>
          </cell>
          <cell r="E61" t="str">
            <v>Có bài viết Hội thảo cấp khoa trong tháng 03/2021</v>
          </cell>
          <cell r="F61">
            <v>0</v>
          </cell>
          <cell r="G61">
            <v>0</v>
          </cell>
          <cell r="H61">
            <v>0</v>
          </cell>
          <cell r="I61">
            <v>0</v>
          </cell>
          <cell r="J61">
            <v>0</v>
          </cell>
          <cell r="K61">
            <v>0</v>
          </cell>
        </row>
        <row r="62">
          <cell r="C62">
            <v>0</v>
          </cell>
          <cell r="D62">
            <v>0</v>
          </cell>
          <cell r="E62">
            <v>0</v>
          </cell>
          <cell r="F62">
            <v>0</v>
          </cell>
          <cell r="G62">
            <v>0</v>
          </cell>
          <cell r="H62">
            <v>0</v>
          </cell>
          <cell r="I62">
            <v>0</v>
          </cell>
          <cell r="J62">
            <v>0</v>
          </cell>
          <cell r="K62">
            <v>0</v>
          </cell>
        </row>
        <row r="63">
          <cell r="C63" t="str">
            <v>01002023</v>
          </cell>
          <cell r="D63" t="str">
            <v>A3</v>
          </cell>
          <cell r="E63" t="str">
            <v>Có bài viết Hội thảo cấp khoa trong tháng 03/2021</v>
          </cell>
          <cell r="F63">
            <v>0</v>
          </cell>
          <cell r="G63">
            <v>0</v>
          </cell>
          <cell r="H63">
            <v>0</v>
          </cell>
          <cell r="I63">
            <v>0</v>
          </cell>
          <cell r="J63">
            <v>0</v>
          </cell>
          <cell r="K63">
            <v>0</v>
          </cell>
        </row>
        <row r="64">
          <cell r="C64" t="str">
            <v>01002010</v>
          </cell>
          <cell r="D64" t="str">
            <v>A3</v>
          </cell>
          <cell r="E64" t="str">
            <v>Có bài viết Hội thảo cấp khoa trong tháng 03/2021</v>
          </cell>
          <cell r="F64">
            <v>0</v>
          </cell>
          <cell r="G64">
            <v>0</v>
          </cell>
          <cell r="H64">
            <v>0</v>
          </cell>
          <cell r="I64">
            <v>0</v>
          </cell>
          <cell r="J64">
            <v>0</v>
          </cell>
          <cell r="K64">
            <v>0</v>
          </cell>
        </row>
        <row r="65">
          <cell r="C65" t="str">
            <v>01002012</v>
          </cell>
          <cell r="D65" t="str">
            <v>A3</v>
          </cell>
          <cell r="E65" t="str">
            <v>Có bài viết Hội thảo cấp khoa trong tháng 03/2021</v>
          </cell>
          <cell r="F65">
            <v>0</v>
          </cell>
          <cell r="G65">
            <v>0</v>
          </cell>
          <cell r="H65">
            <v>0</v>
          </cell>
          <cell r="I65">
            <v>0</v>
          </cell>
          <cell r="J65">
            <v>0</v>
          </cell>
          <cell r="K65">
            <v>0</v>
          </cell>
        </row>
        <row r="66">
          <cell r="C66" t="str">
            <v>01002028</v>
          </cell>
          <cell r="D66" t="str">
            <v>A3</v>
          </cell>
          <cell r="E66" t="str">
            <v>Có bài viết Hội thảo cấp khoa trong tháng 03/2021</v>
          </cell>
          <cell r="F66">
            <v>0</v>
          </cell>
          <cell r="G66">
            <v>0</v>
          </cell>
          <cell r="H66">
            <v>0</v>
          </cell>
          <cell r="I66">
            <v>0</v>
          </cell>
          <cell r="J66">
            <v>0</v>
          </cell>
          <cell r="K66">
            <v>0</v>
          </cell>
        </row>
        <row r="67">
          <cell r="C67" t="str">
            <v>01002027</v>
          </cell>
          <cell r="D67" t="str">
            <v>A3</v>
          </cell>
          <cell r="E67" t="str">
            <v>Có bài viết Hội thảo cấp khoa trong tháng 03/2021</v>
          </cell>
          <cell r="F67">
            <v>0</v>
          </cell>
          <cell r="G67">
            <v>0</v>
          </cell>
          <cell r="H67">
            <v>0</v>
          </cell>
          <cell r="I67" t="str">
            <v>X</v>
          </cell>
          <cell r="J67">
            <v>0</v>
          </cell>
          <cell r="K67">
            <v>0</v>
          </cell>
        </row>
        <row r="68">
          <cell r="C68" t="str">
            <v>01002013</v>
          </cell>
          <cell r="D68" t="str">
            <v>A3</v>
          </cell>
          <cell r="E68" t="str">
            <v>Có bài viết Hội thảo cấp khoa trong tháng 03/2021</v>
          </cell>
          <cell r="F68">
            <v>0</v>
          </cell>
          <cell r="G68">
            <v>0</v>
          </cell>
          <cell r="H68">
            <v>0</v>
          </cell>
          <cell r="I68">
            <v>0</v>
          </cell>
          <cell r="J68">
            <v>0</v>
          </cell>
          <cell r="K68">
            <v>0</v>
          </cell>
        </row>
        <row r="69">
          <cell r="C69" t="str">
            <v>01002031</v>
          </cell>
          <cell r="D69" t="str">
            <v>A3</v>
          </cell>
          <cell r="E69" t="str">
            <v>Có bài viết Hội thảo cấp khoa trong tháng 03/2021</v>
          </cell>
          <cell r="F69">
            <v>0</v>
          </cell>
          <cell r="G69">
            <v>0</v>
          </cell>
          <cell r="H69">
            <v>0</v>
          </cell>
          <cell r="I69">
            <v>0</v>
          </cell>
          <cell r="J69">
            <v>0</v>
          </cell>
          <cell r="K69">
            <v>0</v>
          </cell>
        </row>
        <row r="70">
          <cell r="C70" t="str">
            <v>01002034</v>
          </cell>
          <cell r="D70" t="str">
            <v>A3</v>
          </cell>
          <cell r="E70" t="str">
            <v>Có bài viết Hội thảo cấp khoa trong tháng 03/2021</v>
          </cell>
          <cell r="F70">
            <v>0</v>
          </cell>
          <cell r="G70">
            <v>0</v>
          </cell>
          <cell r="H70">
            <v>0</v>
          </cell>
          <cell r="I70">
            <v>0</v>
          </cell>
          <cell r="J70">
            <v>0</v>
          </cell>
          <cell r="K70">
            <v>0</v>
          </cell>
        </row>
        <row r="71">
          <cell r="C71" t="str">
            <v>01002033</v>
          </cell>
          <cell r="D71" t="str">
            <v>A3</v>
          </cell>
          <cell r="E71" t="str">
            <v>Có bài viết Hội thảo cấp khoa trong tháng 03/2021</v>
          </cell>
          <cell r="F71">
            <v>0</v>
          </cell>
          <cell r="G71">
            <v>0</v>
          </cell>
          <cell r="H71">
            <v>0</v>
          </cell>
          <cell r="I71">
            <v>0</v>
          </cell>
          <cell r="J71">
            <v>0</v>
          </cell>
          <cell r="K71">
            <v>0</v>
          </cell>
        </row>
        <row r="72">
          <cell r="C72" t="str">
            <v>01002035</v>
          </cell>
          <cell r="D72" t="str">
            <v>A3</v>
          </cell>
          <cell r="E72" t="str">
            <v>Có bài viết Hội thảo cấp khoa trong tháng 03/2021</v>
          </cell>
          <cell r="F72">
            <v>0</v>
          </cell>
          <cell r="G72">
            <v>0</v>
          </cell>
          <cell r="H72">
            <v>0</v>
          </cell>
          <cell r="I72">
            <v>0</v>
          </cell>
          <cell r="J72">
            <v>0</v>
          </cell>
          <cell r="K72">
            <v>0</v>
          </cell>
        </row>
        <row r="73">
          <cell r="C73" t="str">
            <v>01002036</v>
          </cell>
          <cell r="D73" t="str">
            <v>A3</v>
          </cell>
          <cell r="E73" t="str">
            <v>Có bài viết Hội thảo cấp khoa trong tháng 03/2021</v>
          </cell>
          <cell r="F73">
            <v>0</v>
          </cell>
          <cell r="G73">
            <v>0</v>
          </cell>
          <cell r="H73">
            <v>0</v>
          </cell>
          <cell r="I73">
            <v>0</v>
          </cell>
          <cell r="J73">
            <v>0</v>
          </cell>
          <cell r="K73">
            <v>0</v>
          </cell>
        </row>
        <row r="74">
          <cell r="C74" t="str">
            <v>01010068</v>
          </cell>
          <cell r="D74" t="str">
            <v>A3</v>
          </cell>
          <cell r="E74" t="str">
            <v>Có bài viết Hội thảo cấp khoa trong tháng 03/2021</v>
          </cell>
          <cell r="F74">
            <v>0</v>
          </cell>
          <cell r="G74">
            <v>0</v>
          </cell>
          <cell r="H74">
            <v>0</v>
          </cell>
          <cell r="I74">
            <v>0</v>
          </cell>
          <cell r="J74">
            <v>0</v>
          </cell>
          <cell r="K74">
            <v>0</v>
          </cell>
        </row>
        <row r="75">
          <cell r="C75" t="str">
            <v>01002038</v>
          </cell>
          <cell r="D75" t="str">
            <v>A4</v>
          </cell>
          <cell r="E75">
            <v>0</v>
          </cell>
          <cell r="F75">
            <v>0</v>
          </cell>
          <cell r="G75">
            <v>0</v>
          </cell>
          <cell r="H75">
            <v>0</v>
          </cell>
          <cell r="I75">
            <v>0</v>
          </cell>
          <cell r="J75">
            <v>0</v>
          </cell>
          <cell r="K75">
            <v>0</v>
          </cell>
        </row>
        <row r="76">
          <cell r="C76">
            <v>0</v>
          </cell>
          <cell r="D76">
            <v>0</v>
          </cell>
          <cell r="E76">
            <v>0</v>
          </cell>
          <cell r="F76">
            <v>0</v>
          </cell>
          <cell r="G76">
            <v>0</v>
          </cell>
          <cell r="H76">
            <v>0</v>
          </cell>
          <cell r="I76">
            <v>0</v>
          </cell>
          <cell r="J76">
            <v>0</v>
          </cell>
          <cell r="K76">
            <v>0</v>
          </cell>
        </row>
        <row r="77">
          <cell r="C77">
            <v>0</v>
          </cell>
          <cell r="D77">
            <v>0</v>
          </cell>
          <cell r="E77">
            <v>0</v>
          </cell>
          <cell r="F77">
            <v>0</v>
          </cell>
          <cell r="G77">
            <v>0</v>
          </cell>
          <cell r="H77">
            <v>0</v>
          </cell>
          <cell r="I77">
            <v>0</v>
          </cell>
          <cell r="J77">
            <v>0</v>
          </cell>
          <cell r="K77">
            <v>0</v>
          </cell>
        </row>
        <row r="78">
          <cell r="C78" t="str">
            <v>01002002</v>
          </cell>
          <cell r="D78" t="str">
            <v>A2</v>
          </cell>
          <cell r="E78" t="str">
            <v>- Có bài viết đăng kỷ yếu hội thảo cấp trường (Hội thảo Quốc tế COSS 2020).
- Có sáng kiến được công nhận PVAH cấp ngành (QĐ số 1720/QĐ-GDĐT-VP ngày 21/8/2020)</v>
          </cell>
          <cell r="F78">
            <v>0</v>
          </cell>
          <cell r="G78">
            <v>0</v>
          </cell>
          <cell r="H78" t="str">
            <v>X</v>
          </cell>
          <cell r="I78" t="str">
            <v>X</v>
          </cell>
          <cell r="J78">
            <v>0</v>
          </cell>
          <cell r="K78">
            <v>0</v>
          </cell>
        </row>
        <row r="79">
          <cell r="C79" t="str">
            <v>01007001</v>
          </cell>
          <cell r="D79" t="str">
            <v>A2</v>
          </cell>
          <cell r="E79" t="str">
            <v>- Có bài viết đăng kỷ yếu hội thảo cấp trường (Hội thảo Quốc tế COSS 2020).</v>
          </cell>
          <cell r="F79">
            <v>0</v>
          </cell>
          <cell r="G79">
            <v>0</v>
          </cell>
          <cell r="H79">
            <v>0</v>
          </cell>
          <cell r="I79">
            <v>0</v>
          </cell>
          <cell r="J79">
            <v>0</v>
          </cell>
          <cell r="K79">
            <v>0</v>
          </cell>
        </row>
        <row r="80">
          <cell r="C80" t="str">
            <v>01009006</v>
          </cell>
          <cell r="D80" t="str">
            <v>A3</v>
          </cell>
          <cell r="E80" t="str">
            <v>Có bài viết Hội thảo cấp khoa trong tháng 03/2021</v>
          </cell>
          <cell r="F80">
            <v>0</v>
          </cell>
          <cell r="G80">
            <v>0</v>
          </cell>
          <cell r="H80" t="str">
            <v>X</v>
          </cell>
          <cell r="I80" t="str">
            <v>X</v>
          </cell>
          <cell r="J80">
            <v>0</v>
          </cell>
          <cell r="K80">
            <v>0</v>
          </cell>
        </row>
        <row r="81">
          <cell r="C81" t="str">
            <v>01009018</v>
          </cell>
          <cell r="D81" t="str">
            <v>A4</v>
          </cell>
          <cell r="E81">
            <v>0</v>
          </cell>
          <cell r="F81">
            <v>0</v>
          </cell>
          <cell r="G81">
            <v>0</v>
          </cell>
          <cell r="H81">
            <v>0</v>
          </cell>
          <cell r="I81" t="str">
            <v>X</v>
          </cell>
          <cell r="J81">
            <v>0</v>
          </cell>
          <cell r="K81">
            <v>0</v>
          </cell>
        </row>
        <row r="82">
          <cell r="C82" t="str">
            <v>01009010</v>
          </cell>
          <cell r="D82" t="str">
            <v>A4</v>
          </cell>
          <cell r="E82">
            <v>0</v>
          </cell>
          <cell r="F82">
            <v>0</v>
          </cell>
          <cell r="G82">
            <v>0</v>
          </cell>
          <cell r="H82">
            <v>0</v>
          </cell>
          <cell r="I82" t="str">
            <v>X</v>
          </cell>
          <cell r="J82">
            <v>0</v>
          </cell>
          <cell r="K82">
            <v>0</v>
          </cell>
        </row>
        <row r="83">
          <cell r="C83" t="str">
            <v>01002004</v>
          </cell>
          <cell r="D83" t="str">
            <v>A2</v>
          </cell>
          <cell r="E83" t="str">
            <v>- Có bài viết đăng kỷ yếu hội thảo cấp trường (Hội thảo Quốc tế COSS 2020).
- Có sáng kiến được công nhận cấp trường</v>
          </cell>
          <cell r="F83">
            <v>0</v>
          </cell>
          <cell r="G83">
            <v>0</v>
          </cell>
          <cell r="H83" t="str">
            <v>X</v>
          </cell>
          <cell r="I83" t="str">
            <v>X</v>
          </cell>
          <cell r="J83">
            <v>0</v>
          </cell>
          <cell r="K83">
            <v>0</v>
          </cell>
        </row>
        <row r="84">
          <cell r="C84" t="str">
            <v>01009008</v>
          </cell>
          <cell r="D84" t="str">
            <v>A3</v>
          </cell>
          <cell r="E84" t="str">
            <v>Có bài viết Hội thảo cấp khoa trong tháng 03/2021</v>
          </cell>
          <cell r="F84">
            <v>0</v>
          </cell>
          <cell r="G84">
            <v>0</v>
          </cell>
          <cell r="H84">
            <v>0</v>
          </cell>
          <cell r="I84">
            <v>0</v>
          </cell>
          <cell r="J84">
            <v>0</v>
          </cell>
          <cell r="K84">
            <v>0</v>
          </cell>
        </row>
        <row r="85">
          <cell r="C85" t="str">
            <v>01022058</v>
          </cell>
          <cell r="D85" t="str">
            <v>A3</v>
          </cell>
          <cell r="E85" t="str">
            <v>Có sáng kiến được công nhận cấp trường</v>
          </cell>
          <cell r="F85">
            <v>0</v>
          </cell>
          <cell r="G85">
            <v>0</v>
          </cell>
          <cell r="H85">
            <v>0</v>
          </cell>
          <cell r="I85">
            <v>0</v>
          </cell>
          <cell r="J85">
            <v>0</v>
          </cell>
          <cell r="K85">
            <v>0</v>
          </cell>
        </row>
        <row r="86">
          <cell r="C86" t="str">
            <v>01007004</v>
          </cell>
          <cell r="D86" t="str">
            <v>A3</v>
          </cell>
          <cell r="E86" t="str">
            <v>Có bài viết Hội thảo cấp khoa trong tháng 03/2021</v>
          </cell>
          <cell r="F86">
            <v>0</v>
          </cell>
          <cell r="G86">
            <v>0</v>
          </cell>
          <cell r="H86">
            <v>0</v>
          </cell>
          <cell r="I86">
            <v>0</v>
          </cell>
          <cell r="J86">
            <v>0</v>
          </cell>
          <cell r="K86">
            <v>0</v>
          </cell>
        </row>
        <row r="87">
          <cell r="C87" t="str">
            <v>01009012</v>
          </cell>
          <cell r="D87" t="str">
            <v>A2</v>
          </cell>
          <cell r="E87" t="str">
            <v>Có sáng kiến được công nhận PVAH cấp ngành (QĐ số 1720/QĐ-GDĐT-VP ngày 21/8/2020)</v>
          </cell>
          <cell r="F87">
            <v>0</v>
          </cell>
          <cell r="G87">
            <v>0</v>
          </cell>
          <cell r="H87" t="str">
            <v>X</v>
          </cell>
          <cell r="I87">
            <v>0</v>
          </cell>
          <cell r="J87">
            <v>0</v>
          </cell>
          <cell r="K87">
            <v>0</v>
          </cell>
        </row>
        <row r="88">
          <cell r="C88">
            <v>0</v>
          </cell>
          <cell r="D88">
            <v>0</v>
          </cell>
          <cell r="E88">
            <v>0</v>
          </cell>
          <cell r="F88">
            <v>0</v>
          </cell>
          <cell r="G88">
            <v>0</v>
          </cell>
          <cell r="H88">
            <v>0</v>
          </cell>
          <cell r="I88">
            <v>0</v>
          </cell>
          <cell r="J88">
            <v>0</v>
          </cell>
          <cell r="K88">
            <v>0</v>
          </cell>
        </row>
        <row r="89">
          <cell r="C89" t="str">
            <v>01002008</v>
          </cell>
          <cell r="D89" t="str">
            <v>A2</v>
          </cell>
          <cell r="E89" t="str">
            <v>Có sáng kiến được công nhận PVAH cấp ngành (QĐ số 1720/QĐ-GDĐT-VP ngày 21/8/2020)</v>
          </cell>
          <cell r="F89">
            <v>0</v>
          </cell>
          <cell r="G89">
            <v>0</v>
          </cell>
          <cell r="H89">
            <v>0</v>
          </cell>
          <cell r="I89" t="str">
            <v>X</v>
          </cell>
          <cell r="J89">
            <v>0</v>
          </cell>
          <cell r="K89">
            <v>0</v>
          </cell>
        </row>
        <row r="90">
          <cell r="C90" t="str">
            <v>01009019</v>
          </cell>
          <cell r="D90" t="str">
            <v>A3</v>
          </cell>
          <cell r="E90" t="str">
            <v>Có sáng kiến được công nhận cấp trường</v>
          </cell>
          <cell r="F90">
            <v>0</v>
          </cell>
          <cell r="G90">
            <v>0</v>
          </cell>
          <cell r="H90">
            <v>0</v>
          </cell>
          <cell r="I90">
            <v>0</v>
          </cell>
          <cell r="J90">
            <v>0</v>
          </cell>
          <cell r="K90">
            <v>0</v>
          </cell>
        </row>
        <row r="91">
          <cell r="C91" t="str">
            <v>01009011</v>
          </cell>
          <cell r="D91" t="str">
            <v>A3</v>
          </cell>
          <cell r="E91" t="str">
            <v>Có sáng kiến được công nhận cấp trường</v>
          </cell>
          <cell r="F91">
            <v>0</v>
          </cell>
          <cell r="G91">
            <v>0</v>
          </cell>
          <cell r="H91">
            <v>0</v>
          </cell>
          <cell r="I91">
            <v>0</v>
          </cell>
          <cell r="J91">
            <v>0</v>
          </cell>
          <cell r="K91">
            <v>0</v>
          </cell>
        </row>
        <row r="92">
          <cell r="C92" t="str">
            <v>01009028</v>
          </cell>
          <cell r="D92" t="str">
            <v>A4</v>
          </cell>
          <cell r="E92">
            <v>0</v>
          </cell>
          <cell r="F92">
            <v>0</v>
          </cell>
          <cell r="G92">
            <v>0</v>
          </cell>
          <cell r="H92">
            <v>0</v>
          </cell>
          <cell r="I92">
            <v>0</v>
          </cell>
          <cell r="J92">
            <v>0</v>
          </cell>
          <cell r="K92">
            <v>0</v>
          </cell>
        </row>
        <row r="93">
          <cell r="C93" t="str">
            <v>01009026</v>
          </cell>
          <cell r="D93" t="str">
            <v>A4</v>
          </cell>
          <cell r="E93">
            <v>0</v>
          </cell>
          <cell r="F93">
            <v>0</v>
          </cell>
          <cell r="G93">
            <v>0</v>
          </cell>
          <cell r="H93">
            <v>0</v>
          </cell>
          <cell r="I93">
            <v>0</v>
          </cell>
          <cell r="J93">
            <v>0</v>
          </cell>
          <cell r="K93">
            <v>0</v>
          </cell>
        </row>
        <row r="94">
          <cell r="C94">
            <v>0</v>
          </cell>
          <cell r="D94">
            <v>0</v>
          </cell>
          <cell r="E94">
            <v>0</v>
          </cell>
          <cell r="F94">
            <v>0</v>
          </cell>
          <cell r="G94">
            <v>0</v>
          </cell>
          <cell r="H94">
            <v>0</v>
          </cell>
          <cell r="I94">
            <v>0</v>
          </cell>
          <cell r="J94">
            <v>0</v>
          </cell>
          <cell r="K94">
            <v>0</v>
          </cell>
        </row>
        <row r="95">
          <cell r="C95">
            <v>0</v>
          </cell>
          <cell r="D95">
            <v>0</v>
          </cell>
          <cell r="E95">
            <v>0</v>
          </cell>
          <cell r="F95">
            <v>0</v>
          </cell>
          <cell r="G95">
            <v>0</v>
          </cell>
          <cell r="H95">
            <v>0</v>
          </cell>
          <cell r="I95">
            <v>0</v>
          </cell>
          <cell r="J95">
            <v>0</v>
          </cell>
          <cell r="K95">
            <v>0</v>
          </cell>
        </row>
        <row r="96">
          <cell r="C96" t="str">
            <v>01009009</v>
          </cell>
          <cell r="D96" t="str">
            <v>A2</v>
          </cell>
          <cell r="E96" t="str">
            <v>Có bài viết  được đăng kỷ yếu hội thảo cấp trường (Hội thảo Quốc tế COSS 2020).</v>
          </cell>
          <cell r="F96">
            <v>0</v>
          </cell>
          <cell r="G96">
            <v>0</v>
          </cell>
          <cell r="H96" t="str">
            <v>X</v>
          </cell>
          <cell r="I96">
            <v>0</v>
          </cell>
          <cell r="J96">
            <v>0</v>
          </cell>
          <cell r="K96">
            <v>0</v>
          </cell>
        </row>
        <row r="97">
          <cell r="C97" t="str">
            <v>01023002</v>
          </cell>
          <cell r="D97" t="str">
            <v>A3</v>
          </cell>
          <cell r="E97" t="str">
            <v>Có SK được công nhận cấp trường</v>
          </cell>
          <cell r="F97">
            <v>0</v>
          </cell>
          <cell r="G97">
            <v>0</v>
          </cell>
          <cell r="H97">
            <v>0</v>
          </cell>
          <cell r="I97" t="str">
            <v>X</v>
          </cell>
          <cell r="J97">
            <v>0</v>
          </cell>
          <cell r="K97">
            <v>0</v>
          </cell>
        </row>
        <row r="98">
          <cell r="C98" t="str">
            <v>01006003</v>
          </cell>
          <cell r="D98" t="str">
            <v>A2</v>
          </cell>
          <cell r="E98" t="str">
            <v>Có bài viết  được đăng kỷ yếu hội thảo cấp trường (Hội thảo Quốc tế COSS 2020).</v>
          </cell>
          <cell r="F98">
            <v>0</v>
          </cell>
          <cell r="G98">
            <v>0</v>
          </cell>
          <cell r="H98">
            <v>0</v>
          </cell>
          <cell r="I98">
            <v>0</v>
          </cell>
          <cell r="J98">
            <v>0</v>
          </cell>
          <cell r="K98">
            <v>0</v>
          </cell>
        </row>
        <row r="99">
          <cell r="C99" t="str">
            <v>01013032</v>
          </cell>
          <cell r="D99" t="str">
            <v>A3</v>
          </cell>
          <cell r="E99" t="str">
            <v>Có bài viết Hội thảo cấp khoa trong tháng 03/2021</v>
          </cell>
          <cell r="F99">
            <v>0</v>
          </cell>
          <cell r="G99">
            <v>0</v>
          </cell>
          <cell r="H99" t="str">
            <v>X</v>
          </cell>
          <cell r="I99">
            <v>0</v>
          </cell>
          <cell r="J99">
            <v>0</v>
          </cell>
          <cell r="K99">
            <v>0</v>
          </cell>
        </row>
        <row r="100">
          <cell r="C100" t="str">
            <v>01022061</v>
          </cell>
          <cell r="D100" t="str">
            <v>A2</v>
          </cell>
          <cell r="E100" t="str">
            <v>Có bài viết  được đăng kỷ yếu hội thảo cấp trường (Hội thảo Quốc tế COSS 2020).</v>
          </cell>
          <cell r="F100">
            <v>0</v>
          </cell>
          <cell r="G100">
            <v>0</v>
          </cell>
          <cell r="H100" t="str">
            <v>X</v>
          </cell>
          <cell r="I100" t="str">
            <v>X</v>
          </cell>
          <cell r="J100">
            <v>0</v>
          </cell>
          <cell r="K100">
            <v>0</v>
          </cell>
        </row>
        <row r="101">
          <cell r="C101" t="str">
            <v>01015027</v>
          </cell>
          <cell r="D101" t="str">
            <v>A2</v>
          </cell>
          <cell r="E101" t="str">
            <v>Có sáng kiến được công nhận PVAH cấp ngành (QĐ số 1720/QĐ-GDĐT-VP ngày 21/8/2020)</v>
          </cell>
          <cell r="F101">
            <v>0</v>
          </cell>
          <cell r="G101">
            <v>0</v>
          </cell>
          <cell r="H101">
            <v>0</v>
          </cell>
          <cell r="I101" t="str">
            <v>X</v>
          </cell>
          <cell r="J101">
            <v>0</v>
          </cell>
          <cell r="K101">
            <v>0</v>
          </cell>
        </row>
        <row r="102">
          <cell r="C102">
            <v>0</v>
          </cell>
          <cell r="D102">
            <v>0</v>
          </cell>
          <cell r="E102">
            <v>0</v>
          </cell>
          <cell r="F102">
            <v>0</v>
          </cell>
          <cell r="G102">
            <v>0</v>
          </cell>
          <cell r="H102">
            <v>0</v>
          </cell>
          <cell r="I102">
            <v>0</v>
          </cell>
          <cell r="J102">
            <v>0</v>
          </cell>
          <cell r="K102">
            <v>0</v>
          </cell>
        </row>
        <row r="103">
          <cell r="C103" t="str">
            <v>01006006</v>
          </cell>
          <cell r="D103" t="str">
            <v>A2</v>
          </cell>
          <cell r="E103" t="str">
            <v>Có sáng kiến được công nhận PVAH cấp ngành (QĐ số 1720/QĐ-GDĐT-VP ngày 21/8/2020)</v>
          </cell>
          <cell r="F103">
            <v>0</v>
          </cell>
          <cell r="G103">
            <v>0</v>
          </cell>
          <cell r="H103" t="str">
            <v>X</v>
          </cell>
          <cell r="I103">
            <v>0</v>
          </cell>
          <cell r="J103">
            <v>0</v>
          </cell>
          <cell r="K103">
            <v>0</v>
          </cell>
        </row>
        <row r="104">
          <cell r="C104">
            <v>0</v>
          </cell>
          <cell r="D104">
            <v>0</v>
          </cell>
          <cell r="E104">
            <v>0</v>
          </cell>
          <cell r="F104">
            <v>0</v>
          </cell>
          <cell r="G104">
            <v>0</v>
          </cell>
          <cell r="H104">
            <v>0</v>
          </cell>
          <cell r="I104">
            <v>0</v>
          </cell>
          <cell r="J104">
            <v>0</v>
          </cell>
          <cell r="K104">
            <v>0</v>
          </cell>
        </row>
        <row r="105">
          <cell r="C105">
            <v>0</v>
          </cell>
          <cell r="D105">
            <v>1</v>
          </cell>
          <cell r="E105">
            <v>0</v>
          </cell>
          <cell r="F105">
            <v>0</v>
          </cell>
          <cell r="G105">
            <v>0</v>
          </cell>
          <cell r="H105">
            <v>0</v>
          </cell>
          <cell r="I105">
            <v>0</v>
          </cell>
          <cell r="J105">
            <v>0</v>
          </cell>
          <cell r="K105">
            <v>0</v>
          </cell>
        </row>
        <row r="106">
          <cell r="C106" t="str">
            <v>01005007</v>
          </cell>
          <cell r="D106" t="str">
            <v>A1</v>
          </cell>
          <cell r="E106" t="str">
            <v>- 2 Bài báo thuộc danh mục ISSI, 
- Có bài viết đăng kỷ yếu hội thảo cấp trường (Hội thảo Quốc tế COSS 2020)</v>
          </cell>
          <cell r="F106">
            <v>0</v>
          </cell>
          <cell r="G106">
            <v>0</v>
          </cell>
          <cell r="H106" t="str">
            <v>X</v>
          </cell>
          <cell r="I106" t="str">
            <v>X</v>
          </cell>
          <cell r="J106">
            <v>0</v>
          </cell>
          <cell r="K106">
            <v>0</v>
          </cell>
        </row>
        <row r="107">
          <cell r="C107">
            <v>0</v>
          </cell>
          <cell r="D107">
            <v>0</v>
          </cell>
          <cell r="E107">
            <v>0</v>
          </cell>
          <cell r="F107">
            <v>0</v>
          </cell>
          <cell r="G107">
            <v>0</v>
          </cell>
          <cell r="H107">
            <v>0</v>
          </cell>
          <cell r="I107">
            <v>0</v>
          </cell>
          <cell r="J107">
            <v>0</v>
          </cell>
          <cell r="K107">
            <v>0</v>
          </cell>
        </row>
        <row r="108">
          <cell r="C108" t="str">
            <v>01005003</v>
          </cell>
          <cell r="D108" t="str">
            <v>A4</v>
          </cell>
          <cell r="E108">
            <v>0</v>
          </cell>
          <cell r="F108">
            <v>0</v>
          </cell>
          <cell r="G108">
            <v>0</v>
          </cell>
          <cell r="H108" t="str">
            <v>X</v>
          </cell>
          <cell r="I108">
            <v>0</v>
          </cell>
          <cell r="J108">
            <v>0</v>
          </cell>
          <cell r="K108">
            <v>0</v>
          </cell>
        </row>
        <row r="109">
          <cell r="C109">
            <v>0</v>
          </cell>
          <cell r="D109">
            <v>0</v>
          </cell>
          <cell r="E109">
            <v>0</v>
          </cell>
          <cell r="F109">
            <v>0</v>
          </cell>
          <cell r="G109">
            <v>0</v>
          </cell>
          <cell r="H109">
            <v>0</v>
          </cell>
          <cell r="I109">
            <v>0</v>
          </cell>
          <cell r="J109">
            <v>0</v>
          </cell>
          <cell r="K109">
            <v>0</v>
          </cell>
        </row>
        <row r="110">
          <cell r="C110">
            <v>0</v>
          </cell>
          <cell r="D110">
            <v>0</v>
          </cell>
          <cell r="E110">
            <v>0</v>
          </cell>
          <cell r="F110">
            <v>0</v>
          </cell>
          <cell r="G110">
            <v>0</v>
          </cell>
          <cell r="H110">
            <v>0</v>
          </cell>
          <cell r="I110">
            <v>0</v>
          </cell>
          <cell r="J110">
            <v>0</v>
          </cell>
          <cell r="K110">
            <v>0</v>
          </cell>
        </row>
        <row r="111">
          <cell r="C111" t="str">
            <v>01008028</v>
          </cell>
          <cell r="D111" t="str">
            <v>A1</v>
          </cell>
          <cell r="E111" t="str">
            <v>Tham gia xây dựng Chuẩn đầu ra ngành Kỹ thuật Nhiệt (theo CV đề nghị của trường)</v>
          </cell>
          <cell r="F111">
            <v>0</v>
          </cell>
          <cell r="G111">
            <v>0</v>
          </cell>
          <cell r="H111" t="str">
            <v>X</v>
          </cell>
          <cell r="I111" t="str">
            <v>X</v>
          </cell>
          <cell r="J111">
            <v>0</v>
          </cell>
          <cell r="K111">
            <v>0</v>
          </cell>
        </row>
        <row r="112">
          <cell r="C112" t="str">
            <v>01008002</v>
          </cell>
          <cell r="D112" t="str">
            <v>A2</v>
          </cell>
          <cell r="E112" t="str">
            <v>Có sáng kiến được công nhận PVAH cấp ngành (QĐ số 1720/QĐ-GDĐT-VP ngày 21/8/2020)</v>
          </cell>
          <cell r="F112">
            <v>0</v>
          </cell>
          <cell r="G112">
            <v>0</v>
          </cell>
          <cell r="H112" t="str">
            <v>X</v>
          </cell>
          <cell r="I112" t="str">
            <v>X</v>
          </cell>
          <cell r="J112">
            <v>0</v>
          </cell>
          <cell r="K112">
            <v>0</v>
          </cell>
        </row>
        <row r="113">
          <cell r="C113" t="str">
            <v>01008004</v>
          </cell>
          <cell r="D113" t="str">
            <v>A3</v>
          </cell>
          <cell r="E113" t="str">
            <v>Có sáng kiến được công nhận cấp trường</v>
          </cell>
          <cell r="F113">
            <v>0</v>
          </cell>
          <cell r="G113">
            <v>0</v>
          </cell>
          <cell r="H113" t="str">
            <v>X</v>
          </cell>
          <cell r="I113">
            <v>0</v>
          </cell>
          <cell r="J113">
            <v>0</v>
          </cell>
          <cell r="K113">
            <v>0</v>
          </cell>
        </row>
        <row r="114">
          <cell r="C114" t="str">
            <v>01009007</v>
          </cell>
          <cell r="D114" t="str">
            <v>A2</v>
          </cell>
          <cell r="E114" t="str">
            <v>Có sáng kiến được công nhận PVAH cấp ngành (QĐ số 1720/QĐ-GDĐT-VP ngày 21/8/2020)</v>
          </cell>
          <cell r="F114">
            <v>0</v>
          </cell>
          <cell r="G114">
            <v>0</v>
          </cell>
          <cell r="H114" t="str">
            <v>X</v>
          </cell>
          <cell r="I114" t="str">
            <v>X</v>
          </cell>
          <cell r="J114">
            <v>0</v>
          </cell>
          <cell r="K114">
            <v>0</v>
          </cell>
        </row>
        <row r="115">
          <cell r="C115" t="str">
            <v>01008008</v>
          </cell>
          <cell r="D115" t="str">
            <v>A3</v>
          </cell>
          <cell r="E115" t="str">
            <v>Có sáng kiến được công nhận cấp trường</v>
          </cell>
          <cell r="F115">
            <v>0</v>
          </cell>
          <cell r="G115">
            <v>0</v>
          </cell>
          <cell r="H115">
            <v>0</v>
          </cell>
          <cell r="I115">
            <v>0</v>
          </cell>
          <cell r="J115">
            <v>0</v>
          </cell>
          <cell r="K115">
            <v>0</v>
          </cell>
        </row>
        <row r="116">
          <cell r="C116" t="str">
            <v>01008006</v>
          </cell>
          <cell r="D116" t="str">
            <v>A4</v>
          </cell>
          <cell r="E116">
            <v>0</v>
          </cell>
          <cell r="F116">
            <v>0</v>
          </cell>
          <cell r="G116">
            <v>0</v>
          </cell>
          <cell r="H116">
            <v>0</v>
          </cell>
          <cell r="I116">
            <v>0</v>
          </cell>
          <cell r="J116">
            <v>0</v>
          </cell>
          <cell r="K116">
            <v>0</v>
          </cell>
        </row>
        <row r="117">
          <cell r="C117" t="str">
            <v>01002021</v>
          </cell>
          <cell r="D117" t="str">
            <v>A2</v>
          </cell>
          <cell r="E117" t="str">
            <v>Có sáng kiến được công nhận PVAH cấp ngành (QĐ số 1720/QĐ-GDĐT-VP ngày 21/8/2020)</v>
          </cell>
          <cell r="F117">
            <v>0</v>
          </cell>
          <cell r="G117">
            <v>0</v>
          </cell>
          <cell r="H117">
            <v>0</v>
          </cell>
          <cell r="I117" t="str">
            <v>X</v>
          </cell>
          <cell r="J117">
            <v>0</v>
          </cell>
          <cell r="K117">
            <v>0</v>
          </cell>
        </row>
        <row r="118">
          <cell r="C118" t="str">
            <v>01017009</v>
          </cell>
          <cell r="D118" t="str">
            <v>A3</v>
          </cell>
          <cell r="E118" t="str">
            <v>Có sáng kiến được công nhận cấp trường</v>
          </cell>
          <cell r="F118">
            <v>0</v>
          </cell>
          <cell r="G118">
            <v>0</v>
          </cell>
          <cell r="H118">
            <v>0</v>
          </cell>
          <cell r="I118">
            <v>0</v>
          </cell>
          <cell r="J118">
            <v>0</v>
          </cell>
          <cell r="K118">
            <v>0</v>
          </cell>
        </row>
        <row r="119">
          <cell r="C119" t="str">
            <v>01015026</v>
          </cell>
          <cell r="D119" t="str">
            <v>A4</v>
          </cell>
          <cell r="E119">
            <v>0</v>
          </cell>
          <cell r="F119">
            <v>0</v>
          </cell>
          <cell r="G119">
            <v>0</v>
          </cell>
          <cell r="H119">
            <v>0</v>
          </cell>
          <cell r="I119">
            <v>0</v>
          </cell>
          <cell r="J119">
            <v>0</v>
          </cell>
          <cell r="K119">
            <v>0</v>
          </cell>
        </row>
        <row r="120">
          <cell r="C120" t="str">
            <v>01015028</v>
          </cell>
          <cell r="D120" t="str">
            <v>A4</v>
          </cell>
          <cell r="E120">
            <v>0</v>
          </cell>
          <cell r="F120">
            <v>0</v>
          </cell>
          <cell r="G120">
            <v>0</v>
          </cell>
          <cell r="H120">
            <v>0</v>
          </cell>
          <cell r="I120">
            <v>0</v>
          </cell>
          <cell r="J120">
            <v>0</v>
          </cell>
          <cell r="K120">
            <v>0</v>
          </cell>
        </row>
        <row r="121">
          <cell r="C121" t="str">
            <v>01008005</v>
          </cell>
          <cell r="D121" t="str">
            <v>A3</v>
          </cell>
          <cell r="E121" t="str">
            <v>Có sáng kiến được công nhận cấp trường</v>
          </cell>
          <cell r="F121">
            <v>0</v>
          </cell>
          <cell r="G121">
            <v>0</v>
          </cell>
          <cell r="H121">
            <v>0</v>
          </cell>
          <cell r="I121">
            <v>0</v>
          </cell>
          <cell r="J121">
            <v>0</v>
          </cell>
          <cell r="K121">
            <v>0</v>
          </cell>
        </row>
        <row r="122">
          <cell r="C122" t="str">
            <v>01009005</v>
          </cell>
          <cell r="D122" t="str">
            <v>A4</v>
          </cell>
          <cell r="E122">
            <v>0</v>
          </cell>
          <cell r="F122">
            <v>0</v>
          </cell>
          <cell r="G122">
            <v>0</v>
          </cell>
          <cell r="H122">
            <v>0</v>
          </cell>
          <cell r="I122">
            <v>0</v>
          </cell>
          <cell r="J122">
            <v>0</v>
          </cell>
          <cell r="K122">
            <v>0</v>
          </cell>
        </row>
        <row r="123">
          <cell r="C123" t="str">
            <v>01002003</v>
          </cell>
          <cell r="D123" t="str">
            <v>A4</v>
          </cell>
          <cell r="E123">
            <v>0</v>
          </cell>
          <cell r="F123">
            <v>0</v>
          </cell>
          <cell r="G123">
            <v>0</v>
          </cell>
          <cell r="H123">
            <v>0</v>
          </cell>
          <cell r="I123">
            <v>0</v>
          </cell>
          <cell r="J123">
            <v>0</v>
          </cell>
          <cell r="K123">
            <v>0</v>
          </cell>
        </row>
        <row r="124">
          <cell r="C124" t="str">
            <v>01009014</v>
          </cell>
          <cell r="D124" t="str">
            <v>A4</v>
          </cell>
          <cell r="E124">
            <v>0</v>
          </cell>
          <cell r="F124">
            <v>0</v>
          </cell>
          <cell r="G124">
            <v>0</v>
          </cell>
          <cell r="H124">
            <v>0</v>
          </cell>
          <cell r="I124">
            <v>0</v>
          </cell>
          <cell r="J124">
            <v>0</v>
          </cell>
          <cell r="K124">
            <v>0</v>
          </cell>
        </row>
        <row r="125">
          <cell r="C125" t="str">
            <v>01008034</v>
          </cell>
          <cell r="D125" t="str">
            <v>A3</v>
          </cell>
          <cell r="E125" t="str">
            <v>Có sáng kiến được công nhận cấp trường</v>
          </cell>
          <cell r="F125">
            <v>0</v>
          </cell>
          <cell r="G125">
            <v>0</v>
          </cell>
          <cell r="H125">
            <v>0</v>
          </cell>
          <cell r="I125">
            <v>0</v>
          </cell>
          <cell r="J125">
            <v>0</v>
          </cell>
          <cell r="K125">
            <v>0</v>
          </cell>
        </row>
        <row r="126">
          <cell r="C126">
            <v>0</v>
          </cell>
          <cell r="D126">
            <v>0</v>
          </cell>
          <cell r="E126">
            <v>0</v>
          </cell>
          <cell r="F126">
            <v>0</v>
          </cell>
          <cell r="G126">
            <v>0</v>
          </cell>
          <cell r="H126">
            <v>0</v>
          </cell>
          <cell r="I126">
            <v>0</v>
          </cell>
          <cell r="J126">
            <v>0</v>
          </cell>
          <cell r="K126">
            <v>0</v>
          </cell>
        </row>
        <row r="127">
          <cell r="C127" t="str">
            <v>01008021</v>
          </cell>
          <cell r="D127" t="str">
            <v>A4</v>
          </cell>
          <cell r="E127">
            <v>0</v>
          </cell>
          <cell r="F127">
            <v>0</v>
          </cell>
          <cell r="G127">
            <v>0</v>
          </cell>
          <cell r="H127" t="str">
            <v>X</v>
          </cell>
          <cell r="I127">
            <v>0</v>
          </cell>
          <cell r="J127">
            <v>0</v>
          </cell>
          <cell r="K127">
            <v>0</v>
          </cell>
        </row>
        <row r="128">
          <cell r="C128" t="str">
            <v>01008009</v>
          </cell>
          <cell r="D128" t="str">
            <v>A4</v>
          </cell>
          <cell r="E128">
            <v>0</v>
          </cell>
          <cell r="F128">
            <v>0</v>
          </cell>
          <cell r="G128">
            <v>0</v>
          </cell>
          <cell r="H128">
            <v>0</v>
          </cell>
          <cell r="I128" t="str">
            <v>X</v>
          </cell>
          <cell r="J128">
            <v>0</v>
          </cell>
          <cell r="K128">
            <v>0</v>
          </cell>
        </row>
        <row r="129">
          <cell r="C129" t="str">
            <v>01007003</v>
          </cell>
          <cell r="D129" t="str">
            <v>A4</v>
          </cell>
          <cell r="E129">
            <v>0</v>
          </cell>
          <cell r="F129">
            <v>0</v>
          </cell>
          <cell r="G129">
            <v>0</v>
          </cell>
          <cell r="H129">
            <v>0</v>
          </cell>
          <cell r="I129">
            <v>0</v>
          </cell>
          <cell r="J129">
            <v>0</v>
          </cell>
          <cell r="K129">
            <v>0</v>
          </cell>
        </row>
        <row r="130">
          <cell r="C130" t="str">
            <v>01008031</v>
          </cell>
          <cell r="D130" t="str">
            <v>A4</v>
          </cell>
          <cell r="E130">
            <v>0</v>
          </cell>
          <cell r="F130">
            <v>0</v>
          </cell>
          <cell r="G130">
            <v>0</v>
          </cell>
          <cell r="H130">
            <v>0</v>
          </cell>
          <cell r="I130">
            <v>0</v>
          </cell>
          <cell r="J130">
            <v>0</v>
          </cell>
          <cell r="K130">
            <v>0</v>
          </cell>
        </row>
        <row r="131">
          <cell r="C131" t="str">
            <v>01008018</v>
          </cell>
          <cell r="D131" t="str">
            <v>A4</v>
          </cell>
          <cell r="E131">
            <v>0</v>
          </cell>
          <cell r="F131">
            <v>0</v>
          </cell>
          <cell r="G131">
            <v>0</v>
          </cell>
          <cell r="H131">
            <v>0</v>
          </cell>
          <cell r="I131">
            <v>0</v>
          </cell>
          <cell r="J131">
            <v>0</v>
          </cell>
          <cell r="K131">
            <v>0</v>
          </cell>
        </row>
        <row r="132">
          <cell r="C132" t="str">
            <v>01008039</v>
          </cell>
          <cell r="D132" t="str">
            <v>A4</v>
          </cell>
          <cell r="E132">
            <v>0</v>
          </cell>
          <cell r="F132">
            <v>0</v>
          </cell>
          <cell r="G132">
            <v>0</v>
          </cell>
          <cell r="H132">
            <v>0</v>
          </cell>
          <cell r="I132">
            <v>0</v>
          </cell>
          <cell r="J132">
            <v>0</v>
          </cell>
          <cell r="K132">
            <v>0</v>
          </cell>
        </row>
        <row r="133">
          <cell r="C133" t="str">
            <v>01008040</v>
          </cell>
          <cell r="D133" t="str">
            <v>A4</v>
          </cell>
          <cell r="E133">
            <v>0</v>
          </cell>
          <cell r="F133">
            <v>0</v>
          </cell>
          <cell r="G133">
            <v>0</v>
          </cell>
          <cell r="H133">
            <v>0</v>
          </cell>
          <cell r="I133">
            <v>0</v>
          </cell>
          <cell r="J133">
            <v>0</v>
          </cell>
          <cell r="K133">
            <v>0</v>
          </cell>
        </row>
        <row r="134">
          <cell r="C134" t="str">
            <v>01008041</v>
          </cell>
          <cell r="D134" t="str">
            <v>A4</v>
          </cell>
          <cell r="E134">
            <v>0</v>
          </cell>
          <cell r="F134">
            <v>0</v>
          </cell>
          <cell r="G134">
            <v>0</v>
          </cell>
          <cell r="H134">
            <v>0</v>
          </cell>
          <cell r="I134">
            <v>0</v>
          </cell>
          <cell r="J134">
            <v>0</v>
          </cell>
          <cell r="K134">
            <v>0</v>
          </cell>
        </row>
        <row r="135">
          <cell r="C135" t="str">
            <v>01012027</v>
          </cell>
          <cell r="D135" t="str">
            <v>A3</v>
          </cell>
          <cell r="E135" t="str">
            <v>Có sáng kiến được công nhận cấp trường</v>
          </cell>
          <cell r="F135">
            <v>0</v>
          </cell>
          <cell r="G135">
            <v>0</v>
          </cell>
          <cell r="H135">
            <v>0</v>
          </cell>
          <cell r="I135">
            <v>0</v>
          </cell>
          <cell r="J135">
            <v>0</v>
          </cell>
          <cell r="K135">
            <v>0</v>
          </cell>
        </row>
        <row r="136">
          <cell r="C136" t="str">
            <v>01008012</v>
          </cell>
          <cell r="D136" t="str">
            <v>A4</v>
          </cell>
          <cell r="E136">
            <v>0</v>
          </cell>
          <cell r="F136">
            <v>0</v>
          </cell>
          <cell r="G136">
            <v>0</v>
          </cell>
          <cell r="H136">
            <v>0</v>
          </cell>
          <cell r="I136">
            <v>0</v>
          </cell>
          <cell r="J136">
            <v>0</v>
          </cell>
          <cell r="K136">
            <v>0</v>
          </cell>
        </row>
        <row r="137">
          <cell r="C137" t="str">
            <v>01017008</v>
          </cell>
          <cell r="D137" t="str">
            <v>A4</v>
          </cell>
          <cell r="E137">
            <v>0</v>
          </cell>
          <cell r="F137">
            <v>0</v>
          </cell>
          <cell r="G137">
            <v>0</v>
          </cell>
          <cell r="H137">
            <v>0</v>
          </cell>
          <cell r="I137">
            <v>0</v>
          </cell>
          <cell r="J137">
            <v>0</v>
          </cell>
          <cell r="K137">
            <v>0</v>
          </cell>
        </row>
        <row r="138">
          <cell r="C138" t="str">
            <v>01008033</v>
          </cell>
          <cell r="D138" t="str">
            <v>A4</v>
          </cell>
          <cell r="E138">
            <v>0</v>
          </cell>
          <cell r="F138">
            <v>0</v>
          </cell>
          <cell r="G138">
            <v>0</v>
          </cell>
          <cell r="H138">
            <v>0</v>
          </cell>
          <cell r="I138">
            <v>0</v>
          </cell>
          <cell r="J138">
            <v>0</v>
          </cell>
          <cell r="K138">
            <v>0</v>
          </cell>
        </row>
        <row r="139">
          <cell r="C139" t="str">
            <v>01008032</v>
          </cell>
          <cell r="D139" t="str">
            <v>A4</v>
          </cell>
          <cell r="E139">
            <v>0</v>
          </cell>
          <cell r="F139">
            <v>0</v>
          </cell>
          <cell r="G139">
            <v>0</v>
          </cell>
          <cell r="H139">
            <v>0</v>
          </cell>
          <cell r="I139">
            <v>0</v>
          </cell>
          <cell r="J139">
            <v>0</v>
          </cell>
          <cell r="K139">
            <v>0</v>
          </cell>
        </row>
        <row r="140">
          <cell r="C140" t="str">
            <v>01013033</v>
          </cell>
          <cell r="D140" t="str">
            <v>A4</v>
          </cell>
          <cell r="E140">
            <v>0</v>
          </cell>
          <cell r="F140">
            <v>0</v>
          </cell>
          <cell r="G140">
            <v>0</v>
          </cell>
          <cell r="H140">
            <v>0</v>
          </cell>
          <cell r="I140">
            <v>0</v>
          </cell>
          <cell r="J140">
            <v>0</v>
          </cell>
          <cell r="K140">
            <v>0</v>
          </cell>
        </row>
        <row r="141">
          <cell r="C141" t="str">
            <v>01009015</v>
          </cell>
          <cell r="D141" t="str">
            <v>A4</v>
          </cell>
          <cell r="E141">
            <v>0</v>
          </cell>
          <cell r="F141">
            <v>0</v>
          </cell>
          <cell r="G141">
            <v>0</v>
          </cell>
          <cell r="H141">
            <v>0</v>
          </cell>
          <cell r="I141">
            <v>0</v>
          </cell>
          <cell r="J141">
            <v>0</v>
          </cell>
          <cell r="K141">
            <v>0</v>
          </cell>
        </row>
        <row r="142">
          <cell r="C142" t="str">
            <v>01008043</v>
          </cell>
          <cell r="D142" t="str">
            <v>A4</v>
          </cell>
          <cell r="E142">
            <v>0</v>
          </cell>
          <cell r="F142">
            <v>0</v>
          </cell>
          <cell r="G142">
            <v>0</v>
          </cell>
          <cell r="H142">
            <v>0</v>
          </cell>
          <cell r="I142">
            <v>0</v>
          </cell>
          <cell r="J142">
            <v>0</v>
          </cell>
          <cell r="K142">
            <v>0</v>
          </cell>
        </row>
        <row r="143">
          <cell r="C143" t="str">
            <v>01008042</v>
          </cell>
          <cell r="D143" t="str">
            <v>A4</v>
          </cell>
          <cell r="E143">
            <v>0</v>
          </cell>
          <cell r="F143">
            <v>0</v>
          </cell>
          <cell r="G143">
            <v>0</v>
          </cell>
          <cell r="H143">
            <v>0</v>
          </cell>
          <cell r="I143">
            <v>0</v>
          </cell>
          <cell r="J143">
            <v>0</v>
          </cell>
          <cell r="K143">
            <v>0</v>
          </cell>
        </row>
        <row r="144">
          <cell r="C144" t="str">
            <v>01008044</v>
          </cell>
          <cell r="D144" t="str">
            <v>A4</v>
          </cell>
          <cell r="E144">
            <v>0</v>
          </cell>
          <cell r="F144">
            <v>0</v>
          </cell>
          <cell r="G144">
            <v>0</v>
          </cell>
          <cell r="H144">
            <v>0</v>
          </cell>
          <cell r="I144">
            <v>0</v>
          </cell>
          <cell r="J144">
            <v>0</v>
          </cell>
          <cell r="K144">
            <v>0</v>
          </cell>
        </row>
        <row r="145">
          <cell r="C145">
            <v>0</v>
          </cell>
          <cell r="D145">
            <v>0</v>
          </cell>
          <cell r="E145">
            <v>0</v>
          </cell>
          <cell r="F145">
            <v>0</v>
          </cell>
          <cell r="G145">
            <v>0</v>
          </cell>
          <cell r="H145">
            <v>0</v>
          </cell>
          <cell r="I145">
            <v>0</v>
          </cell>
          <cell r="J145">
            <v>0</v>
          </cell>
          <cell r="K145">
            <v>0</v>
          </cell>
        </row>
        <row r="146">
          <cell r="C146">
            <v>0</v>
          </cell>
          <cell r="D146">
            <v>0</v>
          </cell>
          <cell r="E146">
            <v>0</v>
          </cell>
          <cell r="F146">
            <v>0</v>
          </cell>
          <cell r="G146">
            <v>0</v>
          </cell>
          <cell r="H146">
            <v>0</v>
          </cell>
          <cell r="I146">
            <v>0</v>
          </cell>
          <cell r="J146">
            <v>0</v>
          </cell>
          <cell r="K146">
            <v>0</v>
          </cell>
        </row>
        <row r="147">
          <cell r="C147" t="str">
            <v>01010006</v>
          </cell>
          <cell r="D147" t="str">
            <v>A2</v>
          </cell>
          <cell r="E147" t="str">
            <v>- Có bài viết đăng kỷ yếu hội thảo cấp trường (Hội thảo Quốc tế COSS 2020).
- Có bài viết hội thảo cấp khoa năm 2020</v>
          </cell>
          <cell r="F147">
            <v>0</v>
          </cell>
          <cell r="G147">
            <v>0</v>
          </cell>
          <cell r="H147" t="str">
            <v>X</v>
          </cell>
          <cell r="I147">
            <v>0</v>
          </cell>
          <cell r="J147">
            <v>0</v>
          </cell>
          <cell r="K147">
            <v>0</v>
          </cell>
        </row>
        <row r="148">
          <cell r="C148" t="str">
            <v>01010012</v>
          </cell>
          <cell r="D148" t="str">
            <v>A3</v>
          </cell>
          <cell r="E148" t="str">
            <v>Có viết bài hội thảo cấp khoa năm 2020</v>
          </cell>
          <cell r="F148">
            <v>0</v>
          </cell>
          <cell r="G148">
            <v>0</v>
          </cell>
          <cell r="H148">
            <v>0</v>
          </cell>
          <cell r="I148">
            <v>0</v>
          </cell>
          <cell r="J148">
            <v>0</v>
          </cell>
          <cell r="K148">
            <v>0</v>
          </cell>
        </row>
        <row r="149">
          <cell r="C149" t="str">
            <v>01004012</v>
          </cell>
          <cell r="D149" t="str">
            <v>A2</v>
          </cell>
          <cell r="E149" t="str">
            <v>Có bài viết đăng kỷ yếu hội thảo cấp trường (Hội thảo Quốc tế COSS 2020).</v>
          </cell>
          <cell r="F149">
            <v>0</v>
          </cell>
          <cell r="G149">
            <v>0</v>
          </cell>
          <cell r="H149" t="str">
            <v>X</v>
          </cell>
          <cell r="I149">
            <v>0</v>
          </cell>
          <cell r="J149">
            <v>0</v>
          </cell>
          <cell r="K149">
            <v>0</v>
          </cell>
        </row>
        <row r="150">
          <cell r="C150" t="str">
            <v>01010026</v>
          </cell>
          <cell r="D150" t="str">
            <v>A2</v>
          </cell>
          <cell r="E150" t="str">
            <v>Có bài viết đăng kỷ yếu hội thảo cấp trường (Hội thảo Quốc tế COSS 2020).</v>
          </cell>
          <cell r="F150">
            <v>0</v>
          </cell>
          <cell r="G150">
            <v>0</v>
          </cell>
          <cell r="H150" t="str">
            <v>X</v>
          </cell>
          <cell r="I150">
            <v>0</v>
          </cell>
          <cell r="J150">
            <v>0</v>
          </cell>
          <cell r="K150">
            <v>0</v>
          </cell>
        </row>
        <row r="151">
          <cell r="C151" t="str">
            <v>01010023</v>
          </cell>
          <cell r="D151" t="str">
            <v>A3</v>
          </cell>
          <cell r="E151" t="str">
            <v>Có bài viết Hội thảo cấp khoa trong tháng 03/2021</v>
          </cell>
          <cell r="F151">
            <v>0</v>
          </cell>
          <cell r="G151">
            <v>0</v>
          </cell>
          <cell r="H151">
            <v>0</v>
          </cell>
          <cell r="I151">
            <v>0</v>
          </cell>
          <cell r="J151">
            <v>0</v>
          </cell>
          <cell r="K151">
            <v>0</v>
          </cell>
        </row>
        <row r="152">
          <cell r="C152" t="str">
            <v>01010029</v>
          </cell>
          <cell r="D152" t="str">
            <v>A3</v>
          </cell>
          <cell r="E152" t="str">
            <v>Có sáng kiến được công nhận cấp trường</v>
          </cell>
          <cell r="F152">
            <v>0</v>
          </cell>
          <cell r="G152">
            <v>0</v>
          </cell>
          <cell r="H152" t="str">
            <v>X</v>
          </cell>
          <cell r="I152">
            <v>0</v>
          </cell>
          <cell r="J152">
            <v>0</v>
          </cell>
          <cell r="K152">
            <v>0</v>
          </cell>
        </row>
        <row r="153">
          <cell r="C153" t="str">
            <v>01010024</v>
          </cell>
          <cell r="D153" t="str">
            <v>A3</v>
          </cell>
          <cell r="E153" t="str">
            <v>Có viết bài hội thảo cấp khoa năm 2020</v>
          </cell>
          <cell r="F153">
            <v>0</v>
          </cell>
          <cell r="G153">
            <v>0</v>
          </cell>
          <cell r="H153" t="str">
            <v>X</v>
          </cell>
          <cell r="I153">
            <v>0</v>
          </cell>
          <cell r="J153">
            <v>0</v>
          </cell>
          <cell r="K153">
            <v>0</v>
          </cell>
        </row>
        <row r="154">
          <cell r="C154" t="str">
            <v>01010017</v>
          </cell>
          <cell r="D154" t="str">
            <v>A3</v>
          </cell>
          <cell r="E154" t="str">
            <v>- Có viết bài hội thảo cấp khoa năm 2020</v>
          </cell>
          <cell r="F154">
            <v>0</v>
          </cell>
          <cell r="G154">
            <v>0</v>
          </cell>
          <cell r="H154">
            <v>0</v>
          </cell>
          <cell r="I154">
            <v>0</v>
          </cell>
          <cell r="J154">
            <v>0</v>
          </cell>
          <cell r="K154">
            <v>0</v>
          </cell>
        </row>
        <row r="155">
          <cell r="C155" t="str">
            <v>01022048</v>
          </cell>
          <cell r="D155" t="str">
            <v>A3</v>
          </cell>
          <cell r="E155" t="str">
            <v>Có bài viết Hội thảo cấp khoa trong tháng 03/2021</v>
          </cell>
          <cell r="F155">
            <v>0</v>
          </cell>
          <cell r="G155">
            <v>0</v>
          </cell>
          <cell r="H155">
            <v>0</v>
          </cell>
          <cell r="I155">
            <v>0</v>
          </cell>
          <cell r="J155">
            <v>0</v>
          </cell>
          <cell r="K155">
            <v>0</v>
          </cell>
        </row>
        <row r="156">
          <cell r="C156" t="str">
            <v>01022003</v>
          </cell>
          <cell r="D156" t="str">
            <v>A2</v>
          </cell>
          <cell r="E156" t="str">
            <v>- Có bài viết sáng kiến đạt PVAH cấp ngành (QĐ số 1720/QĐ-GDĐT ngày 21/8/2020)
- Có bài viết đăng kỷ yếu hội thảo cấp trường (Hội thảo Quốc tế COSS 2020).</v>
          </cell>
          <cell r="F156">
            <v>0</v>
          </cell>
          <cell r="G156">
            <v>0</v>
          </cell>
          <cell r="H156" t="str">
            <v>X</v>
          </cell>
          <cell r="I156" t="str">
            <v>X</v>
          </cell>
          <cell r="J156">
            <v>0</v>
          </cell>
          <cell r="K156">
            <v>0</v>
          </cell>
        </row>
        <row r="157">
          <cell r="C157" t="str">
            <v>01010039</v>
          </cell>
          <cell r="D157" t="str">
            <v>A2</v>
          </cell>
          <cell r="E157" t="str">
            <v>- Có bài viết đăng kỷ yếu hội thảo cấp trường (Hội thảo Quốc tế COSS 2020).
- Có bài viết hội thảo cấp khoa năm 2020</v>
          </cell>
          <cell r="F157">
            <v>0</v>
          </cell>
          <cell r="G157">
            <v>0</v>
          </cell>
          <cell r="H157" t="str">
            <v>X</v>
          </cell>
          <cell r="I157">
            <v>0</v>
          </cell>
          <cell r="J157">
            <v>0</v>
          </cell>
          <cell r="K157">
            <v>0</v>
          </cell>
        </row>
        <row r="158">
          <cell r="C158" t="str">
            <v>01010040</v>
          </cell>
          <cell r="D158" t="str">
            <v>A2</v>
          </cell>
          <cell r="E158" t="str">
            <v>- Có bài viết đăng kỷ yếu hội thảo cấp trường (Hội thảo Quốc tế COSS 2020).
- Có bài viết hội thảo cấp khoa năm 2020</v>
          </cell>
          <cell r="F158">
            <v>0</v>
          </cell>
          <cell r="G158">
            <v>0</v>
          </cell>
          <cell r="H158" t="str">
            <v>X</v>
          </cell>
          <cell r="I158">
            <v>0</v>
          </cell>
          <cell r="J158">
            <v>0</v>
          </cell>
          <cell r="K158">
            <v>0</v>
          </cell>
        </row>
        <row r="159">
          <cell r="C159" t="str">
            <v>01010009</v>
          </cell>
          <cell r="D159" t="str">
            <v>A3</v>
          </cell>
          <cell r="E159" t="str">
            <v>Có bài viết Hội thảo cấp khoa trong tháng 03/2021</v>
          </cell>
          <cell r="F159">
            <v>0</v>
          </cell>
          <cell r="G159">
            <v>0</v>
          </cell>
          <cell r="H159">
            <v>0</v>
          </cell>
          <cell r="I159">
            <v>0</v>
          </cell>
          <cell r="J159">
            <v>0</v>
          </cell>
          <cell r="K159">
            <v>0</v>
          </cell>
        </row>
        <row r="160">
          <cell r="C160" t="str">
            <v>01010020</v>
          </cell>
          <cell r="D160" t="str">
            <v>A3</v>
          </cell>
          <cell r="E160" t="str">
            <v>- Có sáng kiến được công nhận cấp trường</v>
          </cell>
          <cell r="F160">
            <v>0</v>
          </cell>
          <cell r="G160">
            <v>0</v>
          </cell>
          <cell r="H160">
            <v>0</v>
          </cell>
          <cell r="I160">
            <v>0</v>
          </cell>
          <cell r="J160">
            <v>0</v>
          </cell>
          <cell r="K160">
            <v>0</v>
          </cell>
        </row>
        <row r="161">
          <cell r="C161" t="str">
            <v>01010018</v>
          </cell>
          <cell r="D161" t="str">
            <v>A2</v>
          </cell>
          <cell r="E161" t="str">
            <v>- Có bài viết đăng kỷ yếu hội thảo cấp trường (Hội thảo Quốc tế COSS 2020).
- Có bài viết hội thảo cấp khoa năm 2020</v>
          </cell>
          <cell r="F161">
            <v>0</v>
          </cell>
          <cell r="G161">
            <v>0</v>
          </cell>
          <cell r="H161" t="str">
            <v>X</v>
          </cell>
          <cell r="I161">
            <v>0</v>
          </cell>
          <cell r="J161">
            <v>0</v>
          </cell>
          <cell r="K161">
            <v>0</v>
          </cell>
        </row>
        <row r="162">
          <cell r="C162" t="str">
            <v>01010019</v>
          </cell>
          <cell r="D162" t="str">
            <v>A4</v>
          </cell>
          <cell r="E162">
            <v>0</v>
          </cell>
          <cell r="F162">
            <v>0</v>
          </cell>
          <cell r="G162">
            <v>0</v>
          </cell>
          <cell r="H162">
            <v>0</v>
          </cell>
          <cell r="I162">
            <v>0</v>
          </cell>
          <cell r="J162">
            <v>0</v>
          </cell>
          <cell r="K162">
            <v>0</v>
          </cell>
        </row>
        <row r="163">
          <cell r="C163" t="str">
            <v>01010015</v>
          </cell>
          <cell r="D163" t="str">
            <v>A3</v>
          </cell>
          <cell r="E163" t="str">
            <v>Có viết bài hội thảo cấp khoa năm 2020</v>
          </cell>
          <cell r="F163">
            <v>0</v>
          </cell>
          <cell r="G163">
            <v>0</v>
          </cell>
          <cell r="H163" t="str">
            <v>X</v>
          </cell>
          <cell r="I163">
            <v>0</v>
          </cell>
          <cell r="J163">
            <v>0</v>
          </cell>
          <cell r="K163">
            <v>0</v>
          </cell>
        </row>
        <row r="164">
          <cell r="C164" t="str">
            <v>01010027</v>
          </cell>
          <cell r="D164" t="str">
            <v>A4</v>
          </cell>
          <cell r="E164">
            <v>0</v>
          </cell>
          <cell r="F164">
            <v>0</v>
          </cell>
          <cell r="G164">
            <v>0</v>
          </cell>
          <cell r="H164">
            <v>0</v>
          </cell>
          <cell r="I164">
            <v>0</v>
          </cell>
          <cell r="J164">
            <v>0</v>
          </cell>
          <cell r="K164">
            <v>0</v>
          </cell>
        </row>
        <row r="165">
          <cell r="C165" t="str">
            <v>01002025</v>
          </cell>
          <cell r="D165" t="str">
            <v>A4</v>
          </cell>
          <cell r="E165">
            <v>0</v>
          </cell>
          <cell r="F165">
            <v>0</v>
          </cell>
          <cell r="G165">
            <v>0</v>
          </cell>
          <cell r="H165" t="str">
            <v>X</v>
          </cell>
          <cell r="I165">
            <v>0</v>
          </cell>
          <cell r="J165">
            <v>0</v>
          </cell>
          <cell r="K165">
            <v>0</v>
          </cell>
        </row>
        <row r="166">
          <cell r="C166" t="str">
            <v>01010162</v>
          </cell>
          <cell r="D166" t="str">
            <v>A4</v>
          </cell>
          <cell r="E166">
            <v>0</v>
          </cell>
          <cell r="F166">
            <v>0</v>
          </cell>
          <cell r="G166">
            <v>0</v>
          </cell>
          <cell r="H166">
            <v>0</v>
          </cell>
          <cell r="I166">
            <v>0</v>
          </cell>
          <cell r="J166">
            <v>0</v>
          </cell>
          <cell r="K166">
            <v>0</v>
          </cell>
        </row>
        <row r="167">
          <cell r="C167" t="str">
            <v>01010141</v>
          </cell>
          <cell r="D167" t="str">
            <v>A3</v>
          </cell>
          <cell r="E167" t="str">
            <v>Có viết bài hội thảo cấp khoa năm 2020</v>
          </cell>
          <cell r="F167">
            <v>0</v>
          </cell>
          <cell r="G167">
            <v>0</v>
          </cell>
          <cell r="H167" t="str">
            <v>X</v>
          </cell>
          <cell r="I167">
            <v>0</v>
          </cell>
          <cell r="J167">
            <v>0</v>
          </cell>
          <cell r="K167">
            <v>0</v>
          </cell>
        </row>
        <row r="168">
          <cell r="C168" t="str">
            <v>01010033</v>
          </cell>
          <cell r="D168" t="str">
            <v>A3</v>
          </cell>
          <cell r="E168" t="str">
            <v>Có bài viết Hội thảo cấp khoa trong tháng 03/2021</v>
          </cell>
          <cell r="F168">
            <v>0</v>
          </cell>
          <cell r="G168">
            <v>0</v>
          </cell>
          <cell r="H168">
            <v>0</v>
          </cell>
          <cell r="I168">
            <v>0</v>
          </cell>
          <cell r="J168">
            <v>0</v>
          </cell>
          <cell r="K168">
            <v>0</v>
          </cell>
        </row>
        <row r="169">
          <cell r="C169" t="str">
            <v>01010037</v>
          </cell>
          <cell r="D169" t="str">
            <v>A1</v>
          </cell>
          <cell r="E169" t="str">
            <v>- Bài báo: Kiều Phương Chi, Mai Thế Tân, Dương Đức Kiên(2020), "Về một lớp không gian các họ số khả tổng",  Tạp Chí Khoa học Trường Đại học Vinh, ISSN 1859-2228</v>
          </cell>
          <cell r="F169">
            <v>0</v>
          </cell>
          <cell r="G169">
            <v>0</v>
          </cell>
          <cell r="H169">
            <v>0</v>
          </cell>
          <cell r="I169">
            <v>0</v>
          </cell>
          <cell r="J169">
            <v>0</v>
          </cell>
          <cell r="K169">
            <v>0</v>
          </cell>
        </row>
        <row r="170">
          <cell r="C170" t="str">
            <v>01010031</v>
          </cell>
          <cell r="D170" t="str">
            <v>A3</v>
          </cell>
          <cell r="E170" t="str">
            <v>Có viết bài hội thảo cấp khoa năm 2020</v>
          </cell>
          <cell r="F170">
            <v>0</v>
          </cell>
          <cell r="G170">
            <v>0</v>
          </cell>
          <cell r="H170">
            <v>0</v>
          </cell>
          <cell r="I170">
            <v>0</v>
          </cell>
          <cell r="J170">
            <v>0</v>
          </cell>
          <cell r="K170">
            <v>0</v>
          </cell>
        </row>
        <row r="171">
          <cell r="C171" t="str">
            <v>01010007</v>
          </cell>
          <cell r="D171" t="str">
            <v>A1</v>
          </cell>
          <cell r="E171" t="str">
            <v>Có viết bài hội thảo cấp khoa năm 2020
- Có bài báo ISSN : 0866-7756 số 2- Tháng 1/2021 (Đơn đề nghị được HT duyệt xếp mức tối đa A1 từ 06/2021)</v>
          </cell>
          <cell r="G171">
            <v>0</v>
          </cell>
          <cell r="H171" t="str">
            <v>X</v>
          </cell>
          <cell r="I171">
            <v>0</v>
          </cell>
          <cell r="J171">
            <v>0</v>
          </cell>
          <cell r="K171">
            <v>0</v>
          </cell>
        </row>
        <row r="172">
          <cell r="C172" t="str">
            <v>01010016</v>
          </cell>
          <cell r="D172" t="str">
            <v>A4</v>
          </cell>
          <cell r="E172">
            <v>0</v>
          </cell>
          <cell r="F172">
            <v>0</v>
          </cell>
          <cell r="G172">
            <v>0</v>
          </cell>
          <cell r="H172">
            <v>0</v>
          </cell>
          <cell r="I172">
            <v>0</v>
          </cell>
          <cell r="J172">
            <v>0</v>
          </cell>
          <cell r="K172">
            <v>0</v>
          </cell>
        </row>
        <row r="173">
          <cell r="C173" t="str">
            <v>01010028</v>
          </cell>
          <cell r="D173" t="str">
            <v>A2</v>
          </cell>
          <cell r="E173" t="str">
            <v>- Có bài viết đăng kỷ yếu hội thảo cấp trường (Hội thảo Quốc tế COSS 2020).</v>
          </cell>
          <cell r="F173">
            <v>0</v>
          </cell>
          <cell r="G173">
            <v>0</v>
          </cell>
          <cell r="H173" t="str">
            <v>X</v>
          </cell>
          <cell r="I173">
            <v>0</v>
          </cell>
          <cell r="J173">
            <v>0</v>
          </cell>
          <cell r="K173">
            <v>0</v>
          </cell>
        </row>
        <row r="174">
          <cell r="C174" t="str">
            <v>01010003</v>
          </cell>
          <cell r="D174" t="str">
            <v>A4</v>
          </cell>
          <cell r="E174">
            <v>0</v>
          </cell>
          <cell r="F174">
            <v>0</v>
          </cell>
          <cell r="G174">
            <v>0</v>
          </cell>
          <cell r="H174" t="str">
            <v>X</v>
          </cell>
          <cell r="I174">
            <v>0</v>
          </cell>
          <cell r="J174" t="str">
            <v>Có viết bài đăng kỷ yếu hội thảo cấp khoa tháng 7/2021</v>
          </cell>
          <cell r="K174">
            <v>0</v>
          </cell>
        </row>
        <row r="175">
          <cell r="C175" t="str">
            <v>01010032</v>
          </cell>
          <cell r="D175" t="str">
            <v>A4</v>
          </cell>
          <cell r="E175">
            <v>0</v>
          </cell>
          <cell r="F175">
            <v>0</v>
          </cell>
          <cell r="G175">
            <v>0</v>
          </cell>
          <cell r="H175">
            <v>0</v>
          </cell>
          <cell r="I175">
            <v>0</v>
          </cell>
          <cell r="J175" t="str">
            <v>Có viết bài đăng kỷ yếu hội thảo cấp khoa tháng 7/2021</v>
          </cell>
          <cell r="K175">
            <v>0</v>
          </cell>
        </row>
        <row r="176">
          <cell r="C176" t="str">
            <v>01010030</v>
          </cell>
          <cell r="D176" t="str">
            <v>A3</v>
          </cell>
          <cell r="E176" t="str">
            <v>Có viết bài hội thảo cấp khoa năm 2020</v>
          </cell>
          <cell r="F176">
            <v>0</v>
          </cell>
          <cell r="G176">
            <v>0</v>
          </cell>
          <cell r="H176">
            <v>0</v>
          </cell>
          <cell r="I176">
            <v>0</v>
          </cell>
          <cell r="J176">
            <v>0</v>
          </cell>
          <cell r="K176">
            <v>0</v>
          </cell>
        </row>
        <row r="177">
          <cell r="C177" t="str">
            <v>01010022</v>
          </cell>
          <cell r="D177" t="str">
            <v>A4</v>
          </cell>
          <cell r="E177">
            <v>0</v>
          </cell>
          <cell r="F177">
            <v>0</v>
          </cell>
          <cell r="G177">
            <v>0</v>
          </cell>
          <cell r="H177">
            <v>0</v>
          </cell>
          <cell r="I177">
            <v>0</v>
          </cell>
          <cell r="J177" t="str">
            <v>Có viết bài đăng kỷ yếu hội thảo cấp khoa tháng 7/2021</v>
          </cell>
          <cell r="K177">
            <v>0</v>
          </cell>
        </row>
        <row r="178">
          <cell r="C178" t="str">
            <v>01010021</v>
          </cell>
          <cell r="D178" t="str">
            <v>A3</v>
          </cell>
          <cell r="E178" t="str">
            <v>Có viết bài hội thảo cấp khoa năm 2020</v>
          </cell>
          <cell r="F178">
            <v>0</v>
          </cell>
          <cell r="G178">
            <v>0</v>
          </cell>
          <cell r="H178" t="str">
            <v>X</v>
          </cell>
          <cell r="I178">
            <v>0</v>
          </cell>
          <cell r="J178">
            <v>0</v>
          </cell>
          <cell r="K178">
            <v>0</v>
          </cell>
        </row>
        <row r="179">
          <cell r="C179" t="str">
            <v>01022005</v>
          </cell>
          <cell r="D179" t="str">
            <v>A3</v>
          </cell>
          <cell r="E179" t="str">
            <v>Có bài viết Hội thảo cấp khoa trong tháng 03/2021</v>
          </cell>
          <cell r="F179">
            <v>0</v>
          </cell>
          <cell r="G179">
            <v>0</v>
          </cell>
          <cell r="H179">
            <v>0</v>
          </cell>
          <cell r="I179">
            <v>0</v>
          </cell>
          <cell r="J179">
            <v>0</v>
          </cell>
          <cell r="K179">
            <v>0</v>
          </cell>
        </row>
        <row r="180">
          <cell r="C180">
            <v>0</v>
          </cell>
          <cell r="D180">
            <v>0</v>
          </cell>
          <cell r="E180">
            <v>0</v>
          </cell>
          <cell r="F180">
            <v>0</v>
          </cell>
          <cell r="G180">
            <v>0</v>
          </cell>
          <cell r="H180">
            <v>0</v>
          </cell>
          <cell r="I180">
            <v>0</v>
          </cell>
          <cell r="J180">
            <v>0</v>
          </cell>
          <cell r="K180">
            <v>0</v>
          </cell>
        </row>
        <row r="181">
          <cell r="C181">
            <v>0</v>
          </cell>
          <cell r="D181">
            <v>0</v>
          </cell>
          <cell r="E181">
            <v>0</v>
          </cell>
          <cell r="F181">
            <v>0</v>
          </cell>
          <cell r="G181">
            <v>0</v>
          </cell>
          <cell r="H181">
            <v>0</v>
          </cell>
          <cell r="I181">
            <v>0</v>
          </cell>
          <cell r="J181">
            <v>0</v>
          </cell>
          <cell r="K181">
            <v>0</v>
          </cell>
        </row>
        <row r="182">
          <cell r="C182" t="str">
            <v>01011005</v>
          </cell>
          <cell r="D182" t="str">
            <v>A2</v>
          </cell>
          <cell r="E182" t="str">
            <v>- Có bài viết đăng kỷ yếu hội thảo cấp trường (Hội thảo Quốc tế COSS 2020).
- Có SK được công nhận cấp trường</v>
          </cell>
          <cell r="F182">
            <v>0</v>
          </cell>
          <cell r="G182">
            <v>0</v>
          </cell>
          <cell r="H182" t="str">
            <v>X</v>
          </cell>
          <cell r="I182">
            <v>0</v>
          </cell>
          <cell r="J182">
            <v>0</v>
          </cell>
          <cell r="K182">
            <v>0</v>
          </cell>
        </row>
        <row r="183">
          <cell r="C183" t="str">
            <v>01011011</v>
          </cell>
          <cell r="D183" t="str">
            <v>A2</v>
          </cell>
          <cell r="E183" t="str">
            <v>- Có bài viết đăng kỷ yếu hội thảo cấp trường (Hội thảo Quốc tế COSS 2020).</v>
          </cell>
          <cell r="F183">
            <v>0</v>
          </cell>
          <cell r="G183">
            <v>0</v>
          </cell>
          <cell r="H183" t="str">
            <v>X</v>
          </cell>
          <cell r="I183">
            <v>0</v>
          </cell>
          <cell r="J183">
            <v>0</v>
          </cell>
          <cell r="K183">
            <v>0</v>
          </cell>
        </row>
        <row r="184">
          <cell r="C184" t="str">
            <v>01011013</v>
          </cell>
          <cell r="D184" t="str">
            <v>A2</v>
          </cell>
          <cell r="E184" t="str">
            <v>- Có bài viết đăng kỷ yếu hội thảo cấp trường (Hội thảo Quốc tế COSS 2020).</v>
          </cell>
          <cell r="F184">
            <v>0</v>
          </cell>
          <cell r="G184">
            <v>0</v>
          </cell>
          <cell r="H184">
            <v>0</v>
          </cell>
          <cell r="I184">
            <v>0</v>
          </cell>
          <cell r="J184">
            <v>0</v>
          </cell>
          <cell r="K184">
            <v>0</v>
          </cell>
        </row>
        <row r="185">
          <cell r="C185" t="str">
            <v>01011009</v>
          </cell>
          <cell r="D185" t="str">
            <v>A2</v>
          </cell>
          <cell r="E185" t="str">
            <v>- Có bài viết đăng kỷ yếu hội thảo cấp trường (Hội thảo Quốc tế COSS 2020).</v>
          </cell>
          <cell r="F185">
            <v>0</v>
          </cell>
          <cell r="G185">
            <v>0</v>
          </cell>
          <cell r="H185" t="str">
            <v>X</v>
          </cell>
          <cell r="I185">
            <v>0</v>
          </cell>
          <cell r="J185">
            <v>0</v>
          </cell>
          <cell r="K185">
            <v>0</v>
          </cell>
        </row>
        <row r="186">
          <cell r="C186" t="str">
            <v>01011001</v>
          </cell>
          <cell r="D186" t="str">
            <v>A4</v>
          </cell>
          <cell r="E186">
            <v>0</v>
          </cell>
          <cell r="F186">
            <v>0</v>
          </cell>
          <cell r="G186">
            <v>0</v>
          </cell>
          <cell r="H186">
            <v>0</v>
          </cell>
          <cell r="I186">
            <v>0</v>
          </cell>
          <cell r="J186">
            <v>0</v>
          </cell>
          <cell r="K186">
            <v>0</v>
          </cell>
        </row>
        <row r="187">
          <cell r="C187" t="str">
            <v>01011014</v>
          </cell>
          <cell r="D187" t="str">
            <v>A2</v>
          </cell>
          <cell r="E187" t="str">
            <v>- Có bài viết đăng kỷ yếu hội thảo cấp trường (Hội thảo Quốc tế COSS 2020).</v>
          </cell>
          <cell r="F187">
            <v>0</v>
          </cell>
          <cell r="G187">
            <v>0</v>
          </cell>
          <cell r="H187" t="str">
            <v>X</v>
          </cell>
          <cell r="I187" t="str">
            <v>X</v>
          </cell>
          <cell r="J187">
            <v>0</v>
          </cell>
          <cell r="K187">
            <v>0</v>
          </cell>
        </row>
        <row r="188">
          <cell r="C188" t="str">
            <v>01010005</v>
          </cell>
          <cell r="D188" t="str">
            <v>A2</v>
          </cell>
          <cell r="E188" t="str">
            <v>- Có bài viết đăng kỷ yếu hội thảo cấp trường (Hội thảo Quốc tế COSS 2020).</v>
          </cell>
          <cell r="F188">
            <v>0</v>
          </cell>
          <cell r="G188">
            <v>0</v>
          </cell>
          <cell r="H188" t="str">
            <v>X</v>
          </cell>
          <cell r="I188">
            <v>0</v>
          </cell>
          <cell r="J188">
            <v>0</v>
          </cell>
          <cell r="K188">
            <v>0</v>
          </cell>
        </row>
        <row r="189">
          <cell r="C189" t="str">
            <v>01011016</v>
          </cell>
          <cell r="D189" t="str">
            <v>A2</v>
          </cell>
          <cell r="E189" t="str">
            <v>- Có bài viết đăng kỷ yếu hội thảo cấp trường (Hội thảo Quốc tế COSS 2020).</v>
          </cell>
          <cell r="F189">
            <v>0</v>
          </cell>
          <cell r="G189">
            <v>0</v>
          </cell>
          <cell r="H189">
            <v>0</v>
          </cell>
          <cell r="I189">
            <v>0</v>
          </cell>
          <cell r="J189">
            <v>0</v>
          </cell>
          <cell r="K189">
            <v>0</v>
          </cell>
        </row>
        <row r="190">
          <cell r="C190" t="str">
            <v>01011012</v>
          </cell>
          <cell r="D190" t="str">
            <v>A2</v>
          </cell>
          <cell r="E190" t="str">
            <v>- Có bài viết đăng kỷ yếu hội thảo cấp trường (Hội thảo Quốc tế COSS 2020).</v>
          </cell>
          <cell r="F190">
            <v>0</v>
          </cell>
          <cell r="G190">
            <v>0</v>
          </cell>
          <cell r="H190" t="str">
            <v>X</v>
          </cell>
          <cell r="I190" t="str">
            <v>X</v>
          </cell>
          <cell r="J190">
            <v>0</v>
          </cell>
          <cell r="K190">
            <v>0</v>
          </cell>
        </row>
        <row r="191">
          <cell r="C191" t="str">
            <v>01011007</v>
          </cell>
          <cell r="D191" t="str">
            <v>A2</v>
          </cell>
          <cell r="E191" t="str">
            <v>- Có bài viết đăng kỷ yếu hội thảo cấp trường (Hội thảo Quốc tế COSS 2020).</v>
          </cell>
          <cell r="F191">
            <v>0</v>
          </cell>
          <cell r="G191">
            <v>0</v>
          </cell>
          <cell r="H191">
            <v>0</v>
          </cell>
          <cell r="I191">
            <v>0</v>
          </cell>
          <cell r="J191">
            <v>0</v>
          </cell>
          <cell r="K191">
            <v>0</v>
          </cell>
        </row>
        <row r="192">
          <cell r="C192" t="str">
            <v>01011008</v>
          </cell>
          <cell r="D192" t="str">
            <v>A2</v>
          </cell>
          <cell r="E192" t="str">
            <v>- Có bài viết đăng kỷ yếu hội thảo cấp trường (Hội thảo Quốc tế COSS 2020).</v>
          </cell>
          <cell r="F192">
            <v>0</v>
          </cell>
          <cell r="G192">
            <v>0</v>
          </cell>
          <cell r="H192" t="str">
            <v>X</v>
          </cell>
          <cell r="I192" t="str">
            <v>X</v>
          </cell>
          <cell r="J192">
            <v>0</v>
          </cell>
          <cell r="K192">
            <v>0</v>
          </cell>
        </row>
        <row r="193">
          <cell r="C193" t="str">
            <v>01011015</v>
          </cell>
          <cell r="D193" t="str">
            <v>A2</v>
          </cell>
          <cell r="E193" t="str">
            <v>- Có bài viết đăng kỷ yếu hội thảo cấp trường (Hội thảo Quốc tế COSS 2020).</v>
          </cell>
          <cell r="F193">
            <v>0</v>
          </cell>
          <cell r="G193">
            <v>0</v>
          </cell>
          <cell r="H193" t="str">
            <v>X</v>
          </cell>
          <cell r="I193">
            <v>0</v>
          </cell>
          <cell r="J193">
            <v>0</v>
          </cell>
          <cell r="K193">
            <v>0</v>
          </cell>
        </row>
        <row r="194">
          <cell r="C194" t="str">
            <v>01011010</v>
          </cell>
          <cell r="D194" t="str">
            <v>A2</v>
          </cell>
          <cell r="E194" t="str">
            <v>- Có bài viết đăng kỷ yếu hội thảo cấp trường (Hội thảo Quốc tế COSS 2020).</v>
          </cell>
          <cell r="F194">
            <v>0</v>
          </cell>
          <cell r="G194">
            <v>0</v>
          </cell>
          <cell r="H194" t="str">
            <v>X</v>
          </cell>
          <cell r="I194" t="str">
            <v>X</v>
          </cell>
          <cell r="J194">
            <v>0</v>
          </cell>
          <cell r="K194">
            <v>0</v>
          </cell>
        </row>
        <row r="195">
          <cell r="C195" t="str">
            <v>01011018</v>
          </cell>
          <cell r="D195" t="str">
            <v>A2</v>
          </cell>
          <cell r="E195" t="str">
            <v>- Có bài viết đăng kỷ yếu hội thảo cấp trường (Hội thảo Quốc tế COSS 2020).</v>
          </cell>
          <cell r="F195">
            <v>0</v>
          </cell>
          <cell r="G195">
            <v>0</v>
          </cell>
          <cell r="H195" t="str">
            <v>X</v>
          </cell>
          <cell r="I195" t="str">
            <v>X</v>
          </cell>
          <cell r="J195">
            <v>0</v>
          </cell>
          <cell r="K195">
            <v>0</v>
          </cell>
        </row>
        <row r="196">
          <cell r="C196" t="str">
            <v>01011002</v>
          </cell>
          <cell r="D196" t="str">
            <v>A2</v>
          </cell>
          <cell r="E196" t="str">
            <v>- Có bài viết đăng kỷ yếu hội thảo cấp trường (Hội thảo Quốc tế COSS 2020).</v>
          </cell>
          <cell r="F196">
            <v>0</v>
          </cell>
          <cell r="G196">
            <v>0</v>
          </cell>
          <cell r="H196" t="str">
            <v>X</v>
          </cell>
          <cell r="I196" t="str">
            <v>X</v>
          </cell>
          <cell r="J196">
            <v>0</v>
          </cell>
          <cell r="K196">
            <v>0</v>
          </cell>
        </row>
        <row r="197">
          <cell r="C197" t="str">
            <v>01011006</v>
          </cell>
          <cell r="D197" t="str">
            <v>A2</v>
          </cell>
          <cell r="E197" t="str">
            <v>- Có bài viết đăng kỷ yếu hội thảo cấp trường (Hội thảo Quốc tế COSS 2020).</v>
          </cell>
          <cell r="F197">
            <v>0</v>
          </cell>
          <cell r="G197">
            <v>0</v>
          </cell>
          <cell r="H197" t="str">
            <v>X</v>
          </cell>
          <cell r="I197">
            <v>0</v>
          </cell>
          <cell r="J197">
            <v>0</v>
          </cell>
          <cell r="K197">
            <v>0</v>
          </cell>
        </row>
        <row r="198">
          <cell r="C198">
            <v>0</v>
          </cell>
          <cell r="D198">
            <v>0</v>
          </cell>
          <cell r="E198">
            <v>0</v>
          </cell>
          <cell r="F198">
            <v>0</v>
          </cell>
          <cell r="G198">
            <v>0</v>
          </cell>
          <cell r="H198">
            <v>0</v>
          </cell>
          <cell r="I198">
            <v>0</v>
          </cell>
          <cell r="J198">
            <v>0</v>
          </cell>
          <cell r="K198">
            <v>0</v>
          </cell>
        </row>
        <row r="199">
          <cell r="C199">
            <v>0</v>
          </cell>
          <cell r="D199">
            <v>0</v>
          </cell>
          <cell r="E199">
            <v>0</v>
          </cell>
          <cell r="F199">
            <v>0</v>
          </cell>
          <cell r="G199">
            <v>0</v>
          </cell>
          <cell r="H199">
            <v>0</v>
          </cell>
          <cell r="I199">
            <v>0</v>
          </cell>
          <cell r="J199">
            <v>0</v>
          </cell>
          <cell r="K199">
            <v>0</v>
          </cell>
        </row>
        <row r="200">
          <cell r="C200" t="str">
            <v>01012003</v>
          </cell>
          <cell r="D200" t="str">
            <v>A1</v>
          </cell>
          <cell r="E200" t="str">
            <v>- Tham gia Đề án hợp tác đào tạo trình độ cao đẳng chất lượng cao giữa Trường CĐ Lý Tự Trọng Tp.HCM với công ty TNHH Sản xuất và Kinh doanh VINFAST (QĐ số 496A/QĐ-LTT-ĐT ngày 30/5/2020)</v>
          </cell>
          <cell r="F200">
            <v>0</v>
          </cell>
          <cell r="G200">
            <v>0</v>
          </cell>
          <cell r="H200" t="str">
            <v>X</v>
          </cell>
          <cell r="I200" t="str">
            <v>X</v>
          </cell>
          <cell r="J200">
            <v>0</v>
          </cell>
          <cell r="K200">
            <v>0</v>
          </cell>
        </row>
        <row r="201">
          <cell r="C201" t="str">
            <v>01012008</v>
          </cell>
          <cell r="D201" t="str">
            <v>A3</v>
          </cell>
          <cell r="E201" t="str">
            <v>Kỷ yếu hội thảo khoa học cấp khoa</v>
          </cell>
          <cell r="F201">
            <v>0</v>
          </cell>
          <cell r="G201">
            <v>0</v>
          </cell>
          <cell r="H201" t="str">
            <v>X</v>
          </cell>
          <cell r="I201">
            <v>0</v>
          </cell>
          <cell r="J201">
            <v>0</v>
          </cell>
          <cell r="K201">
            <v>0</v>
          </cell>
        </row>
        <row r="202">
          <cell r="C202" t="str">
            <v>01012007</v>
          </cell>
          <cell r="D202" t="str">
            <v>A3</v>
          </cell>
          <cell r="E202" t="str">
            <v>Kỷ yếu hội thảo khoa học cấp khoa</v>
          </cell>
          <cell r="F202">
            <v>0</v>
          </cell>
          <cell r="G202">
            <v>0</v>
          </cell>
          <cell r="H202" t="str">
            <v>X</v>
          </cell>
          <cell r="I202">
            <v>0</v>
          </cell>
          <cell r="J202">
            <v>0</v>
          </cell>
          <cell r="K202">
            <v>0</v>
          </cell>
        </row>
        <row r="203">
          <cell r="C203" t="str">
            <v>01012013</v>
          </cell>
          <cell r="D203" t="str">
            <v>A2</v>
          </cell>
          <cell r="E203" t="str">
            <v>- Có bài viết đăng kỷ yếu hội thảo cấp trường (Hội thảo Quốc tế COSS 2020).</v>
          </cell>
          <cell r="F203">
            <v>0</v>
          </cell>
          <cell r="G203">
            <v>0</v>
          </cell>
          <cell r="H203" t="str">
            <v>X</v>
          </cell>
          <cell r="I203">
            <v>0</v>
          </cell>
          <cell r="J203">
            <v>0</v>
          </cell>
          <cell r="K203">
            <v>0</v>
          </cell>
        </row>
        <row r="204">
          <cell r="C204" t="str">
            <v>01012023</v>
          </cell>
          <cell r="D204" t="str">
            <v>A1</v>
          </cell>
          <cell r="E204" t="str">
            <v>- Nghiên cứu khoa học cấp trường năm 2020 thi công cánh tay robot 6 bậc tự do 
- Có bài viết đăng kỷ yếu hội thảo cấp trường (Hội thảo Quốc tế COSS 2020).</v>
          </cell>
          <cell r="F204">
            <v>0</v>
          </cell>
          <cell r="G204">
            <v>0</v>
          </cell>
          <cell r="H204" t="str">
            <v>X</v>
          </cell>
          <cell r="I204" t="str">
            <v>X</v>
          </cell>
          <cell r="J204">
            <v>0</v>
          </cell>
          <cell r="K204">
            <v>0</v>
          </cell>
        </row>
        <row r="205">
          <cell r="C205" t="str">
            <v>01012014</v>
          </cell>
          <cell r="D205" t="str">
            <v>A3</v>
          </cell>
          <cell r="E205" t="str">
            <v>Có bài viết Hội thảo cấp khoa trong tháng 03/2021</v>
          </cell>
          <cell r="F205">
            <v>0</v>
          </cell>
          <cell r="G205">
            <v>0</v>
          </cell>
          <cell r="H205" t="str">
            <v>X</v>
          </cell>
          <cell r="I205">
            <v>0</v>
          </cell>
          <cell r="J205">
            <v>0</v>
          </cell>
          <cell r="K205">
            <v>0</v>
          </cell>
        </row>
        <row r="206">
          <cell r="C206" t="str">
            <v>01012005</v>
          </cell>
          <cell r="D206" t="str">
            <v>A2</v>
          </cell>
          <cell r="E206" t="str">
            <v>- Có bài viết đăng kỷ yếu hội thảo cấp trường (Hội thảo Quốc tế COSS 2020).</v>
          </cell>
          <cell r="F206">
            <v>0</v>
          </cell>
          <cell r="G206">
            <v>0</v>
          </cell>
          <cell r="H206" t="str">
            <v>X</v>
          </cell>
          <cell r="I206">
            <v>0</v>
          </cell>
          <cell r="J206">
            <v>0</v>
          </cell>
          <cell r="K206">
            <v>0</v>
          </cell>
        </row>
        <row r="207">
          <cell r="C207" t="str">
            <v>01012006</v>
          </cell>
          <cell r="D207" t="str">
            <v>A3</v>
          </cell>
          <cell r="E207" t="str">
            <v>Có bài viết Hội thảo cấp khoa trong tháng 03/2021</v>
          </cell>
          <cell r="F207">
            <v>0</v>
          </cell>
          <cell r="G207">
            <v>0</v>
          </cell>
          <cell r="H207">
            <v>0</v>
          </cell>
          <cell r="I207">
            <v>0</v>
          </cell>
          <cell r="J207">
            <v>0</v>
          </cell>
          <cell r="K207">
            <v>0</v>
          </cell>
        </row>
        <row r="208">
          <cell r="C208" t="str">
            <v>01012004</v>
          </cell>
          <cell r="D208" t="str">
            <v>A4</v>
          </cell>
          <cell r="E208">
            <v>0</v>
          </cell>
          <cell r="F208">
            <v>0</v>
          </cell>
          <cell r="G208">
            <v>0</v>
          </cell>
          <cell r="H208">
            <v>0</v>
          </cell>
          <cell r="I208">
            <v>0</v>
          </cell>
          <cell r="J208">
            <v>0</v>
          </cell>
          <cell r="K208">
            <v>0</v>
          </cell>
        </row>
        <row r="209">
          <cell r="C209" t="str">
            <v>01012012</v>
          </cell>
          <cell r="D209" t="str">
            <v>A4</v>
          </cell>
          <cell r="E209">
            <v>0</v>
          </cell>
          <cell r="F209">
            <v>0</v>
          </cell>
          <cell r="G209">
            <v>0</v>
          </cell>
          <cell r="H209">
            <v>0</v>
          </cell>
          <cell r="I209">
            <v>0</v>
          </cell>
          <cell r="J209">
            <v>0</v>
          </cell>
          <cell r="K209">
            <v>0</v>
          </cell>
        </row>
        <row r="210">
          <cell r="C210" t="str">
            <v>01012016</v>
          </cell>
          <cell r="D210" t="str">
            <v>A4</v>
          </cell>
          <cell r="E210">
            <v>0</v>
          </cell>
          <cell r="F210">
            <v>0</v>
          </cell>
          <cell r="G210">
            <v>0</v>
          </cell>
          <cell r="H210">
            <v>0</v>
          </cell>
          <cell r="I210">
            <v>0</v>
          </cell>
          <cell r="J210">
            <v>0</v>
          </cell>
          <cell r="K210">
            <v>0</v>
          </cell>
        </row>
        <row r="211">
          <cell r="C211" t="str">
            <v>01012015</v>
          </cell>
          <cell r="D211" t="str">
            <v>A4</v>
          </cell>
          <cell r="E211">
            <v>0</v>
          </cell>
          <cell r="F211">
            <v>0</v>
          </cell>
          <cell r="G211">
            <v>0</v>
          </cell>
          <cell r="H211">
            <v>0</v>
          </cell>
          <cell r="I211">
            <v>0</v>
          </cell>
          <cell r="J211">
            <v>0</v>
          </cell>
          <cell r="K211">
            <v>0</v>
          </cell>
        </row>
        <row r="212">
          <cell r="C212" t="str">
            <v>01012019</v>
          </cell>
          <cell r="D212" t="str">
            <v>A4</v>
          </cell>
          <cell r="E212">
            <v>0</v>
          </cell>
          <cell r="F212">
            <v>0</v>
          </cell>
          <cell r="G212">
            <v>0</v>
          </cell>
          <cell r="H212">
            <v>0</v>
          </cell>
          <cell r="I212">
            <v>0</v>
          </cell>
          <cell r="J212">
            <v>0</v>
          </cell>
          <cell r="K212">
            <v>0</v>
          </cell>
        </row>
        <row r="213">
          <cell r="C213" t="str">
            <v>01012018</v>
          </cell>
          <cell r="D213" t="str">
            <v>A4</v>
          </cell>
          <cell r="E213">
            <v>0</v>
          </cell>
          <cell r="F213">
            <v>0</v>
          </cell>
          <cell r="G213">
            <v>0</v>
          </cell>
          <cell r="H213">
            <v>0</v>
          </cell>
          <cell r="I213">
            <v>0</v>
          </cell>
          <cell r="J213">
            <v>0</v>
          </cell>
          <cell r="K213">
            <v>0</v>
          </cell>
        </row>
        <row r="214">
          <cell r="C214" t="str">
            <v>01012017</v>
          </cell>
          <cell r="D214" t="str">
            <v>A3</v>
          </cell>
          <cell r="E214" t="str">
            <v>Kỷ yếu hội thảo khoa học cấp khoa</v>
          </cell>
          <cell r="F214">
            <v>0</v>
          </cell>
          <cell r="G214">
            <v>0</v>
          </cell>
          <cell r="H214">
            <v>0</v>
          </cell>
          <cell r="I214">
            <v>0</v>
          </cell>
          <cell r="J214">
            <v>0</v>
          </cell>
          <cell r="K214">
            <v>0</v>
          </cell>
        </row>
        <row r="215">
          <cell r="C215" t="str">
            <v>01012022</v>
          </cell>
          <cell r="D215" t="str">
            <v>A4</v>
          </cell>
          <cell r="E215">
            <v>0</v>
          </cell>
          <cell r="F215">
            <v>0</v>
          </cell>
          <cell r="G215">
            <v>0</v>
          </cell>
          <cell r="H215">
            <v>0</v>
          </cell>
          <cell r="I215">
            <v>0</v>
          </cell>
          <cell r="J215">
            <v>0</v>
          </cell>
          <cell r="K215">
            <v>0</v>
          </cell>
        </row>
        <row r="216">
          <cell r="C216" t="str">
            <v>01012020</v>
          </cell>
          <cell r="D216" t="str">
            <v>A3</v>
          </cell>
          <cell r="E216" t="str">
            <v>Kỷ yếu hội thảo khoa học cấp khoa</v>
          </cell>
          <cell r="F216">
            <v>0</v>
          </cell>
          <cell r="G216">
            <v>0</v>
          </cell>
          <cell r="H216">
            <v>0</v>
          </cell>
          <cell r="I216">
            <v>0</v>
          </cell>
          <cell r="J216">
            <v>0</v>
          </cell>
          <cell r="K216">
            <v>0</v>
          </cell>
        </row>
        <row r="217">
          <cell r="C217" t="str">
            <v>01012021</v>
          </cell>
          <cell r="D217" t="str">
            <v>A4</v>
          </cell>
          <cell r="E217">
            <v>0</v>
          </cell>
          <cell r="F217">
            <v>0</v>
          </cell>
          <cell r="G217">
            <v>0</v>
          </cell>
          <cell r="H217">
            <v>0</v>
          </cell>
          <cell r="I217">
            <v>0</v>
          </cell>
          <cell r="J217">
            <v>0</v>
          </cell>
          <cell r="K217">
            <v>0</v>
          </cell>
        </row>
        <row r="218">
          <cell r="C218" t="str">
            <v>01012011</v>
          </cell>
          <cell r="D218" t="str">
            <v>A4</v>
          </cell>
          <cell r="E218">
            <v>0</v>
          </cell>
          <cell r="F218">
            <v>0</v>
          </cell>
          <cell r="G218">
            <v>0</v>
          </cell>
          <cell r="H218">
            <v>0</v>
          </cell>
          <cell r="I218">
            <v>0</v>
          </cell>
          <cell r="J218">
            <v>0</v>
          </cell>
          <cell r="K218">
            <v>0</v>
          </cell>
        </row>
        <row r="219">
          <cell r="C219" t="str">
            <v>01017002</v>
          </cell>
          <cell r="D219" t="str">
            <v>A4</v>
          </cell>
          <cell r="E219">
            <v>0</v>
          </cell>
          <cell r="F219">
            <v>0</v>
          </cell>
          <cell r="G219">
            <v>0</v>
          </cell>
          <cell r="H219">
            <v>0</v>
          </cell>
          <cell r="I219">
            <v>0</v>
          </cell>
          <cell r="J219">
            <v>0</v>
          </cell>
          <cell r="K219">
            <v>0</v>
          </cell>
        </row>
        <row r="220">
          <cell r="C220" t="str">
            <v>01012028</v>
          </cell>
          <cell r="D220" t="str">
            <v>A3</v>
          </cell>
          <cell r="E220" t="str">
            <v>Có SK được công nhận cấp trường</v>
          </cell>
          <cell r="F220">
            <v>0</v>
          </cell>
          <cell r="G220">
            <v>0</v>
          </cell>
          <cell r="H220" t="str">
            <v>X</v>
          </cell>
          <cell r="I220">
            <v>0</v>
          </cell>
          <cell r="J220">
            <v>0</v>
          </cell>
          <cell r="K220">
            <v>0</v>
          </cell>
        </row>
        <row r="221">
          <cell r="C221" t="str">
            <v>01012032</v>
          </cell>
          <cell r="D221" t="str">
            <v>A3</v>
          </cell>
          <cell r="E221" t="str">
            <v>Kỷ yếu hội thảo khoa học cấp khoa</v>
          </cell>
          <cell r="F221">
            <v>0</v>
          </cell>
          <cell r="G221">
            <v>0</v>
          </cell>
          <cell r="H221" t="str">
            <v>X</v>
          </cell>
          <cell r="I221">
            <v>0</v>
          </cell>
          <cell r="J221">
            <v>0</v>
          </cell>
          <cell r="K221">
            <v>0</v>
          </cell>
        </row>
        <row r="222">
          <cell r="C222" t="str">
            <v>01025017</v>
          </cell>
          <cell r="D222" t="str">
            <v>A1</v>
          </cell>
          <cell r="E222" t="str">
            <v xml:space="preserve">Nghiên cứu khoa học cấp trường năm 2020 thi công cánh tay robot 6 bậc tự do </v>
          </cell>
          <cell r="F222">
            <v>0</v>
          </cell>
          <cell r="G222">
            <v>0</v>
          </cell>
          <cell r="H222">
            <v>0</v>
          </cell>
          <cell r="I222">
            <v>0</v>
          </cell>
          <cell r="J222">
            <v>0</v>
          </cell>
          <cell r="K222">
            <v>0</v>
          </cell>
        </row>
        <row r="223">
          <cell r="C223" t="str">
            <v>01006004</v>
          </cell>
          <cell r="D223" t="str">
            <v>A3</v>
          </cell>
          <cell r="E223" t="str">
            <v>Kỷ yếu hội thảo khoa học cấp khoa</v>
          </cell>
          <cell r="F223">
            <v>0</v>
          </cell>
          <cell r="G223">
            <v>0</v>
          </cell>
          <cell r="H223">
            <v>0</v>
          </cell>
          <cell r="I223">
            <v>0</v>
          </cell>
          <cell r="J223">
            <v>0</v>
          </cell>
          <cell r="K223">
            <v>0</v>
          </cell>
        </row>
        <row r="224">
          <cell r="C224" t="str">
            <v>01013068</v>
          </cell>
          <cell r="D224" t="str">
            <v>A1</v>
          </cell>
          <cell r="E224" t="str">
            <v>- Nghiên cứu khoa học cấp trường năm 2020 Thi công xe điện chạy bằng năng lượng mặt trời
- Có bài viết đăng kỷ yếu hội thảo cấp trường (Hội thảo Quốc tế COSS 2020).</v>
          </cell>
          <cell r="F224">
            <v>0</v>
          </cell>
          <cell r="G224">
            <v>0</v>
          </cell>
          <cell r="H224" t="str">
            <v>X</v>
          </cell>
          <cell r="I224">
            <v>0</v>
          </cell>
          <cell r="J224">
            <v>0</v>
          </cell>
          <cell r="K224">
            <v>0</v>
          </cell>
        </row>
        <row r="225">
          <cell r="C225" t="str">
            <v>01012048</v>
          </cell>
          <cell r="D225" t="str">
            <v>A4</v>
          </cell>
          <cell r="E225">
            <v>0</v>
          </cell>
          <cell r="F225">
            <v>0</v>
          </cell>
          <cell r="G225">
            <v>0</v>
          </cell>
          <cell r="H225">
            <v>0</v>
          </cell>
          <cell r="I225">
            <v>0</v>
          </cell>
          <cell r="J225">
            <v>0</v>
          </cell>
          <cell r="K225">
            <v>0</v>
          </cell>
        </row>
        <row r="226">
          <cell r="C226" t="str">
            <v>01012049</v>
          </cell>
          <cell r="D226" t="str">
            <v>A4</v>
          </cell>
          <cell r="E226">
            <v>0</v>
          </cell>
          <cell r="F226">
            <v>0</v>
          </cell>
          <cell r="G226">
            <v>0</v>
          </cell>
          <cell r="H226">
            <v>0</v>
          </cell>
          <cell r="I226">
            <v>0</v>
          </cell>
          <cell r="J226">
            <v>0</v>
          </cell>
          <cell r="K226">
            <v>0</v>
          </cell>
        </row>
        <row r="227">
          <cell r="C227">
            <v>0</v>
          </cell>
          <cell r="D227">
            <v>1</v>
          </cell>
          <cell r="E227">
            <v>0</v>
          </cell>
          <cell r="F227">
            <v>0</v>
          </cell>
          <cell r="G227">
            <v>0</v>
          </cell>
          <cell r="H227">
            <v>0</v>
          </cell>
          <cell r="I227">
            <v>0</v>
          </cell>
          <cell r="J227">
            <v>0</v>
          </cell>
          <cell r="K227">
            <v>0</v>
          </cell>
        </row>
        <row r="228">
          <cell r="C228">
            <v>0</v>
          </cell>
          <cell r="D228">
            <v>1</v>
          </cell>
          <cell r="E228">
            <v>0</v>
          </cell>
          <cell r="F228">
            <v>0</v>
          </cell>
          <cell r="G228">
            <v>0</v>
          </cell>
          <cell r="H228">
            <v>0</v>
          </cell>
          <cell r="I228">
            <v>0</v>
          </cell>
          <cell r="J228">
            <v>0</v>
          </cell>
          <cell r="K228">
            <v>0</v>
          </cell>
        </row>
        <row r="229">
          <cell r="C229" t="str">
            <v>01015042</v>
          </cell>
          <cell r="D229" t="str">
            <v>A2</v>
          </cell>
          <cell r="E229" t="str">
            <v>- Có bài viết sáng kiến đạt PVAH cấp ngành (QĐ số 1720/QĐ-GDĐT ngày 21/8/2020)</v>
          </cell>
          <cell r="F229">
            <v>0</v>
          </cell>
          <cell r="G229">
            <v>0</v>
          </cell>
          <cell r="H229" t="str">
            <v>X</v>
          </cell>
          <cell r="I229">
            <v>0</v>
          </cell>
          <cell r="J229">
            <v>0</v>
          </cell>
          <cell r="K229">
            <v>0</v>
          </cell>
        </row>
        <row r="230">
          <cell r="C230" t="str">
            <v>01015005</v>
          </cell>
          <cell r="D230" t="str">
            <v>A3</v>
          </cell>
          <cell r="E230" t="str">
            <v>Bài tham luận cấp Khoa (Hội thảo khoa học Khoa Công nghệ Thông tin ngày 28/06/20)</v>
          </cell>
          <cell r="F230">
            <v>0</v>
          </cell>
          <cell r="G230">
            <v>0</v>
          </cell>
          <cell r="H230">
            <v>0</v>
          </cell>
          <cell r="I230">
            <v>0</v>
          </cell>
          <cell r="J230">
            <v>0</v>
          </cell>
          <cell r="K230">
            <v>0</v>
          </cell>
        </row>
        <row r="231">
          <cell r="C231" t="str">
            <v>01015022</v>
          </cell>
          <cell r="D231" t="str">
            <v>A2</v>
          </cell>
          <cell r="E231" t="str">
            <v>- Có bài viết đăng kỷ yếu hội thảo cấp trường (Hội thảo Quốc tế COSS 2020).
- Có bài viết sáng kiến đạt PVAH cấp ngành (QĐ số 1720/QĐ-GDĐT ngày 21/8/2020)</v>
          </cell>
          <cell r="F231" t="str">
            <v>Tham gia thực hiện đề tài NCKH cấp trường - Mã số đề tài: T2020-TN08 (Theo Biên bản họp HĐ nghiệm thu đề tài ngày 3/9/2021)</v>
          </cell>
          <cell r="G231">
            <v>0</v>
          </cell>
          <cell r="H231" t="str">
            <v>X</v>
          </cell>
          <cell r="I231">
            <v>0</v>
          </cell>
          <cell r="J231">
            <v>0</v>
          </cell>
          <cell r="K231">
            <v>0</v>
          </cell>
        </row>
        <row r="232">
          <cell r="C232" t="str">
            <v>01015018</v>
          </cell>
          <cell r="D232" t="str">
            <v>A3</v>
          </cell>
          <cell r="E232" t="str">
            <v xml:space="preserve">Đơn vị có Tờ trình đề nghị mức thi đua tối đa là A3 áp dụng từ tháng 6/2021 do GV có tham gia viết bài Hội thảo cấp khoa </v>
          </cell>
          <cell r="F232">
            <v>0</v>
          </cell>
          <cell r="G232">
            <v>0</v>
          </cell>
          <cell r="H232">
            <v>0</v>
          </cell>
          <cell r="I232">
            <v>0</v>
          </cell>
          <cell r="J232">
            <v>0</v>
          </cell>
          <cell r="K232">
            <v>0</v>
          </cell>
        </row>
        <row r="233">
          <cell r="C233" t="str">
            <v>01015023</v>
          </cell>
          <cell r="D233" t="str">
            <v>A2</v>
          </cell>
          <cell r="E233" t="str">
            <v>- Có bài viết sáng kiến đạt PVAH cấp ngành (QĐ số 1720/QĐ-GDĐT ngày 21/8/2020)</v>
          </cell>
          <cell r="F233">
            <v>0</v>
          </cell>
          <cell r="G233">
            <v>0</v>
          </cell>
          <cell r="H233" t="str">
            <v>X</v>
          </cell>
          <cell r="I233" t="str">
            <v>X</v>
          </cell>
          <cell r="J233">
            <v>0</v>
          </cell>
          <cell r="K233">
            <v>0</v>
          </cell>
        </row>
        <row r="234">
          <cell r="C234" t="str">
            <v>01015020</v>
          </cell>
          <cell r="D234" t="str">
            <v>A4</v>
          </cell>
          <cell r="E234">
            <v>0</v>
          </cell>
          <cell r="F234">
            <v>0</v>
          </cell>
          <cell r="G234">
            <v>0</v>
          </cell>
          <cell r="H234">
            <v>0</v>
          </cell>
          <cell r="I234">
            <v>0</v>
          </cell>
          <cell r="J234">
            <v>0</v>
          </cell>
          <cell r="K234">
            <v>0</v>
          </cell>
        </row>
        <row r="235">
          <cell r="C235" t="str">
            <v>01015041</v>
          </cell>
          <cell r="D235" t="str">
            <v>A3</v>
          </cell>
          <cell r="E235" t="str">
            <v xml:space="preserve">Đơn vị có Tờ trình đề nghị mức thi đua tối đa là A3 áp dụng từ tháng 6/2021 do GV có tham gia viết bài Hội thảo cấp khoa </v>
          </cell>
          <cell r="F235">
            <v>0</v>
          </cell>
          <cell r="G235">
            <v>0</v>
          </cell>
          <cell r="H235">
            <v>0</v>
          </cell>
          <cell r="I235">
            <v>0</v>
          </cell>
          <cell r="J235">
            <v>0</v>
          </cell>
          <cell r="K235">
            <v>0</v>
          </cell>
        </row>
        <row r="236">
          <cell r="C236" t="str">
            <v>01015001</v>
          </cell>
          <cell r="D236" t="str">
            <v>A2</v>
          </cell>
          <cell r="E236" t="str">
            <v>- Có bài viết đăng kỷ yếu hội thảo cấp trường (Hội thảo Quốc tế COSS 2020).
- Có bài viết sáng kiến đạt PVAH cấp ngành (QĐ số 1720/QĐ-GDĐT ngày 21/8/2020)</v>
          </cell>
          <cell r="F236">
            <v>0</v>
          </cell>
          <cell r="G236">
            <v>0</v>
          </cell>
          <cell r="H236" t="str">
            <v>X</v>
          </cell>
          <cell r="I236">
            <v>0</v>
          </cell>
          <cell r="J236">
            <v>0</v>
          </cell>
          <cell r="K236">
            <v>0</v>
          </cell>
        </row>
        <row r="237">
          <cell r="C237" t="str">
            <v>01015015</v>
          </cell>
          <cell r="D237" t="str">
            <v>A3</v>
          </cell>
          <cell r="E237" t="str">
            <v xml:space="preserve">Đơn vị có Tờ trình đề nghị mức thi đua tối đa là A3 áp dụng từ tháng 6/2021 do GV có tham gia viết bài Hội thảo cấp khoa </v>
          </cell>
          <cell r="F237">
            <v>0</v>
          </cell>
          <cell r="G237">
            <v>0</v>
          </cell>
          <cell r="H237">
            <v>0</v>
          </cell>
          <cell r="I237">
            <v>0</v>
          </cell>
          <cell r="J237">
            <v>0</v>
          </cell>
          <cell r="K237">
            <v>0</v>
          </cell>
        </row>
        <row r="238">
          <cell r="C238" t="str">
            <v>01015019</v>
          </cell>
          <cell r="D238" t="str">
            <v>A2</v>
          </cell>
          <cell r="E238" t="str">
            <v>- Có bài viết sáng kiến đạt PVAH cấp ngành (QĐ số 1720/QĐ-GDĐT ngày 21/8/2020)</v>
          </cell>
          <cell r="F238">
            <v>0</v>
          </cell>
          <cell r="G238">
            <v>0</v>
          </cell>
          <cell r="H238" t="str">
            <v>X</v>
          </cell>
          <cell r="I238">
            <v>0</v>
          </cell>
          <cell r="J238">
            <v>0</v>
          </cell>
          <cell r="K238">
            <v>0</v>
          </cell>
        </row>
        <row r="239">
          <cell r="C239" t="str">
            <v>01015013</v>
          </cell>
          <cell r="D239" t="str">
            <v>A3</v>
          </cell>
          <cell r="E239" t="str">
            <v>- Bài tham luận cấp Khoa (Hội thảo khoa học Khoa Công nghệ Thông tin ngày 28/06/20)</v>
          </cell>
          <cell r="F239">
            <v>0</v>
          </cell>
          <cell r="G239">
            <v>0</v>
          </cell>
          <cell r="H239">
            <v>0</v>
          </cell>
          <cell r="I239">
            <v>0</v>
          </cell>
          <cell r="J239">
            <v>0</v>
          </cell>
          <cell r="K239">
            <v>0</v>
          </cell>
        </row>
        <row r="240">
          <cell r="C240" t="str">
            <v>01015006</v>
          </cell>
          <cell r="D240" t="str">
            <v>A2</v>
          </cell>
          <cell r="E240" t="str">
            <v>- Có bài viết sáng kiến đạt PVAH cấp ngành (QĐ số 1720/QĐ-GDĐT ngày 21/8/2020)</v>
          </cell>
          <cell r="F240">
            <v>0</v>
          </cell>
          <cell r="G240">
            <v>0</v>
          </cell>
          <cell r="H240">
            <v>0</v>
          </cell>
          <cell r="I240" t="str">
            <v>X</v>
          </cell>
          <cell r="J240">
            <v>0</v>
          </cell>
          <cell r="K240">
            <v>0</v>
          </cell>
        </row>
        <row r="241">
          <cell r="C241" t="str">
            <v>01018001</v>
          </cell>
          <cell r="D241" t="str">
            <v>A2</v>
          </cell>
          <cell r="E241" t="str">
            <v>- Có bài viết sáng kiến đạt PVAH cấp ngành (QĐ số 1720/QĐ-GDĐT ngày 21/8/2020)</v>
          </cell>
          <cell r="F241">
            <v>0</v>
          </cell>
          <cell r="G241">
            <v>0</v>
          </cell>
          <cell r="H241">
            <v>0</v>
          </cell>
          <cell r="I241">
            <v>0</v>
          </cell>
          <cell r="J241">
            <v>0</v>
          </cell>
          <cell r="K241">
            <v>0</v>
          </cell>
        </row>
        <row r="242">
          <cell r="C242" t="str">
            <v>01015004</v>
          </cell>
          <cell r="D242" t="str">
            <v>A2</v>
          </cell>
          <cell r="E242" t="str">
            <v>- Có bài viết sáng kiến đạt PVAH cấp ngành (QĐ số 1720/QĐ-GDĐT ngày 21/8/2020)</v>
          </cell>
          <cell r="F242">
            <v>0</v>
          </cell>
          <cell r="G242">
            <v>0</v>
          </cell>
          <cell r="H242">
            <v>0</v>
          </cell>
          <cell r="I242" t="str">
            <v>X</v>
          </cell>
          <cell r="J242">
            <v>0</v>
          </cell>
          <cell r="K242">
            <v>0</v>
          </cell>
        </row>
        <row r="243">
          <cell r="C243" t="str">
            <v>01015010</v>
          </cell>
          <cell r="D243" t="str">
            <v>A3</v>
          </cell>
          <cell r="E243" t="str">
            <v xml:space="preserve">Đơn vị có Tờ trình đề nghị mức thi đua tối đa là A3 áp dụng từ tháng 6/2021 do GV có tham gia viết bài Hội thảo cấp khoa </v>
          </cell>
          <cell r="F243">
            <v>0</v>
          </cell>
          <cell r="G243">
            <v>0</v>
          </cell>
          <cell r="H243">
            <v>0</v>
          </cell>
          <cell r="I243">
            <v>0</v>
          </cell>
          <cell r="J243">
            <v>0</v>
          </cell>
          <cell r="K243">
            <v>0</v>
          </cell>
        </row>
        <row r="244">
          <cell r="C244" t="str">
            <v>01015017</v>
          </cell>
          <cell r="D244" t="str">
            <v>A3</v>
          </cell>
          <cell r="E244" t="str">
            <v xml:space="preserve">Đơn vị có Tờ trình đề nghị mức thi đua tối đa là A3 áp dụng từ tháng 6/2021 do GV có tham gia viết bài Hội thảo cấp khoa </v>
          </cell>
          <cell r="F244">
            <v>0</v>
          </cell>
          <cell r="G244">
            <v>0</v>
          </cell>
          <cell r="H244">
            <v>0</v>
          </cell>
          <cell r="I244">
            <v>0</v>
          </cell>
          <cell r="J244">
            <v>0</v>
          </cell>
          <cell r="K244">
            <v>0</v>
          </cell>
        </row>
        <row r="245">
          <cell r="C245" t="str">
            <v>01015016</v>
          </cell>
          <cell r="D245" t="str">
            <v>A3</v>
          </cell>
          <cell r="E245" t="str">
            <v xml:space="preserve">Đơn vị có Tờ trình đề nghị mức thi đua tối đa là A3 áp dụng từ tháng 6/2021 do GV có tham gia viết bài Hội thảo cấp khoa </v>
          </cell>
          <cell r="F245">
            <v>0</v>
          </cell>
          <cell r="G245">
            <v>0</v>
          </cell>
          <cell r="H245">
            <v>0</v>
          </cell>
          <cell r="I245">
            <v>0</v>
          </cell>
          <cell r="J245">
            <v>0</v>
          </cell>
          <cell r="K245">
            <v>0</v>
          </cell>
        </row>
        <row r="246">
          <cell r="C246" t="str">
            <v>01015031</v>
          </cell>
          <cell r="D246" t="str">
            <v>A3</v>
          </cell>
          <cell r="E246" t="str">
            <v xml:space="preserve">Đơn vị có Tờ trình đề nghị mức thi đua tối đa là A3 áp dụng từ tháng 6/2021 do GV có tham gia viết bài Hội thảo cấp khoa </v>
          </cell>
          <cell r="F246">
            <v>0</v>
          </cell>
          <cell r="G246">
            <v>0</v>
          </cell>
          <cell r="H246">
            <v>0</v>
          </cell>
          <cell r="I246">
            <v>0</v>
          </cell>
          <cell r="J246">
            <v>0</v>
          </cell>
          <cell r="K246">
            <v>0</v>
          </cell>
        </row>
        <row r="247">
          <cell r="C247" t="str">
            <v>01015025</v>
          </cell>
          <cell r="D247" t="str">
            <v>A2</v>
          </cell>
          <cell r="E247" t="str">
            <v>Có bài viết sáng kiến đạt PVAH cấp ngành (QĐ số 1720/QĐ-GDĐT ngày 21/8/2020)</v>
          </cell>
          <cell r="F247">
            <v>0</v>
          </cell>
          <cell r="G247">
            <v>0</v>
          </cell>
          <cell r="H247">
            <v>0</v>
          </cell>
          <cell r="I247" t="str">
            <v>X</v>
          </cell>
          <cell r="J247">
            <v>0</v>
          </cell>
          <cell r="K247">
            <v>0</v>
          </cell>
        </row>
        <row r="248">
          <cell r="C248" t="str">
            <v>01017001</v>
          </cell>
          <cell r="D248" t="str">
            <v>A2</v>
          </cell>
          <cell r="E248" t="str">
            <v>- Có bài viết đăng kỷ yếu hội thảo cấp trường (Hội thảo Quốc tế COSS 2020).
- Có bài viết sáng kiến đạt PVAH cấp ngành (QĐ số 1720/QĐ-GDĐT ngày 21/8/2020)</v>
          </cell>
          <cell r="F248">
            <v>0</v>
          </cell>
          <cell r="G248">
            <v>0</v>
          </cell>
          <cell r="H248" t="str">
            <v>X</v>
          </cell>
          <cell r="I248">
            <v>0</v>
          </cell>
          <cell r="J248">
            <v>0</v>
          </cell>
          <cell r="K248">
            <v>0</v>
          </cell>
        </row>
        <row r="249">
          <cell r="C249" t="str">
            <v>01015012</v>
          </cell>
          <cell r="D249" t="str">
            <v>A2</v>
          </cell>
          <cell r="E249" t="str">
            <v>- Có bài viết sáng kiến đạt PVAH cấp ngành (QĐ số 1720/QĐ-GDĐT ngày 21/8/2020)</v>
          </cell>
          <cell r="F249">
            <v>0</v>
          </cell>
          <cell r="G249">
            <v>0</v>
          </cell>
          <cell r="H249">
            <v>0</v>
          </cell>
          <cell r="I249">
            <v>0</v>
          </cell>
          <cell r="J249">
            <v>0</v>
          </cell>
          <cell r="K249">
            <v>0</v>
          </cell>
        </row>
        <row r="250">
          <cell r="C250" t="str">
            <v>01015008</v>
          </cell>
          <cell r="D250" t="str">
            <v>A2</v>
          </cell>
          <cell r="E250" t="str">
            <v>- Có bài viết đăng kỷ yếu hội thảo cấp trường (Hội thảo Quốc tế COSS 2020).</v>
          </cell>
          <cell r="F250">
            <v>0</v>
          </cell>
          <cell r="G250">
            <v>0</v>
          </cell>
          <cell r="H250" t="str">
            <v>X</v>
          </cell>
          <cell r="I250">
            <v>0</v>
          </cell>
          <cell r="J250">
            <v>0</v>
          </cell>
          <cell r="K250">
            <v>0</v>
          </cell>
        </row>
        <row r="251">
          <cell r="C251" t="str">
            <v>01015021</v>
          </cell>
          <cell r="D251" t="str">
            <v>A4</v>
          </cell>
          <cell r="E251">
            <v>0</v>
          </cell>
          <cell r="F251">
            <v>0</v>
          </cell>
          <cell r="G251">
            <v>0</v>
          </cell>
          <cell r="H251">
            <v>0</v>
          </cell>
          <cell r="I251">
            <v>0</v>
          </cell>
          <cell r="J251">
            <v>0</v>
          </cell>
          <cell r="K251">
            <v>0</v>
          </cell>
        </row>
        <row r="252">
          <cell r="C252">
            <v>0</v>
          </cell>
          <cell r="D252">
            <v>4</v>
          </cell>
          <cell r="E252">
            <v>0</v>
          </cell>
          <cell r="F252">
            <v>0</v>
          </cell>
          <cell r="G252">
            <v>0</v>
          </cell>
          <cell r="H252">
            <v>0</v>
          </cell>
          <cell r="I252">
            <v>0</v>
          </cell>
          <cell r="J252">
            <v>0</v>
          </cell>
          <cell r="K252">
            <v>0</v>
          </cell>
        </row>
        <row r="253">
          <cell r="C253">
            <v>0</v>
          </cell>
          <cell r="D253">
            <v>4</v>
          </cell>
          <cell r="E253">
            <v>0</v>
          </cell>
          <cell r="F253">
            <v>0</v>
          </cell>
          <cell r="G253">
            <v>0</v>
          </cell>
          <cell r="H253">
            <v>0</v>
          </cell>
          <cell r="I253">
            <v>0</v>
          </cell>
          <cell r="J253">
            <v>0</v>
          </cell>
          <cell r="K253">
            <v>0</v>
          </cell>
        </row>
        <row r="254">
          <cell r="C254" t="str">
            <v>01013003</v>
          </cell>
          <cell r="D254" t="str">
            <v>A1</v>
          </cell>
          <cell r="E254" t="str">
            <v>- Tham gia Đề án hợp tác đào tạo trình độ cao đẳng chất lượng cao giữa Trường CĐ Lý Tự Trọng Tp.HCM với công ty TNHH Sản xuất và Kinh doanh VINFAST (QĐ số 496A/QĐ-LTT-ĐT ngày 30/5/2020)</v>
          </cell>
          <cell r="F254" t="str">
            <v>Tham gia thực hiện đề tài NCKH cấp trường. Mã số đề tài: T2020-TN03; T2020-TN04 (Theo Biên bản họp HĐ nghiệm thu đề tài ngày 14/9/2021)</v>
          </cell>
          <cell r="G254">
            <v>0</v>
          </cell>
          <cell r="H254" t="str">
            <v>X</v>
          </cell>
          <cell r="I254" t="str">
            <v>X</v>
          </cell>
          <cell r="J254">
            <v>0</v>
          </cell>
          <cell r="K254">
            <v>0</v>
          </cell>
        </row>
        <row r="255">
          <cell r="C255" t="str">
            <v>01013002</v>
          </cell>
          <cell r="D255" t="str">
            <v>A1</v>
          </cell>
          <cell r="E255" t="str">
            <v>- Tham gia Đề án hợp tác đào tạo trình độ cao đẳng chất lượng cao giữa Trường CĐ Lý Tự Trọng Tp.HCM với công ty TNHH Sản xuất và Kinh doanh VINFAST (QĐ số 496A/QĐ-LTT-ĐT ngày 30/5/2020)</v>
          </cell>
          <cell r="F255">
            <v>0</v>
          </cell>
          <cell r="G255">
            <v>0</v>
          </cell>
          <cell r="H255" t="str">
            <v>X</v>
          </cell>
          <cell r="I255">
            <v>0</v>
          </cell>
          <cell r="J255">
            <v>0</v>
          </cell>
          <cell r="K255">
            <v>0</v>
          </cell>
        </row>
        <row r="256">
          <cell r="C256" t="str">
            <v>01013004</v>
          </cell>
          <cell r="D256" t="str">
            <v>A1</v>
          </cell>
          <cell r="E256" t="str">
            <v>- Có bài báo đăng trên tạp chí quốc tế International Journal of Advances in Engineering anh Management (IJAEM) ngày 24/9/2020
- Có bài báo đăng trên tạp chí quốc tế International Journal of Engineering and Advance Technology Studies Vol 8, No.3, PP: 27-35,  ISSN 2053 - 5783, 10/2020</v>
          </cell>
          <cell r="F256">
            <v>0</v>
          </cell>
          <cell r="G256">
            <v>0</v>
          </cell>
          <cell r="H256" t="str">
            <v>X</v>
          </cell>
          <cell r="I256" t="str">
            <v>X</v>
          </cell>
          <cell r="J256">
            <v>0</v>
          </cell>
          <cell r="K256">
            <v>0</v>
          </cell>
        </row>
        <row r="257">
          <cell r="C257" t="str">
            <v>01013021</v>
          </cell>
          <cell r="D257" t="str">
            <v>A3</v>
          </cell>
          <cell r="E257" t="str">
            <v>- Có bài viết sáng kiến được nhà trường công nhận</v>
          </cell>
          <cell r="F257">
            <v>0</v>
          </cell>
          <cell r="G257">
            <v>0</v>
          </cell>
          <cell r="H257" t="str">
            <v>X</v>
          </cell>
          <cell r="I257">
            <v>0</v>
          </cell>
          <cell r="J257">
            <v>0</v>
          </cell>
          <cell r="K257">
            <v>0</v>
          </cell>
        </row>
        <row r="258">
          <cell r="C258" t="str">
            <v>01013006</v>
          </cell>
          <cell r="D258" t="str">
            <v>A1</v>
          </cell>
          <cell r="E258" t="str">
            <v>- Có bài viết đăng kỷ yếu hội thảo cấp trường (Hội thảo Quốc tế COSS 2020).
- Tham gia chuẩn đầu ra ngành CN Mạ</v>
          </cell>
          <cell r="F258">
            <v>0</v>
          </cell>
          <cell r="G258">
            <v>0</v>
          </cell>
          <cell r="H258" t="str">
            <v>X</v>
          </cell>
          <cell r="I258">
            <v>0</v>
          </cell>
          <cell r="J258">
            <v>0</v>
          </cell>
          <cell r="K258">
            <v>0</v>
          </cell>
        </row>
        <row r="259">
          <cell r="C259" t="str">
            <v>01013018</v>
          </cell>
          <cell r="D259" t="str">
            <v>A3</v>
          </cell>
          <cell r="E259" t="str">
            <v>- Có bài viết sáng kiến được nhà trường công nhận</v>
          </cell>
          <cell r="F259">
            <v>0</v>
          </cell>
          <cell r="G259">
            <v>0</v>
          </cell>
          <cell r="H259" t="str">
            <v>X</v>
          </cell>
          <cell r="I259">
            <v>0</v>
          </cell>
          <cell r="J259">
            <v>0</v>
          </cell>
          <cell r="K259">
            <v>0</v>
          </cell>
        </row>
        <row r="260">
          <cell r="C260" t="str">
            <v>01013019</v>
          </cell>
          <cell r="D260" t="str">
            <v>A2</v>
          </cell>
          <cell r="E260" t="str">
            <v>- Có bài viết đăng kỷ yếu hội thảo cấp trường (Hội thảo Quốc tế COSS 2020).</v>
          </cell>
          <cell r="F260">
            <v>0</v>
          </cell>
          <cell r="G260">
            <v>0</v>
          </cell>
          <cell r="H260" t="str">
            <v>X</v>
          </cell>
          <cell r="I260">
            <v>0</v>
          </cell>
          <cell r="J260">
            <v>0</v>
          </cell>
          <cell r="K260">
            <v>0</v>
          </cell>
        </row>
        <row r="261">
          <cell r="C261" t="str">
            <v>01013016</v>
          </cell>
          <cell r="D261" t="str">
            <v>A3</v>
          </cell>
          <cell r="E261" t="str">
            <v>Có bài viết sáng kiến được nhà trường công nhận</v>
          </cell>
          <cell r="F261">
            <v>0</v>
          </cell>
          <cell r="G261">
            <v>0</v>
          </cell>
          <cell r="H261" t="str">
            <v>X</v>
          </cell>
          <cell r="I261">
            <v>0</v>
          </cell>
          <cell r="J261">
            <v>0</v>
          </cell>
          <cell r="K261">
            <v>0</v>
          </cell>
        </row>
        <row r="262">
          <cell r="C262" t="str">
            <v>01013017</v>
          </cell>
          <cell r="D262" t="str">
            <v>A3</v>
          </cell>
          <cell r="E262" t="str">
            <v>Có bài viết sáng kiến được nhà trường công nhận</v>
          </cell>
          <cell r="F262">
            <v>0</v>
          </cell>
          <cell r="G262">
            <v>0</v>
          </cell>
          <cell r="H262">
            <v>0</v>
          </cell>
          <cell r="I262">
            <v>0</v>
          </cell>
          <cell r="J262">
            <v>0</v>
          </cell>
          <cell r="K262">
            <v>0</v>
          </cell>
        </row>
        <row r="263">
          <cell r="C263" t="str">
            <v>01013027</v>
          </cell>
          <cell r="D263" t="str">
            <v>A3</v>
          </cell>
          <cell r="E263" t="str">
            <v>- Có bài viết sáng kiến được nhà trường công nhận</v>
          </cell>
          <cell r="F263">
            <v>0</v>
          </cell>
          <cell r="G263">
            <v>0</v>
          </cell>
          <cell r="H263">
            <v>0</v>
          </cell>
          <cell r="I263">
            <v>0</v>
          </cell>
          <cell r="J263">
            <v>0</v>
          </cell>
          <cell r="K263">
            <v>0</v>
          </cell>
        </row>
        <row r="264">
          <cell r="C264" t="str">
            <v>01013026</v>
          </cell>
          <cell r="D264" t="str">
            <v>A3</v>
          </cell>
          <cell r="E264" t="str">
            <v>Có bài viết sáng kiến được nhà trường công nhận</v>
          </cell>
          <cell r="F264">
            <v>0</v>
          </cell>
          <cell r="G264">
            <v>0</v>
          </cell>
          <cell r="H264" t="str">
            <v>X</v>
          </cell>
          <cell r="I264" t="str">
            <v>X</v>
          </cell>
          <cell r="J264">
            <v>0</v>
          </cell>
          <cell r="K264">
            <v>0</v>
          </cell>
        </row>
        <row r="265">
          <cell r="C265" t="str">
            <v>01013029</v>
          </cell>
          <cell r="D265" t="str">
            <v>A3</v>
          </cell>
          <cell r="E265" t="str">
            <v>Có bài viết sáng kiến được nhà trường công nhận</v>
          </cell>
          <cell r="F265">
            <v>0</v>
          </cell>
          <cell r="G265">
            <v>0</v>
          </cell>
          <cell r="H265" t="str">
            <v>X</v>
          </cell>
          <cell r="I265" t="str">
            <v>X</v>
          </cell>
          <cell r="J265">
            <v>0</v>
          </cell>
          <cell r="K265">
            <v>0</v>
          </cell>
        </row>
        <row r="266">
          <cell r="C266" t="str">
            <v>01013028</v>
          </cell>
          <cell r="D266" t="str">
            <v>A3</v>
          </cell>
          <cell r="E266" t="str">
            <v>Có bài viết sáng kiến được nhà trường công nhận</v>
          </cell>
          <cell r="F266">
            <v>0</v>
          </cell>
          <cell r="G266">
            <v>0</v>
          </cell>
          <cell r="H266" t="str">
            <v>X</v>
          </cell>
          <cell r="I266">
            <v>0</v>
          </cell>
          <cell r="J266">
            <v>0</v>
          </cell>
          <cell r="K266">
            <v>0</v>
          </cell>
        </row>
        <row r="267">
          <cell r="C267" t="str">
            <v>01013005</v>
          </cell>
          <cell r="D267" t="str">
            <v>A3</v>
          </cell>
          <cell r="E267" t="str">
            <v>- Tham gia đề tài NCKH cấp trường. (tính năm sau)
- Có bài viết sáng kiến được nhà trường công nhận</v>
          </cell>
          <cell r="F267">
            <v>0</v>
          </cell>
          <cell r="G267">
            <v>0</v>
          </cell>
          <cell r="H267" t="str">
            <v>X</v>
          </cell>
          <cell r="I267">
            <v>0</v>
          </cell>
          <cell r="J267">
            <v>0</v>
          </cell>
          <cell r="K267">
            <v>0</v>
          </cell>
        </row>
        <row r="268">
          <cell r="C268" t="str">
            <v>01013022</v>
          </cell>
          <cell r="D268" t="str">
            <v>A2</v>
          </cell>
          <cell r="E268" t="str">
            <v>- Có bài viết đăng kỷ yếu hội thảo cấp trường (Hội thảo Quốc tế COSS 2020).</v>
          </cell>
          <cell r="F268">
            <v>0</v>
          </cell>
          <cell r="G268">
            <v>0</v>
          </cell>
          <cell r="H268">
            <v>0</v>
          </cell>
          <cell r="I268">
            <v>0</v>
          </cell>
          <cell r="J268">
            <v>0</v>
          </cell>
          <cell r="K268">
            <v>0</v>
          </cell>
        </row>
        <row r="269">
          <cell r="C269" t="str">
            <v>01013047</v>
          </cell>
          <cell r="D269" t="str">
            <v>A3</v>
          </cell>
          <cell r="E269" t="str">
            <v>Có bài viết sáng kiến được nhà trường công nhận</v>
          </cell>
          <cell r="F269">
            <v>0</v>
          </cell>
          <cell r="G269">
            <v>0</v>
          </cell>
          <cell r="H269">
            <v>0</v>
          </cell>
          <cell r="I269">
            <v>0</v>
          </cell>
          <cell r="J269">
            <v>0</v>
          </cell>
          <cell r="K269">
            <v>0</v>
          </cell>
        </row>
        <row r="270">
          <cell r="C270" t="str">
            <v>01013070</v>
          </cell>
          <cell r="D270" t="str">
            <v>A3</v>
          </cell>
          <cell r="E270" t="str">
            <v>Có bài viết sáng kiến được nhà trường công nhận</v>
          </cell>
          <cell r="F270">
            <v>0</v>
          </cell>
          <cell r="G270">
            <v>0</v>
          </cell>
          <cell r="H270">
            <v>0</v>
          </cell>
          <cell r="I270">
            <v>0</v>
          </cell>
          <cell r="J270">
            <v>0</v>
          </cell>
          <cell r="K270">
            <v>0</v>
          </cell>
        </row>
        <row r="271">
          <cell r="C271" t="str">
            <v>01014047</v>
          </cell>
          <cell r="D271" t="str">
            <v>A3</v>
          </cell>
          <cell r="E271" t="str">
            <v>- Có bài viết sáng kiến được nhà trường công nhận</v>
          </cell>
          <cell r="F271" t="str">
            <v>Tham gia thực hiện đề tài NCKH cấp trường. Mã số đề tài: T2020-TN03; T2020-TN04 (Theo Biên bản họp HĐ nghiệm thu đề tài ngày 14/9/2021)</v>
          </cell>
          <cell r="G271">
            <v>0</v>
          </cell>
          <cell r="H271">
            <v>0</v>
          </cell>
          <cell r="I271">
            <v>0</v>
          </cell>
          <cell r="J271">
            <v>0</v>
          </cell>
          <cell r="K271">
            <v>0</v>
          </cell>
        </row>
        <row r="272">
          <cell r="C272" t="str">
            <v>01013079</v>
          </cell>
          <cell r="D272" t="str">
            <v>A2</v>
          </cell>
          <cell r="E272" t="str">
            <v>- Có bài viết đăng kỷ yếu hội thảo cấp trường (Hội thảo Quốc tế COSS 2020).</v>
          </cell>
          <cell r="F272">
            <v>0</v>
          </cell>
          <cell r="G272">
            <v>0</v>
          </cell>
          <cell r="H272">
            <v>0</v>
          </cell>
          <cell r="I272">
            <v>0</v>
          </cell>
          <cell r="J272">
            <v>0</v>
          </cell>
          <cell r="K272">
            <v>0</v>
          </cell>
        </row>
        <row r="273">
          <cell r="C273" t="str">
            <v>01013087</v>
          </cell>
          <cell r="D273" t="str">
            <v>A3</v>
          </cell>
          <cell r="E273" t="str">
            <v>Có bài viết Hội thảo cấp khoa trong tháng 03/2021</v>
          </cell>
          <cell r="F273" t="str">
            <v>Tham gia thực hiện đề tài NCKH cấp trường. Mã số đề tài: T2020-TN03; T2020-TN04 (Theo Biên bản họp HĐ nghiệm thu đề tài ngày 14/9/2021)</v>
          </cell>
          <cell r="G273">
            <v>0</v>
          </cell>
          <cell r="H273">
            <v>0</v>
          </cell>
          <cell r="I273">
            <v>0</v>
          </cell>
          <cell r="J273">
            <v>0</v>
          </cell>
          <cell r="K273">
            <v>0</v>
          </cell>
        </row>
        <row r="274">
          <cell r="C274" t="str">
            <v>01013061</v>
          </cell>
          <cell r="D274" t="str">
            <v>A1</v>
          </cell>
          <cell r="E274" t="str">
            <v>Có tham gia xây dựng chuẩn đầu ra ngành công nghệ sơn tĩnh điện</v>
          </cell>
          <cell r="F274" t="str">
            <v>Tham gia thực hiện đề tài NCKH cấp trường. Mã số đề tài: T2020-TN03; T2020-TN04 (Theo Biên bản họp HĐ nghiệm thu đề tài ngày 14/9/2021)</v>
          </cell>
          <cell r="G274">
            <v>0</v>
          </cell>
          <cell r="H274" t="str">
            <v>X</v>
          </cell>
          <cell r="I274" t="str">
            <v>X</v>
          </cell>
          <cell r="J274">
            <v>0</v>
          </cell>
          <cell r="K274">
            <v>0</v>
          </cell>
        </row>
        <row r="275">
          <cell r="C275" t="str">
            <v>01013094</v>
          </cell>
          <cell r="D275" t="str">
            <v>A3</v>
          </cell>
          <cell r="E275" t="str">
            <v>Có bài viết Hội thảo cấp khoa trong tháng 03/2021</v>
          </cell>
          <cell r="F275">
            <v>0</v>
          </cell>
          <cell r="G275">
            <v>0</v>
          </cell>
          <cell r="H275">
            <v>0</v>
          </cell>
          <cell r="I275">
            <v>0</v>
          </cell>
          <cell r="J275">
            <v>0</v>
          </cell>
          <cell r="K275">
            <v>0</v>
          </cell>
        </row>
        <row r="276">
          <cell r="C276" t="str">
            <v>01013120</v>
          </cell>
          <cell r="D276" t="str">
            <v>A4</v>
          </cell>
          <cell r="E276" t="str">
            <v>Tham gia đề án xây dựng nhà trường thông minh</v>
          </cell>
          <cell r="F276">
            <v>0</v>
          </cell>
          <cell r="G276">
            <v>0</v>
          </cell>
          <cell r="H276" t="str">
            <v>X</v>
          </cell>
          <cell r="I276">
            <v>0</v>
          </cell>
          <cell r="J276">
            <v>0</v>
          </cell>
          <cell r="K276">
            <v>0</v>
          </cell>
        </row>
        <row r="277">
          <cell r="C277" t="str">
            <v>01013117</v>
          </cell>
          <cell r="D277" t="str">
            <v>A4</v>
          </cell>
          <cell r="E277">
            <v>0</v>
          </cell>
          <cell r="F277">
            <v>0</v>
          </cell>
          <cell r="G277">
            <v>0</v>
          </cell>
          <cell r="H277">
            <v>0</v>
          </cell>
          <cell r="I277">
            <v>0</v>
          </cell>
          <cell r="J277">
            <v>0</v>
          </cell>
          <cell r="K277">
            <v>0</v>
          </cell>
        </row>
        <row r="278">
          <cell r="C278">
            <v>0</v>
          </cell>
          <cell r="D278">
            <v>0</v>
          </cell>
          <cell r="E278">
            <v>0</v>
          </cell>
          <cell r="F278">
            <v>0</v>
          </cell>
          <cell r="G278">
            <v>0</v>
          </cell>
          <cell r="H278">
            <v>0</v>
          </cell>
          <cell r="I278">
            <v>0</v>
          </cell>
          <cell r="J278">
            <v>0</v>
          </cell>
          <cell r="K278">
            <v>0</v>
          </cell>
        </row>
        <row r="279">
          <cell r="C279" t="str">
            <v>01013096</v>
          </cell>
          <cell r="D279" t="str">
            <v>A1</v>
          </cell>
          <cell r="E279" t="str">
            <v>- Tham gia viết chuẩn đầu ra 2 ngành sơn tĩnh điện và CN Mạ
- Thực hiện đề án phát triển nhà trường
- Tham gia đề án nhận diện thương hiệu trường
- Tham gia đề án xây dựng nhà trường thông minh</v>
          </cell>
          <cell r="F279">
            <v>0</v>
          </cell>
          <cell r="G279">
            <v>0</v>
          </cell>
          <cell r="H279" t="str">
            <v>X</v>
          </cell>
          <cell r="I279">
            <v>0</v>
          </cell>
          <cell r="J279">
            <v>0</v>
          </cell>
          <cell r="K279">
            <v>0</v>
          </cell>
        </row>
        <row r="280">
          <cell r="C280">
            <v>0</v>
          </cell>
          <cell r="D280">
            <v>7</v>
          </cell>
          <cell r="E280">
            <v>0</v>
          </cell>
          <cell r="F280">
            <v>0</v>
          </cell>
          <cell r="G280">
            <v>0</v>
          </cell>
          <cell r="H280">
            <v>0</v>
          </cell>
          <cell r="I280">
            <v>0</v>
          </cell>
          <cell r="J280">
            <v>0</v>
          </cell>
          <cell r="K280">
            <v>0</v>
          </cell>
        </row>
        <row r="281">
          <cell r="C281">
            <v>0</v>
          </cell>
          <cell r="D281">
            <v>7</v>
          </cell>
          <cell r="E281">
            <v>0</v>
          </cell>
          <cell r="F281">
            <v>0</v>
          </cell>
          <cell r="G281">
            <v>0</v>
          </cell>
          <cell r="H281">
            <v>0</v>
          </cell>
          <cell r="I281">
            <v>0</v>
          </cell>
          <cell r="J281">
            <v>0</v>
          </cell>
          <cell r="K281">
            <v>0</v>
          </cell>
        </row>
        <row r="282">
          <cell r="C282" t="str">
            <v>01014002</v>
          </cell>
          <cell r="D282" t="str">
            <v>A1</v>
          </cell>
          <cell r="E282" t="str">
            <v>- Tham gia Đề án hợp tác đào tạo trình độ cao đẳng chất lượng cao giữa Trường CĐ Lý Tự Trọng Tp.HCM với công ty TNHH Sản xuất và Kinh doanh VINFAST (QĐ số 496A/QĐ-LTT-ĐT ngày 30/5/2020)</v>
          </cell>
          <cell r="F282" t="str">
            <v xml:space="preserve">- Chủ nhiệm đề tài NCKH cấp trường - Mã số đề tài: T2020-TN06; T2020-TN07 (Theo Biên bản họp HĐ nghiệm thu đề tài ngày 3/9/2021)
- GV có bài báo đăng trên tạp chí quốc tế vào tháng 4/2021. Chỉ số ISSN: 2395-3470; www.ijseas.com </v>
          </cell>
          <cell r="G282">
            <v>0</v>
          </cell>
          <cell r="H282" t="str">
            <v>X</v>
          </cell>
          <cell r="I282" t="str">
            <v>X</v>
          </cell>
          <cell r="J282">
            <v>0</v>
          </cell>
          <cell r="K282">
            <v>0</v>
          </cell>
        </row>
        <row r="283">
          <cell r="C283" t="str">
            <v>01014004</v>
          </cell>
          <cell r="D283" t="str">
            <v>A1</v>
          </cell>
          <cell r="E283" t="str">
            <v>- Tham gia 1 đề tài NCKH cấp trường (NGHIỆM THU 01/2021)
- Có bài viết sáng kiến đạt PVAH cấp ngành (QĐ số 1720/QĐ-GDĐT-VP ngày 21/8/2020)
- Có bài viết đăng kỷ yếu hội thảo cấp trường (Hội thảo Quốc tế COSS 2020).</v>
          </cell>
          <cell r="F283">
            <v>0</v>
          </cell>
          <cell r="G283">
            <v>0</v>
          </cell>
          <cell r="H283" t="str">
            <v>X</v>
          </cell>
          <cell r="I283" t="str">
            <v>X</v>
          </cell>
          <cell r="J283">
            <v>0</v>
          </cell>
          <cell r="K283">
            <v>0</v>
          </cell>
        </row>
        <row r="284">
          <cell r="C284" t="str">
            <v>01023003</v>
          </cell>
          <cell r="D284" t="str">
            <v>A2</v>
          </cell>
          <cell r="E284" t="str">
            <v>- Có bài viết sáng kiến đạt PVAH cấp ngành (QĐ số 1720/QĐ-GDĐT-VP ngày 21/8/2020)
- Có bài viết đăng kỷ yếu hội thảo cấp trường (Hội thảo Quốc tế COSS 2020).</v>
          </cell>
          <cell r="F284">
            <v>0</v>
          </cell>
          <cell r="G284">
            <v>0</v>
          </cell>
          <cell r="H284" t="str">
            <v>X</v>
          </cell>
          <cell r="I284" t="str">
            <v>X</v>
          </cell>
          <cell r="J284">
            <v>0</v>
          </cell>
          <cell r="K284">
            <v>0</v>
          </cell>
        </row>
        <row r="285">
          <cell r="C285" t="str">
            <v>01014008</v>
          </cell>
          <cell r="D285" t="str">
            <v>A2</v>
          </cell>
          <cell r="E285" t="str">
            <v>- Có bài viết sáng kiến đạt PVAH cấp ngành (QĐ số 1720/QĐ-GDĐT-VP ngày 21/8/2020)
- Có bài viết đăng kỷ yếu hội thảo cấp trường (Hội thảo Quốc tế COSS 2020).</v>
          </cell>
          <cell r="F285">
            <v>0</v>
          </cell>
          <cell r="G285">
            <v>0</v>
          </cell>
          <cell r="H285" t="str">
            <v>X</v>
          </cell>
          <cell r="I285">
            <v>0</v>
          </cell>
          <cell r="J285">
            <v>0</v>
          </cell>
          <cell r="K285">
            <v>0</v>
          </cell>
        </row>
        <row r="286">
          <cell r="C286" t="str">
            <v>01014007</v>
          </cell>
          <cell r="D286" t="str">
            <v>A1</v>
          </cell>
          <cell r="E286" t="str">
            <v>Tham gia 1 đề tài NCKH cấp trường (QĐ số 1581/QĐ-LTTQLKH 23/12/2019)
- Có bài viết đăng kỷ yếu hội thảo cấp trường (Hội thảo Quốc tế COSS 2020).</v>
          </cell>
          <cell r="F286" t="str">
            <v>- Tham gia thực hiện đề tài NCKH cấp trường - Mã số đề tài: T2020-TN07 (Theo Biên bản họp HĐ nghiệm thu đề tài ngày 3/9/2021)
- GV có bài báo đăng trên tạp chí quốc tế vào tháng 4/2021. Chỉ số ISSN: 2395-3470; www.ijseas.com</v>
          </cell>
          <cell r="G286">
            <v>0</v>
          </cell>
          <cell r="H286" t="str">
            <v>X</v>
          </cell>
          <cell r="I286">
            <v>0</v>
          </cell>
          <cell r="J286">
            <v>0</v>
          </cell>
          <cell r="K286">
            <v>0</v>
          </cell>
        </row>
        <row r="287">
          <cell r="C287" t="str">
            <v>01014038</v>
          </cell>
          <cell r="D287" t="str">
            <v>A1</v>
          </cell>
          <cell r="E287" t="str">
            <v>- Tham gia Đề án hợp tác đào tạo trình độ cao đẳng chất lượng cao giữa Trường CĐ Lý Tự Trọng Tp.HCM với công ty TNHH Sản xuất và Kinh doanh VINFAST (QĐ số 496A/QĐ-LTT-ĐT ngày 30/5/2020)</v>
          </cell>
          <cell r="F287" t="str">
            <v>Chủ nhiệm đề tài NCKH cấp trường - Mã số đề tài: T2020-TN08 (Theo Biên bản họp HĐ nghiệm thu đề tài ngày 3/9/2021)</v>
          </cell>
          <cell r="G287">
            <v>0</v>
          </cell>
          <cell r="H287" t="str">
            <v>X</v>
          </cell>
          <cell r="I287" t="str">
            <v>X</v>
          </cell>
          <cell r="J287">
            <v>0</v>
          </cell>
          <cell r="K287">
            <v>0</v>
          </cell>
        </row>
        <row r="288">
          <cell r="C288" t="str">
            <v>01014005</v>
          </cell>
          <cell r="D288" t="str">
            <v>A2</v>
          </cell>
          <cell r="E288" t="str">
            <v>- Có bài viết đăng kỷ yếu hội thảo cấp trường (Hội thảo Quốc tế COSS 2020).</v>
          </cell>
          <cell r="F288">
            <v>0</v>
          </cell>
          <cell r="G288">
            <v>0</v>
          </cell>
          <cell r="H288" t="str">
            <v>X</v>
          </cell>
          <cell r="I288">
            <v>0</v>
          </cell>
          <cell r="J288">
            <v>0</v>
          </cell>
          <cell r="K288">
            <v>0</v>
          </cell>
        </row>
        <row r="289">
          <cell r="C289" t="str">
            <v>01014046</v>
          </cell>
          <cell r="D289" t="str">
            <v>A2</v>
          </cell>
          <cell r="E289" t="str">
            <v>- Có bài viết đăng kỷ yếu hội thảo cấp trường (Hội thảo Quốc tế COSS 2020).</v>
          </cell>
          <cell r="F289" t="str">
            <v>Tham gia thực hiện đề tài NCKH cấp trường - Mã số đề tài: T2020-TN07 (Theo Biên bản họp HĐ nghiệm thu đề tài ngày 3/9/2021)</v>
          </cell>
          <cell r="G289">
            <v>0</v>
          </cell>
          <cell r="H289" t="str">
            <v>X</v>
          </cell>
          <cell r="I289" t="str">
            <v>X</v>
          </cell>
          <cell r="J289">
            <v>0</v>
          </cell>
          <cell r="K289">
            <v>0</v>
          </cell>
        </row>
        <row r="290">
          <cell r="C290" t="str">
            <v>01014026</v>
          </cell>
          <cell r="D290" t="str">
            <v>A3</v>
          </cell>
          <cell r="E290" t="str">
            <v>- Có bài viết đăng kỷ yếu hội thảo cấp khoa  19/06/2020</v>
          </cell>
          <cell r="F290">
            <v>0</v>
          </cell>
          <cell r="G290">
            <v>0</v>
          </cell>
          <cell r="H290">
            <v>0</v>
          </cell>
          <cell r="I290">
            <v>0</v>
          </cell>
          <cell r="J290">
            <v>0</v>
          </cell>
          <cell r="K290">
            <v>0</v>
          </cell>
        </row>
        <row r="291">
          <cell r="C291" t="str">
            <v>01014029</v>
          </cell>
          <cell r="D291" t="str">
            <v>A3</v>
          </cell>
          <cell r="E291" t="str">
            <v>- Có bài viết đăng kỷ yếu hội thảo cấp khoa  19/06/2020</v>
          </cell>
          <cell r="F291">
            <v>0</v>
          </cell>
          <cell r="G291">
            <v>0</v>
          </cell>
          <cell r="H291">
            <v>0</v>
          </cell>
          <cell r="I291">
            <v>0</v>
          </cell>
          <cell r="J291">
            <v>0</v>
          </cell>
          <cell r="K291">
            <v>0</v>
          </cell>
        </row>
        <row r="292">
          <cell r="C292" t="str">
            <v>01014033</v>
          </cell>
          <cell r="D292" t="str">
            <v>A1</v>
          </cell>
          <cell r="E292" t="str">
            <v xml:space="preserve">Tham gia 1 đề tài NCKH cấp trường (QĐ số 1581/QĐ-LTTQLKH 23/12/2019) </v>
          </cell>
          <cell r="F292" t="str">
            <v>- Tham gia thực hiện đề tài NCKH cấp trường - Mã số đề tài: T2020-TN06 (Theo Biên bản họp HĐ nghiệm thu đề tài ngày 3/9/2021)
- GV có bài báo đăng trên tạp chí quốc tế vào tháng 12/2020.</v>
          </cell>
          <cell r="G292">
            <v>0</v>
          </cell>
          <cell r="H292">
            <v>0</v>
          </cell>
          <cell r="I292" t="str">
            <v>X</v>
          </cell>
          <cell r="J292">
            <v>0</v>
          </cell>
          <cell r="K292">
            <v>0</v>
          </cell>
        </row>
        <row r="293">
          <cell r="C293" t="str">
            <v>01014023</v>
          </cell>
          <cell r="D293" t="str">
            <v>A1</v>
          </cell>
          <cell r="E293" t="str">
            <v>- Tham gia 1 đề tài NCKH cấp trường (NGHIỆM THU 01/2021)
- Có bài viết sáng kiến đạt PVAH cấp ngành (QĐ số 1720/QĐ-GDĐT ngày 21/8/2020)</v>
          </cell>
          <cell r="F293">
            <v>0</v>
          </cell>
          <cell r="G293">
            <v>0</v>
          </cell>
          <cell r="H293">
            <v>0</v>
          </cell>
          <cell r="I293" t="str">
            <v>X</v>
          </cell>
          <cell r="J293">
            <v>0</v>
          </cell>
          <cell r="K293">
            <v>0</v>
          </cell>
        </row>
        <row r="294">
          <cell r="C294" t="str">
            <v>01014013</v>
          </cell>
          <cell r="D294" t="str">
            <v>A3</v>
          </cell>
          <cell r="E294" t="str">
            <v>- Có bài viết đăng kỷ yếu hội thảo cấp khoa  19/06/2020</v>
          </cell>
          <cell r="F294">
            <v>0</v>
          </cell>
          <cell r="G294">
            <v>0</v>
          </cell>
          <cell r="H294">
            <v>0</v>
          </cell>
          <cell r="I294">
            <v>0</v>
          </cell>
          <cell r="J294">
            <v>0</v>
          </cell>
          <cell r="K294">
            <v>0</v>
          </cell>
        </row>
        <row r="295">
          <cell r="C295" t="str">
            <v>01014017</v>
          </cell>
          <cell r="D295" t="str">
            <v>A3</v>
          </cell>
          <cell r="E295" t="str">
            <v>- Có bài viết đăng kỷ yếu hội thảo cấp khoa  19/06/2020</v>
          </cell>
          <cell r="F295">
            <v>0</v>
          </cell>
          <cell r="G295">
            <v>0</v>
          </cell>
          <cell r="H295">
            <v>0</v>
          </cell>
          <cell r="I295">
            <v>0</v>
          </cell>
          <cell r="J295">
            <v>0</v>
          </cell>
          <cell r="K295">
            <v>0</v>
          </cell>
        </row>
        <row r="296">
          <cell r="C296" t="str">
            <v>01014034</v>
          </cell>
          <cell r="D296" t="str">
            <v>A3</v>
          </cell>
          <cell r="E296" t="str">
            <v>- Có bài viết đăng kỷ yếu hội thảo cấp khoa  19/06/2020</v>
          </cell>
          <cell r="F296">
            <v>0</v>
          </cell>
          <cell r="G296">
            <v>0</v>
          </cell>
          <cell r="H296">
            <v>0</v>
          </cell>
          <cell r="I296">
            <v>0</v>
          </cell>
          <cell r="J296">
            <v>0</v>
          </cell>
          <cell r="K296">
            <v>0</v>
          </cell>
        </row>
        <row r="297">
          <cell r="C297" t="str">
            <v>01014020</v>
          </cell>
          <cell r="D297" t="str">
            <v>A3</v>
          </cell>
          <cell r="E297" t="str">
            <v>- Có bài viết đăng kỷ yếu hội thảo cấp khoa  19/06/2020</v>
          </cell>
          <cell r="F297">
            <v>0</v>
          </cell>
          <cell r="G297">
            <v>0</v>
          </cell>
          <cell r="H297">
            <v>0</v>
          </cell>
          <cell r="I297">
            <v>0</v>
          </cell>
          <cell r="J297">
            <v>0</v>
          </cell>
          <cell r="K297">
            <v>0</v>
          </cell>
        </row>
        <row r="298">
          <cell r="C298" t="str">
            <v>01014018</v>
          </cell>
          <cell r="D298" t="str">
            <v>A3</v>
          </cell>
          <cell r="E298" t="str">
            <v>- Có bài viết đăng kỷ yếu hội thảo cấp khoa  19/06/2020</v>
          </cell>
          <cell r="F298">
            <v>0</v>
          </cell>
          <cell r="G298">
            <v>0</v>
          </cell>
          <cell r="H298">
            <v>0</v>
          </cell>
          <cell r="I298">
            <v>0</v>
          </cell>
          <cell r="J298">
            <v>0</v>
          </cell>
          <cell r="K298">
            <v>0</v>
          </cell>
        </row>
        <row r="299">
          <cell r="C299" t="str">
            <v>01014019</v>
          </cell>
          <cell r="D299" t="str">
            <v>A3</v>
          </cell>
          <cell r="E299" t="str">
            <v>- Có bài viết đăng kỷ yếu hội thảo cấp khoa  19/06/2020</v>
          </cell>
          <cell r="F299">
            <v>0</v>
          </cell>
          <cell r="G299">
            <v>0</v>
          </cell>
          <cell r="H299">
            <v>0</v>
          </cell>
          <cell r="I299">
            <v>0</v>
          </cell>
          <cell r="J299">
            <v>0</v>
          </cell>
          <cell r="K299">
            <v>0</v>
          </cell>
        </row>
        <row r="300">
          <cell r="C300" t="str">
            <v>01014010</v>
          </cell>
          <cell r="D300" t="str">
            <v>A3</v>
          </cell>
          <cell r="E300" t="str">
            <v>- Có bài viết đăng kỷ yếu hội thảo cấp khoa  19/06/2020</v>
          </cell>
          <cell r="F300">
            <v>0</v>
          </cell>
          <cell r="G300">
            <v>0</v>
          </cell>
          <cell r="H300">
            <v>0</v>
          </cell>
          <cell r="I300">
            <v>0</v>
          </cell>
          <cell r="J300">
            <v>0</v>
          </cell>
          <cell r="K300">
            <v>0</v>
          </cell>
        </row>
        <row r="301">
          <cell r="C301" t="str">
            <v>01014030</v>
          </cell>
          <cell r="D301" t="str">
            <v>A1</v>
          </cell>
          <cell r="E301" t="str">
            <v>- Có bài viết đăng kỷ yếu hội thảo cấp khoa  19/06/2020
- GV có bài báo đăng trên tạp chí quốc tế vào tháng 4/2021. Chỉ số ISSN: 2395-3470; www.ijseas.com (tính mức tối đa A1 từ 06/21)</v>
          </cell>
          <cell r="F301">
            <v>0</v>
          </cell>
          <cell r="G301">
            <v>0</v>
          </cell>
          <cell r="H301">
            <v>0</v>
          </cell>
          <cell r="I301">
            <v>0</v>
          </cell>
          <cell r="J301">
            <v>0</v>
          </cell>
          <cell r="K301">
            <v>0</v>
          </cell>
        </row>
        <row r="302">
          <cell r="C302" t="str">
            <v>01014024</v>
          </cell>
          <cell r="D302" t="str">
            <v>A3</v>
          </cell>
          <cell r="E302" t="str">
            <v>- Có bài viết đăng kỷ yếu hội thảo cấp khoa  19/06/2020
- Có SKKN được đánh giá loại khá</v>
          </cell>
          <cell r="F302">
            <v>0</v>
          </cell>
          <cell r="G302">
            <v>0</v>
          </cell>
          <cell r="H302">
            <v>0</v>
          </cell>
          <cell r="I302">
            <v>0</v>
          </cell>
          <cell r="J302">
            <v>0</v>
          </cell>
          <cell r="K302">
            <v>0</v>
          </cell>
        </row>
        <row r="303">
          <cell r="C303" t="str">
            <v>01014048</v>
          </cell>
          <cell r="D303" t="str">
            <v>A2</v>
          </cell>
          <cell r="E303" t="str">
            <v>- Có bài viết đăng kỷ yếu hội thảo cấp trường (Hội thảo Quốc tế COSS 2020).
- Có SKKN được đánh giá loại khá</v>
          </cell>
          <cell r="F303" t="str">
            <v>Tham gia thực hiện đề tài NCKH cấp trường - Mã số đề tài: T2020-TN08 (Theo Biên bản họp HĐ nghiệm thu đề tài ngày 3/9/2021)</v>
          </cell>
          <cell r="G303">
            <v>0</v>
          </cell>
          <cell r="H303" t="str">
            <v>X</v>
          </cell>
          <cell r="I303" t="str">
            <v>X</v>
          </cell>
          <cell r="J303">
            <v>0</v>
          </cell>
          <cell r="K303">
            <v>0</v>
          </cell>
        </row>
        <row r="304">
          <cell r="C304" t="str">
            <v>01014022</v>
          </cell>
          <cell r="D304" t="str">
            <v>A3</v>
          </cell>
          <cell r="E304" t="str">
            <v>- Có bài viết đăng kỷ yếu hội thảo cấp khoa  19/06/2020
- Có SKKN được đánh giá loại khá</v>
          </cell>
          <cell r="F304">
            <v>0</v>
          </cell>
          <cell r="G304">
            <v>0</v>
          </cell>
          <cell r="H304">
            <v>0</v>
          </cell>
          <cell r="I304" t="str">
            <v>X</v>
          </cell>
          <cell r="J304">
            <v>0</v>
          </cell>
          <cell r="K304">
            <v>0</v>
          </cell>
        </row>
        <row r="305">
          <cell r="C305" t="str">
            <v>01014025</v>
          </cell>
          <cell r="D305" t="str">
            <v>A3</v>
          </cell>
          <cell r="E305" t="str">
            <v>- Có bài viết đăng kỷ yếu hội thảo cấp khoa  19/06/2020</v>
          </cell>
          <cell r="F305">
            <v>0</v>
          </cell>
          <cell r="G305">
            <v>0</v>
          </cell>
          <cell r="H305">
            <v>0</v>
          </cell>
          <cell r="I305">
            <v>0</v>
          </cell>
          <cell r="J305">
            <v>0</v>
          </cell>
          <cell r="K305">
            <v>0</v>
          </cell>
        </row>
        <row r="306">
          <cell r="C306" t="str">
            <v>01014032</v>
          </cell>
          <cell r="D306" t="str">
            <v>A1</v>
          </cell>
          <cell r="E306" t="str">
            <v>- Có bài viết đăng kỷ yếu hội thảo cấp khoa  19/06/2020
- GV có bài báo đăng trên tạp chí quốc tế vào tháng 4/2021. Chỉ số ISSN: 2395-3470; www.ijseas.com (tính mức tối đa A1 từ 06/21)</v>
          </cell>
          <cell r="F306">
            <v>0</v>
          </cell>
          <cell r="G306">
            <v>0</v>
          </cell>
          <cell r="H306">
            <v>0</v>
          </cell>
          <cell r="I306">
            <v>0</v>
          </cell>
          <cell r="J306">
            <v>0</v>
          </cell>
          <cell r="K306">
            <v>0</v>
          </cell>
        </row>
        <row r="307">
          <cell r="C307" t="str">
            <v>01014006</v>
          </cell>
          <cell r="D307" t="str">
            <v>A1</v>
          </cell>
          <cell r="E307" t="str">
            <v>- Có bài viết đăng kỷ yếu hội thảo cấp khoa  19/06/2020
- GV có bài báo đăng trên tạp chí quốc tế vào tháng 4/2021. Chỉ số ISSN: 2395-3470; www.ijseas.com (tính mức tối đa A1 từ 06/21)</v>
          </cell>
          <cell r="F307">
            <v>0</v>
          </cell>
          <cell r="G307">
            <v>0</v>
          </cell>
          <cell r="H307">
            <v>0</v>
          </cell>
          <cell r="I307">
            <v>0</v>
          </cell>
          <cell r="J307">
            <v>0</v>
          </cell>
          <cell r="K307">
            <v>0</v>
          </cell>
        </row>
        <row r="308">
          <cell r="C308" t="str">
            <v>01014009</v>
          </cell>
          <cell r="D308" t="str">
            <v>A3</v>
          </cell>
          <cell r="E308" t="str">
            <v>- Có bài viết đăng kỷ yếu hội thảo cấp khoa  19/06/2020</v>
          </cell>
          <cell r="F308">
            <v>0</v>
          </cell>
          <cell r="G308">
            <v>0</v>
          </cell>
          <cell r="H308">
            <v>0</v>
          </cell>
          <cell r="I308">
            <v>0</v>
          </cell>
          <cell r="J308">
            <v>0</v>
          </cell>
          <cell r="K308">
            <v>0</v>
          </cell>
        </row>
        <row r="309">
          <cell r="C309" t="str">
            <v>01014045</v>
          </cell>
          <cell r="D309" t="str">
            <v>A2</v>
          </cell>
          <cell r="E309" t="str">
            <v>- Có bài viết sáng kiến đạt PVAH cấp ngành (QĐ số 1720/QĐ-GDĐT ngày 21/8/2020)
- Có bài viết đăng kỷ yếu hội thảo cấp trường (Hội thảo Quốc tế COSS 2020).</v>
          </cell>
          <cell r="F309" t="str">
            <v>Chủ nhiệm đề tài NCKH cấp trường - Mã số đề tài: T2020-TN06 (Theo Biên bản họp HĐ nghiệm thu đề tài ngày 3/9/2021)</v>
          </cell>
          <cell r="G309">
            <v>0</v>
          </cell>
          <cell r="H309" t="str">
            <v>X</v>
          </cell>
          <cell r="I309" t="str">
            <v>X</v>
          </cell>
          <cell r="J309">
            <v>0</v>
          </cell>
          <cell r="K309">
            <v>0</v>
          </cell>
        </row>
        <row r="310">
          <cell r="C310" t="str">
            <v>01014021</v>
          </cell>
          <cell r="D310" t="str">
            <v>A2</v>
          </cell>
          <cell r="E310" t="str">
            <v>- Có bài viết đăng kỷ yếu hội thảo cấp trường (Hội thảo Quốc tế COSS 2020).</v>
          </cell>
          <cell r="F310">
            <v>0</v>
          </cell>
          <cell r="G310">
            <v>0</v>
          </cell>
          <cell r="H310" t="str">
            <v>X</v>
          </cell>
          <cell r="I310">
            <v>0</v>
          </cell>
          <cell r="J310">
            <v>0</v>
          </cell>
          <cell r="K310">
            <v>0</v>
          </cell>
        </row>
        <row r="311">
          <cell r="C311" t="str">
            <v>01014016</v>
          </cell>
          <cell r="D311" t="str">
            <v>A3</v>
          </cell>
          <cell r="E311" t="str">
            <v>- Có bài viết đăng kỷ yếu hội thảo cấp khoa  19/06/2020</v>
          </cell>
          <cell r="F311">
            <v>0</v>
          </cell>
          <cell r="G311">
            <v>0</v>
          </cell>
          <cell r="H311">
            <v>0</v>
          </cell>
          <cell r="I311" t="str">
            <v>X</v>
          </cell>
          <cell r="J311">
            <v>0</v>
          </cell>
          <cell r="K311">
            <v>0</v>
          </cell>
        </row>
        <row r="312">
          <cell r="C312" t="str">
            <v>01014042</v>
          </cell>
          <cell r="D312" t="str">
            <v>A4</v>
          </cell>
          <cell r="E312">
            <v>0</v>
          </cell>
          <cell r="F312">
            <v>0</v>
          </cell>
          <cell r="G312">
            <v>0</v>
          </cell>
          <cell r="H312">
            <v>0</v>
          </cell>
          <cell r="I312">
            <v>0</v>
          </cell>
          <cell r="J312">
            <v>0</v>
          </cell>
          <cell r="K312">
            <v>0</v>
          </cell>
        </row>
        <row r="313">
          <cell r="C313">
            <v>0</v>
          </cell>
          <cell r="D313">
            <v>0</v>
          </cell>
          <cell r="E313">
            <v>0</v>
          </cell>
          <cell r="F313">
            <v>0</v>
          </cell>
          <cell r="G313">
            <v>0</v>
          </cell>
          <cell r="H313">
            <v>0</v>
          </cell>
          <cell r="I313">
            <v>0</v>
          </cell>
          <cell r="J313">
            <v>0</v>
          </cell>
          <cell r="K313">
            <v>0</v>
          </cell>
        </row>
        <row r="314">
          <cell r="C314">
            <v>0</v>
          </cell>
          <cell r="D314">
            <v>0</v>
          </cell>
          <cell r="E314">
            <v>0</v>
          </cell>
          <cell r="F314">
            <v>0</v>
          </cell>
          <cell r="G314">
            <v>0</v>
          </cell>
          <cell r="H314">
            <v>0</v>
          </cell>
          <cell r="I314">
            <v>0</v>
          </cell>
          <cell r="J314">
            <v>0</v>
          </cell>
          <cell r="K314">
            <v>0</v>
          </cell>
        </row>
        <row r="315">
          <cell r="C315" t="str">
            <v>01016004</v>
          </cell>
          <cell r="D315" t="str">
            <v>A3</v>
          </cell>
          <cell r="E315" t="str">
            <v>Có bài viết đăng trong kỷ yếu hội thảo cấp khoa tháng 06/2020</v>
          </cell>
          <cell r="F315">
            <v>0</v>
          </cell>
          <cell r="G315">
            <v>0</v>
          </cell>
          <cell r="H315" t="str">
            <v>X</v>
          </cell>
          <cell r="I315">
            <v>0</v>
          </cell>
          <cell r="J315">
            <v>0</v>
          </cell>
          <cell r="K315">
            <v>0</v>
          </cell>
        </row>
        <row r="316">
          <cell r="C316" t="str">
            <v>01016002</v>
          </cell>
          <cell r="D316" t="str">
            <v>A3</v>
          </cell>
          <cell r="E316" t="str">
            <v>Có bài viết đăng trong kỷ yếu hội thảo cấp khoa tháng 06/2020</v>
          </cell>
          <cell r="F316">
            <v>0</v>
          </cell>
          <cell r="G316">
            <v>0</v>
          </cell>
          <cell r="H316">
            <v>0</v>
          </cell>
          <cell r="I316">
            <v>0</v>
          </cell>
          <cell r="J316">
            <v>0</v>
          </cell>
          <cell r="K316">
            <v>0</v>
          </cell>
        </row>
        <row r="317">
          <cell r="C317" t="str">
            <v>01016006</v>
          </cell>
          <cell r="D317" t="str">
            <v>A2</v>
          </cell>
          <cell r="E317" t="str">
            <v>- Có bài viết đăng kỷ yếu hội thảo cấp trường (Hội thảo Quốc tế COSS 2020).</v>
          </cell>
          <cell r="F317">
            <v>0</v>
          </cell>
          <cell r="G317">
            <v>0</v>
          </cell>
          <cell r="H317">
            <v>0</v>
          </cell>
          <cell r="I317">
            <v>0</v>
          </cell>
          <cell r="J317">
            <v>0</v>
          </cell>
          <cell r="K317">
            <v>0</v>
          </cell>
        </row>
        <row r="318">
          <cell r="C318" t="str">
            <v>01016005</v>
          </cell>
          <cell r="D318" t="str">
            <v>A2</v>
          </cell>
          <cell r="E318" t="str">
            <v>- Có bài viết sáng kiến đạt PVAH cấp ngành (QĐ số 1720/QĐ-GDĐT ngày 21/8/2020)
- Có bài viết đăng kỷ yếu hội thảo cấp trường (Hội thảo Quốc tế COSS 2020).</v>
          </cell>
          <cell r="F318">
            <v>0</v>
          </cell>
          <cell r="G318">
            <v>0</v>
          </cell>
          <cell r="H318">
            <v>0</v>
          </cell>
          <cell r="I318">
            <v>0</v>
          </cell>
          <cell r="J318">
            <v>0</v>
          </cell>
          <cell r="K318">
            <v>0</v>
          </cell>
        </row>
        <row r="319">
          <cell r="C319" t="str">
            <v>01016012</v>
          </cell>
          <cell r="D319" t="str">
            <v>A3</v>
          </cell>
          <cell r="E319" t="str">
            <v>Có bài viết đăng trong kỷ yếu hội thảo cấp khoa tháng 06/2020</v>
          </cell>
          <cell r="F319">
            <v>0</v>
          </cell>
          <cell r="G319">
            <v>0</v>
          </cell>
          <cell r="H319">
            <v>0</v>
          </cell>
          <cell r="I319" t="str">
            <v>X</v>
          </cell>
          <cell r="J319">
            <v>0</v>
          </cell>
          <cell r="K319">
            <v>0</v>
          </cell>
        </row>
        <row r="320">
          <cell r="C320" t="str">
            <v>01016010</v>
          </cell>
          <cell r="D320" t="str">
            <v>A3</v>
          </cell>
          <cell r="E320" t="str">
            <v>Có bài viết đăng trong kỷ yếu hội thảo cấp khoa tháng 06/2020</v>
          </cell>
          <cell r="F320">
            <v>0</v>
          </cell>
          <cell r="G320">
            <v>0</v>
          </cell>
          <cell r="H320">
            <v>0</v>
          </cell>
          <cell r="I320" t="str">
            <v>X</v>
          </cell>
          <cell r="J320">
            <v>0</v>
          </cell>
          <cell r="K320">
            <v>0</v>
          </cell>
        </row>
        <row r="321">
          <cell r="C321" t="str">
            <v>01016008</v>
          </cell>
          <cell r="D321" t="str">
            <v>A2</v>
          </cell>
          <cell r="E321" t="str">
            <v>- Có bài viết đăng kỷ yếu hội thảo cấp trường (Hội thảo Quốc tế COSS 2020).</v>
          </cell>
          <cell r="F321">
            <v>0</v>
          </cell>
          <cell r="G321">
            <v>0</v>
          </cell>
          <cell r="H321" t="str">
            <v>X</v>
          </cell>
          <cell r="I321">
            <v>0</v>
          </cell>
          <cell r="J321">
            <v>0</v>
          </cell>
          <cell r="K321">
            <v>0</v>
          </cell>
        </row>
        <row r="322">
          <cell r="C322" t="str">
            <v>01016007</v>
          </cell>
          <cell r="D322" t="str">
            <v>A3</v>
          </cell>
          <cell r="E322" t="str">
            <v>Có bài viết đăng trong kỷ yếu hội thảo cấp khoa tháng 06/2020</v>
          </cell>
          <cell r="F322">
            <v>0</v>
          </cell>
          <cell r="G322">
            <v>0</v>
          </cell>
          <cell r="H322" t="str">
            <v>X</v>
          </cell>
          <cell r="I322">
            <v>0</v>
          </cell>
          <cell r="J322">
            <v>0</v>
          </cell>
          <cell r="K322">
            <v>0</v>
          </cell>
        </row>
        <row r="323">
          <cell r="C323" t="str">
            <v>01016003</v>
          </cell>
          <cell r="D323" t="str">
            <v>A3</v>
          </cell>
          <cell r="E323" t="str">
            <v>Có bài viết đăng trong kỷ yếu hội thảo cấp khoa tháng 06/2020</v>
          </cell>
          <cell r="F323">
            <v>0</v>
          </cell>
          <cell r="G323">
            <v>0</v>
          </cell>
          <cell r="H323" t="str">
            <v>X</v>
          </cell>
          <cell r="I323">
            <v>0</v>
          </cell>
          <cell r="J323">
            <v>0</v>
          </cell>
          <cell r="K323">
            <v>0</v>
          </cell>
        </row>
        <row r="324">
          <cell r="C324">
            <v>0</v>
          </cell>
          <cell r="D324">
            <v>0</v>
          </cell>
          <cell r="E324">
            <v>0</v>
          </cell>
          <cell r="F324">
            <v>0</v>
          </cell>
          <cell r="G324">
            <v>0</v>
          </cell>
          <cell r="H324">
            <v>0</v>
          </cell>
          <cell r="I324">
            <v>0</v>
          </cell>
          <cell r="J324">
            <v>0</v>
          </cell>
          <cell r="K324">
            <v>0</v>
          </cell>
        </row>
        <row r="325">
          <cell r="C325">
            <v>0</v>
          </cell>
          <cell r="D325">
            <v>0</v>
          </cell>
          <cell r="E325">
            <v>0</v>
          </cell>
          <cell r="F325">
            <v>0</v>
          </cell>
          <cell r="G325">
            <v>0</v>
          </cell>
          <cell r="H325">
            <v>0</v>
          </cell>
          <cell r="I325">
            <v>0</v>
          </cell>
          <cell r="J325">
            <v>0</v>
          </cell>
          <cell r="K325">
            <v>0</v>
          </cell>
        </row>
        <row r="326">
          <cell r="C326" t="str">
            <v>01013020</v>
          </cell>
          <cell r="D326" t="str">
            <v>A1</v>
          </cell>
          <cell r="E326" t="str">
            <v>Tham gia xây dựng Chuẩn đầu ra ngành Kỹ thuật Nhiệt (theo CV đề nghị của trường)</v>
          </cell>
          <cell r="F326">
            <v>0</v>
          </cell>
          <cell r="G326">
            <v>0</v>
          </cell>
          <cell r="H326" t="str">
            <v>X</v>
          </cell>
          <cell r="I326">
            <v>0</v>
          </cell>
          <cell r="J326">
            <v>0</v>
          </cell>
          <cell r="K326">
            <v>0</v>
          </cell>
        </row>
        <row r="327">
          <cell r="C327" t="str">
            <v>01029001</v>
          </cell>
          <cell r="D327" t="str">
            <v>A1</v>
          </cell>
          <cell r="E327" t="str">
            <v>Bài báo quốc tế có chỉ số ISSN</v>
          </cell>
          <cell r="F327">
            <v>0</v>
          </cell>
          <cell r="G327">
            <v>0</v>
          </cell>
          <cell r="H327" t="str">
            <v>X</v>
          </cell>
          <cell r="I327" t="str">
            <v>X</v>
          </cell>
          <cell r="J327">
            <v>0</v>
          </cell>
          <cell r="K327">
            <v>0</v>
          </cell>
        </row>
        <row r="328">
          <cell r="C328" t="str">
            <v>01013010</v>
          </cell>
          <cell r="D328" t="str">
            <v>A3</v>
          </cell>
          <cell r="E328" t="str">
            <v>Có bài viết đăng trong kỷ yếu hội thảo cấp khoa 14/06/2020</v>
          </cell>
          <cell r="F328">
            <v>0</v>
          </cell>
          <cell r="G328">
            <v>0</v>
          </cell>
          <cell r="H328" t="str">
            <v>X</v>
          </cell>
          <cell r="I328">
            <v>0</v>
          </cell>
          <cell r="J328">
            <v>0</v>
          </cell>
          <cell r="K328">
            <v>0</v>
          </cell>
        </row>
        <row r="329">
          <cell r="C329" t="str">
            <v>01013011</v>
          </cell>
          <cell r="D329" t="str">
            <v>A3</v>
          </cell>
          <cell r="E329" t="str">
            <v>Có bài viết đăng trong kỷ yếu hội thảo cấp khoa 14/06/2020</v>
          </cell>
          <cell r="F329">
            <v>0</v>
          </cell>
          <cell r="G329">
            <v>0</v>
          </cell>
          <cell r="H329">
            <v>0</v>
          </cell>
          <cell r="I329">
            <v>0</v>
          </cell>
          <cell r="J329">
            <v>0</v>
          </cell>
          <cell r="K329">
            <v>0</v>
          </cell>
        </row>
        <row r="330">
          <cell r="C330" t="str">
            <v>01013023</v>
          </cell>
          <cell r="D330" t="str">
            <v>A3</v>
          </cell>
          <cell r="E330" t="str">
            <v>Có bài viết đăng trong kỷ yếu hội thảo cấp khoa 14/06/2020</v>
          </cell>
          <cell r="F330">
            <v>0</v>
          </cell>
          <cell r="G330">
            <v>0</v>
          </cell>
          <cell r="H330">
            <v>0</v>
          </cell>
          <cell r="I330">
            <v>0</v>
          </cell>
          <cell r="J330">
            <v>0</v>
          </cell>
          <cell r="K330">
            <v>0</v>
          </cell>
        </row>
        <row r="331">
          <cell r="C331" t="str">
            <v>01013009</v>
          </cell>
          <cell r="D331" t="str">
            <v>A3</v>
          </cell>
          <cell r="E331" t="str">
            <v>Có bài viết đăng trong kỷ yếu hội thảo cấp khoa 14/06/2020</v>
          </cell>
          <cell r="F331">
            <v>0</v>
          </cell>
          <cell r="G331">
            <v>0</v>
          </cell>
          <cell r="H331" t="str">
            <v>X</v>
          </cell>
          <cell r="I331">
            <v>0</v>
          </cell>
          <cell r="J331">
            <v>0</v>
          </cell>
          <cell r="K331">
            <v>0</v>
          </cell>
        </row>
        <row r="332">
          <cell r="C332" t="str">
            <v>01013008</v>
          </cell>
          <cell r="D332" t="str">
            <v>A3</v>
          </cell>
          <cell r="E332" t="str">
            <v>Có bài viết đăng trong kỷ yếu hội thảo cấp khoa 14/06/2020</v>
          </cell>
          <cell r="F332">
            <v>0</v>
          </cell>
          <cell r="G332">
            <v>0</v>
          </cell>
          <cell r="H332">
            <v>0</v>
          </cell>
          <cell r="I332">
            <v>0</v>
          </cell>
          <cell r="J332">
            <v>0</v>
          </cell>
          <cell r="K332">
            <v>0</v>
          </cell>
        </row>
        <row r="333">
          <cell r="C333" t="str">
            <v>01013015</v>
          </cell>
          <cell r="D333" t="str">
            <v>A3</v>
          </cell>
          <cell r="E333" t="str">
            <v>Có bài viết đăng trong kỷ yếu hội thảo cấp khoa 14/06/2020</v>
          </cell>
          <cell r="F333">
            <v>0</v>
          </cell>
          <cell r="G333">
            <v>0</v>
          </cell>
          <cell r="H333">
            <v>0</v>
          </cell>
          <cell r="I333">
            <v>0</v>
          </cell>
          <cell r="J333">
            <v>0</v>
          </cell>
          <cell r="K333">
            <v>0</v>
          </cell>
        </row>
        <row r="334">
          <cell r="C334" t="str">
            <v>01029016</v>
          </cell>
          <cell r="D334" t="str">
            <v>A4</v>
          </cell>
          <cell r="E334">
            <v>0</v>
          </cell>
          <cell r="F334">
            <v>0</v>
          </cell>
          <cell r="G334">
            <v>0</v>
          </cell>
          <cell r="H334" t="str">
            <v>X</v>
          </cell>
          <cell r="I334">
            <v>0</v>
          </cell>
          <cell r="J334">
            <v>0</v>
          </cell>
          <cell r="K334">
            <v>0</v>
          </cell>
        </row>
        <row r="335">
          <cell r="C335">
            <v>0</v>
          </cell>
          <cell r="D335">
            <v>1</v>
          </cell>
          <cell r="E335">
            <v>0</v>
          </cell>
          <cell r="F335">
            <v>0</v>
          </cell>
          <cell r="G335">
            <v>0</v>
          </cell>
          <cell r="H335">
            <v>0</v>
          </cell>
          <cell r="I335">
            <v>0</v>
          </cell>
          <cell r="J335">
            <v>0</v>
          </cell>
          <cell r="K335">
            <v>0</v>
          </cell>
        </row>
        <row r="336">
          <cell r="C336">
            <v>0</v>
          </cell>
          <cell r="D336">
            <v>1</v>
          </cell>
          <cell r="E336">
            <v>0</v>
          </cell>
          <cell r="F336">
            <v>0</v>
          </cell>
          <cell r="G336">
            <v>0</v>
          </cell>
          <cell r="H336">
            <v>0</v>
          </cell>
          <cell r="I336">
            <v>0</v>
          </cell>
          <cell r="J336">
            <v>0</v>
          </cell>
          <cell r="K336">
            <v>0</v>
          </cell>
        </row>
        <row r="337">
          <cell r="C337" t="str">
            <v>01025001</v>
          </cell>
          <cell r="D337" t="str">
            <v>A2</v>
          </cell>
          <cell r="E337" t="str">
            <v>- Có bài viết sáng kiến đạt PVAH cấp ngành (QĐ số 1720/QĐ-GDĐT ngày 21/8/2020)
- Có bài viết đăng kỷ yếu hội thảo cấp trường (Hội thảo Quốc tế COSS 2020).</v>
          </cell>
          <cell r="F337">
            <v>0</v>
          </cell>
          <cell r="G337">
            <v>0</v>
          </cell>
          <cell r="H337" t="str">
            <v>X</v>
          </cell>
          <cell r="I337" t="str">
            <v>X</v>
          </cell>
          <cell r="J337">
            <v>0</v>
          </cell>
          <cell r="K337">
            <v>0</v>
          </cell>
        </row>
        <row r="338">
          <cell r="C338" t="str">
            <v>01025016</v>
          </cell>
          <cell r="D338" t="str">
            <v>A3</v>
          </cell>
          <cell r="E338" t="str">
            <v>Có bài viết Hội thảo cấp khoa trong tháng 03/2021</v>
          </cell>
          <cell r="F338">
            <v>0</v>
          </cell>
          <cell r="G338">
            <v>0</v>
          </cell>
          <cell r="H338">
            <v>0</v>
          </cell>
          <cell r="I338">
            <v>0</v>
          </cell>
          <cell r="J338">
            <v>0</v>
          </cell>
          <cell r="K338">
            <v>0</v>
          </cell>
        </row>
        <row r="339">
          <cell r="C339" t="str">
            <v>01025018</v>
          </cell>
          <cell r="D339" t="str">
            <v>A3</v>
          </cell>
          <cell r="E339" t="str">
            <v>Có bài viết Hội thảo cấp khoa trong tháng 03/2021</v>
          </cell>
          <cell r="F339">
            <v>0</v>
          </cell>
          <cell r="G339">
            <v>0</v>
          </cell>
          <cell r="H339">
            <v>0</v>
          </cell>
          <cell r="I339">
            <v>0</v>
          </cell>
          <cell r="J339">
            <v>0</v>
          </cell>
          <cell r="K339">
            <v>0</v>
          </cell>
        </row>
        <row r="340">
          <cell r="C340" t="str">
            <v>01025019</v>
          </cell>
          <cell r="D340" t="str">
            <v>A3</v>
          </cell>
          <cell r="E340" t="str">
            <v>Có bài viết hội thảo cấp khoa</v>
          </cell>
          <cell r="F340">
            <v>0</v>
          </cell>
          <cell r="G340">
            <v>0</v>
          </cell>
          <cell r="H340">
            <v>0</v>
          </cell>
          <cell r="I340">
            <v>0</v>
          </cell>
          <cell r="J340">
            <v>0</v>
          </cell>
          <cell r="K340">
            <v>0</v>
          </cell>
        </row>
        <row r="341">
          <cell r="C341" t="str">
            <v>01025004</v>
          </cell>
          <cell r="D341" t="str">
            <v>A2</v>
          </cell>
          <cell r="E341" t="str">
            <v>Có bài viết đăng kỷ yếu hội thảo cấp trường (Hội thảo Quốc tế COSS 2020).</v>
          </cell>
          <cell r="F341" t="str">
            <v>Đạt giải Nhì trong Hội giảng NG GDNN toàn quốc năm 2021</v>
          </cell>
          <cell r="G341">
            <v>0</v>
          </cell>
          <cell r="H341" t="str">
            <v>X</v>
          </cell>
          <cell r="I341">
            <v>0</v>
          </cell>
          <cell r="J341">
            <v>0</v>
          </cell>
          <cell r="K341">
            <v>0</v>
          </cell>
        </row>
        <row r="342">
          <cell r="C342" t="str">
            <v>01025020</v>
          </cell>
          <cell r="D342" t="str">
            <v>A3</v>
          </cell>
          <cell r="E342" t="str">
            <v>Có bài viết Hội thảo cấp khoa trong tháng 03/2021</v>
          </cell>
          <cell r="F342">
            <v>0</v>
          </cell>
          <cell r="G342">
            <v>0</v>
          </cell>
          <cell r="H342">
            <v>0</v>
          </cell>
          <cell r="I342" t="str">
            <v>X</v>
          </cell>
          <cell r="J342">
            <v>0</v>
          </cell>
          <cell r="K342">
            <v>0</v>
          </cell>
        </row>
        <row r="343">
          <cell r="C343" t="str">
            <v>01025008</v>
          </cell>
          <cell r="D343" t="str">
            <v>A3</v>
          </cell>
          <cell r="E343" t="str">
            <v>Có bài viết Hội thảo cấp khoa trong tháng 03/2021</v>
          </cell>
          <cell r="F343">
            <v>0</v>
          </cell>
          <cell r="G343">
            <v>0</v>
          </cell>
          <cell r="H343">
            <v>0</v>
          </cell>
          <cell r="I343">
            <v>0</v>
          </cell>
          <cell r="J343">
            <v>0</v>
          </cell>
          <cell r="K343">
            <v>0</v>
          </cell>
        </row>
        <row r="344">
          <cell r="C344" t="str">
            <v>01025012</v>
          </cell>
          <cell r="D344" t="str">
            <v>A3</v>
          </cell>
          <cell r="E344" t="str">
            <v>Có sáng kiến được công nhận cấp trường</v>
          </cell>
          <cell r="F344">
            <v>0</v>
          </cell>
          <cell r="G344">
            <v>0</v>
          </cell>
          <cell r="H344" t="str">
            <v>X</v>
          </cell>
          <cell r="I344">
            <v>0</v>
          </cell>
          <cell r="J344">
            <v>0</v>
          </cell>
          <cell r="K344">
            <v>0</v>
          </cell>
        </row>
        <row r="345">
          <cell r="C345" t="str">
            <v>01025002</v>
          </cell>
          <cell r="D345" t="str">
            <v>A3</v>
          </cell>
          <cell r="E345" t="str">
            <v>Có sáng kiến được công nhận cấp trường</v>
          </cell>
          <cell r="F345">
            <v>0</v>
          </cell>
          <cell r="G345">
            <v>0</v>
          </cell>
          <cell r="H345">
            <v>0</v>
          </cell>
          <cell r="I345" t="str">
            <v>X</v>
          </cell>
          <cell r="J345">
            <v>0</v>
          </cell>
          <cell r="K345">
            <v>0</v>
          </cell>
        </row>
        <row r="346">
          <cell r="C346" t="str">
            <v>01003013</v>
          </cell>
          <cell r="D346" t="str">
            <v>A2</v>
          </cell>
          <cell r="E346" t="str">
            <v>- Có bài viết sáng kiến đạt PVAH cấp ngành (QĐ số 1720/QĐ-GDĐT ngày 21/8/2020)
- Có bài viết đăng kỷ yếu hội thảo cấp trường (Hội thảo Quốc tế COSS 2020).</v>
          </cell>
          <cell r="F346">
            <v>0</v>
          </cell>
          <cell r="G346">
            <v>0</v>
          </cell>
          <cell r="H346">
            <v>0</v>
          </cell>
          <cell r="I346" t="str">
            <v>X</v>
          </cell>
          <cell r="J346">
            <v>0</v>
          </cell>
          <cell r="K346">
            <v>0</v>
          </cell>
        </row>
        <row r="347">
          <cell r="C347" t="str">
            <v>01025015</v>
          </cell>
          <cell r="D347" t="str">
            <v>A3</v>
          </cell>
          <cell r="E347" t="str">
            <v>Có sáng kiến được công nhận cấp trường</v>
          </cell>
          <cell r="F347">
            <v>0</v>
          </cell>
          <cell r="G347">
            <v>0</v>
          </cell>
          <cell r="H347" t="str">
            <v>X</v>
          </cell>
          <cell r="I347" t="str">
            <v>X</v>
          </cell>
          <cell r="J347">
            <v>0</v>
          </cell>
          <cell r="K347">
            <v>0</v>
          </cell>
        </row>
        <row r="348">
          <cell r="C348" t="str">
            <v>01005010</v>
          </cell>
          <cell r="D348" t="str">
            <v>A3</v>
          </cell>
          <cell r="E348" t="str">
            <v>Có bài viết Hội thảo cấp khoa trong tháng 03/2021</v>
          </cell>
          <cell r="F348">
            <v>0</v>
          </cell>
          <cell r="G348">
            <v>0</v>
          </cell>
          <cell r="H348" t="str">
            <v>X</v>
          </cell>
          <cell r="I348">
            <v>0</v>
          </cell>
          <cell r="J348">
            <v>0</v>
          </cell>
          <cell r="K348">
            <v>0</v>
          </cell>
        </row>
        <row r="349">
          <cell r="C349" t="str">
            <v>01025009</v>
          </cell>
          <cell r="D349" t="str">
            <v>A2</v>
          </cell>
          <cell r="E349" t="str">
            <v>- Có bài viết sáng kiến đạt PVAH cấp ngành (QĐ số 1720/QĐ-GDĐT ngày 21/8/2020)
- Có bài viết đăng kỷ yếu hội thảo cấp trường (Hội thảo Quốc tế COSS 2020).</v>
          </cell>
          <cell r="F349">
            <v>0</v>
          </cell>
          <cell r="G349">
            <v>0</v>
          </cell>
          <cell r="H349" t="str">
            <v>X</v>
          </cell>
          <cell r="I349">
            <v>0</v>
          </cell>
          <cell r="J349">
            <v>0</v>
          </cell>
          <cell r="K349">
            <v>0</v>
          </cell>
        </row>
        <row r="350">
          <cell r="C350" t="str">
            <v>01025011</v>
          </cell>
          <cell r="D350" t="str">
            <v>A2</v>
          </cell>
          <cell r="E350" t="str">
            <v>- Có bài viết sáng kiến đạt PVAH cấp ngành (QĐ số 1720/QĐ-GDĐT ngày 21/8/2020)</v>
          </cell>
          <cell r="F350">
            <v>0</v>
          </cell>
          <cell r="G350">
            <v>0</v>
          </cell>
          <cell r="H350">
            <v>0</v>
          </cell>
          <cell r="I350" t="str">
            <v>X</v>
          </cell>
          <cell r="J350">
            <v>0</v>
          </cell>
          <cell r="K350">
            <v>0</v>
          </cell>
        </row>
        <row r="351">
          <cell r="C351" t="str">
            <v>01025003</v>
          </cell>
          <cell r="D351" t="str">
            <v>A2</v>
          </cell>
          <cell r="E351" t="str">
            <v>Có bài viết đăng kỷ yếu hội thảo cấp trường (Hội thảo Quốc tế COSS 2020).</v>
          </cell>
          <cell r="F351">
            <v>0</v>
          </cell>
          <cell r="G351">
            <v>0</v>
          </cell>
          <cell r="H351" t="str">
            <v>X</v>
          </cell>
          <cell r="I351">
            <v>0</v>
          </cell>
          <cell r="J351">
            <v>0</v>
          </cell>
          <cell r="K351">
            <v>0</v>
          </cell>
        </row>
        <row r="352">
          <cell r="C352" t="str">
            <v>01025028</v>
          </cell>
          <cell r="D352" t="str">
            <v>A4</v>
          </cell>
          <cell r="E352">
            <v>0</v>
          </cell>
          <cell r="F352">
            <v>0</v>
          </cell>
          <cell r="G352">
            <v>0</v>
          </cell>
          <cell r="H352">
            <v>0</v>
          </cell>
          <cell r="I352">
            <v>0</v>
          </cell>
          <cell r="J352">
            <v>0</v>
          </cell>
          <cell r="K352">
            <v>0</v>
          </cell>
        </row>
        <row r="353">
          <cell r="C353" t="str">
            <v>01025029</v>
          </cell>
          <cell r="D353" t="str">
            <v>A4</v>
          </cell>
          <cell r="E353">
            <v>0</v>
          </cell>
          <cell r="F353">
            <v>0</v>
          </cell>
          <cell r="G353">
            <v>0</v>
          </cell>
          <cell r="H353" t="str">
            <v>X</v>
          </cell>
          <cell r="I353">
            <v>0</v>
          </cell>
          <cell r="J353">
            <v>0</v>
          </cell>
          <cell r="K353">
            <v>0</v>
          </cell>
        </row>
        <row r="354">
          <cell r="C354" t="str">
            <v>01025027</v>
          </cell>
          <cell r="D354" t="str">
            <v>A4</v>
          </cell>
          <cell r="E354">
            <v>0</v>
          </cell>
          <cell r="F354">
            <v>0</v>
          </cell>
          <cell r="G354">
            <v>0</v>
          </cell>
          <cell r="H354">
            <v>0</v>
          </cell>
          <cell r="I354">
            <v>0</v>
          </cell>
          <cell r="J354">
            <v>0</v>
          </cell>
          <cell r="K354">
            <v>0</v>
          </cell>
        </row>
        <row r="355">
          <cell r="C355">
            <v>0</v>
          </cell>
          <cell r="D355">
            <v>0</v>
          </cell>
          <cell r="E355">
            <v>0</v>
          </cell>
          <cell r="F355">
            <v>0</v>
          </cell>
          <cell r="G355">
            <v>0</v>
          </cell>
          <cell r="H355">
            <v>0</v>
          </cell>
          <cell r="I355">
            <v>0</v>
          </cell>
          <cell r="J355">
            <v>0</v>
          </cell>
          <cell r="K355">
            <v>0</v>
          </cell>
        </row>
        <row r="356">
          <cell r="C356">
            <v>0</v>
          </cell>
          <cell r="D356">
            <v>0</v>
          </cell>
          <cell r="E356">
            <v>0</v>
          </cell>
          <cell r="F356">
            <v>0</v>
          </cell>
          <cell r="G356">
            <v>0</v>
          </cell>
          <cell r="H356">
            <v>0</v>
          </cell>
          <cell r="I356">
            <v>0</v>
          </cell>
          <cell r="J356">
            <v>0</v>
          </cell>
          <cell r="K356">
            <v>0</v>
          </cell>
        </row>
        <row r="357">
          <cell r="C357" t="str">
            <v>01004014</v>
          </cell>
          <cell r="D357" t="str">
            <v>A2</v>
          </cell>
          <cell r="E357" t="str">
            <v>Có bài viết đăng kỷ yếu hội thảo cấp trường (Hội thảo Quốc tế COSS 2020).</v>
          </cell>
          <cell r="F357">
            <v>0</v>
          </cell>
          <cell r="G357">
            <v>0</v>
          </cell>
          <cell r="H357" t="str">
            <v>X</v>
          </cell>
          <cell r="I357" t="str">
            <v>X</v>
          </cell>
          <cell r="J357">
            <v>0</v>
          </cell>
          <cell r="K357">
            <v>0</v>
          </cell>
        </row>
        <row r="358">
          <cell r="C358" t="str">
            <v>01004016</v>
          </cell>
          <cell r="D358" t="str">
            <v>A4</v>
          </cell>
          <cell r="E358">
            <v>0</v>
          </cell>
          <cell r="F358">
            <v>0</v>
          </cell>
          <cell r="G358">
            <v>0</v>
          </cell>
          <cell r="H358">
            <v>0</v>
          </cell>
          <cell r="I358">
            <v>0</v>
          </cell>
          <cell r="J358">
            <v>0</v>
          </cell>
          <cell r="K358">
            <v>0</v>
          </cell>
        </row>
        <row r="359">
          <cell r="C359" t="str">
            <v>01028013</v>
          </cell>
          <cell r="D359" t="str">
            <v>A2</v>
          </cell>
          <cell r="E359" t="str">
            <v>Có bài viết đăng kỷ yếu hội thảo cấp trường (Hội thảo Quốc tế COSS 2020).</v>
          </cell>
          <cell r="F359">
            <v>0</v>
          </cell>
          <cell r="G359">
            <v>0</v>
          </cell>
          <cell r="H359">
            <v>0</v>
          </cell>
          <cell r="I359">
            <v>0</v>
          </cell>
          <cell r="J359">
            <v>0</v>
          </cell>
          <cell r="K359">
            <v>0</v>
          </cell>
        </row>
        <row r="360">
          <cell r="C360" t="str">
            <v>01028016</v>
          </cell>
          <cell r="D360" t="str">
            <v>A3</v>
          </cell>
          <cell r="E360" t="str">
            <v>Có bài viết Hội thảo cấp khoa trong tháng 03/2021</v>
          </cell>
          <cell r="F360">
            <v>0</v>
          </cell>
          <cell r="G360">
            <v>0</v>
          </cell>
          <cell r="H360">
            <v>0</v>
          </cell>
          <cell r="I360">
            <v>0</v>
          </cell>
          <cell r="J360">
            <v>0</v>
          </cell>
          <cell r="K360">
            <v>0</v>
          </cell>
        </row>
        <row r="361">
          <cell r="C361" t="str">
            <v>01028017</v>
          </cell>
          <cell r="D361" t="str">
            <v>A3</v>
          </cell>
          <cell r="E361">
            <v>0</v>
          </cell>
          <cell r="F361">
            <v>0</v>
          </cell>
          <cell r="G361">
            <v>0</v>
          </cell>
          <cell r="H361" t="str">
            <v>X</v>
          </cell>
          <cell r="I361">
            <v>0</v>
          </cell>
          <cell r="J361">
            <v>0</v>
          </cell>
          <cell r="K361">
            <v>0</v>
          </cell>
        </row>
        <row r="362">
          <cell r="C362">
            <v>0</v>
          </cell>
          <cell r="D362">
            <v>0</v>
          </cell>
          <cell r="E362">
            <v>0</v>
          </cell>
          <cell r="F362">
            <v>0</v>
          </cell>
          <cell r="G362">
            <v>0</v>
          </cell>
          <cell r="H362">
            <v>0</v>
          </cell>
          <cell r="I362">
            <v>0</v>
          </cell>
          <cell r="J362">
            <v>0</v>
          </cell>
          <cell r="K362">
            <v>0</v>
          </cell>
        </row>
        <row r="363">
          <cell r="C363">
            <v>0</v>
          </cell>
          <cell r="D363">
            <v>0</v>
          </cell>
          <cell r="E363">
            <v>0</v>
          </cell>
          <cell r="F363">
            <v>0</v>
          </cell>
          <cell r="G363">
            <v>0</v>
          </cell>
          <cell r="H363">
            <v>0</v>
          </cell>
          <cell r="I363">
            <v>0</v>
          </cell>
          <cell r="J363">
            <v>0</v>
          </cell>
          <cell r="K363">
            <v>0</v>
          </cell>
        </row>
        <row r="364">
          <cell r="C364" t="str">
            <v>01025007</v>
          </cell>
          <cell r="D364" t="str">
            <v>A2</v>
          </cell>
          <cell r="E364" t="str">
            <v>Có bài viết  được đăng kỷ yếu hội thảo cấp trường (Hội thảo Quốc tế COSS 2020).</v>
          </cell>
          <cell r="F364">
            <v>0</v>
          </cell>
          <cell r="G364">
            <v>0</v>
          </cell>
          <cell r="H364" t="str">
            <v>X</v>
          </cell>
          <cell r="I364" t="str">
            <v>X</v>
          </cell>
          <cell r="J364">
            <v>0</v>
          </cell>
          <cell r="K364">
            <v>0</v>
          </cell>
        </row>
        <row r="365">
          <cell r="C365" t="str">
            <v>01018003</v>
          </cell>
          <cell r="D365" t="str">
            <v>A4</v>
          </cell>
          <cell r="E365">
            <v>0</v>
          </cell>
          <cell r="F365">
            <v>0</v>
          </cell>
          <cell r="G365">
            <v>0</v>
          </cell>
          <cell r="H365">
            <v>0</v>
          </cell>
          <cell r="I365">
            <v>0</v>
          </cell>
          <cell r="J365">
            <v>0</v>
          </cell>
          <cell r="K365">
            <v>0</v>
          </cell>
        </row>
        <row r="366">
          <cell r="C366" t="str">
            <v>01018002</v>
          </cell>
          <cell r="D366" t="str">
            <v>A3</v>
          </cell>
          <cell r="E366" t="str">
            <v>Có bài viết Hội thảo cấp khoa trong tháng 03/2021</v>
          </cell>
          <cell r="F366">
            <v>0</v>
          </cell>
          <cell r="G366">
            <v>0</v>
          </cell>
          <cell r="H366" t="str">
            <v>X</v>
          </cell>
          <cell r="I366">
            <v>0</v>
          </cell>
          <cell r="J366">
            <v>0</v>
          </cell>
          <cell r="K366">
            <v>0</v>
          </cell>
        </row>
        <row r="367">
          <cell r="C367" t="str">
            <v>01018005</v>
          </cell>
          <cell r="D367" t="str">
            <v>A3</v>
          </cell>
          <cell r="E367" t="str">
            <v>Có bài viết Hội thảo cấp khoa trong tháng 03/2021</v>
          </cell>
          <cell r="F367">
            <v>0</v>
          </cell>
          <cell r="G367">
            <v>0</v>
          </cell>
          <cell r="H367" t="str">
            <v>X</v>
          </cell>
          <cell r="I367" t="str">
            <v>X</v>
          </cell>
          <cell r="J367">
            <v>0</v>
          </cell>
          <cell r="K367">
            <v>0</v>
          </cell>
        </row>
        <row r="368">
          <cell r="C368">
            <v>0</v>
          </cell>
          <cell r="D368">
            <v>0</v>
          </cell>
          <cell r="E368">
            <v>0</v>
          </cell>
          <cell r="F368">
            <v>0</v>
          </cell>
          <cell r="G368">
            <v>0</v>
          </cell>
          <cell r="H368">
            <v>0</v>
          </cell>
          <cell r="I368">
            <v>0</v>
          </cell>
          <cell r="J368">
            <v>0</v>
          </cell>
          <cell r="K368">
            <v>0</v>
          </cell>
        </row>
        <row r="369">
          <cell r="C369" t="str">
            <v>01018008</v>
          </cell>
          <cell r="D369" t="str">
            <v>A2</v>
          </cell>
          <cell r="E369" t="str">
            <v>- Có bài viết sáng kiến đạt PVAH cấp ngành (QĐ số 1720/QĐ-GDĐT ngày 21/8/2020)</v>
          </cell>
          <cell r="F369">
            <v>0</v>
          </cell>
          <cell r="G369">
            <v>0</v>
          </cell>
          <cell r="H369" t="str">
            <v>X</v>
          </cell>
          <cell r="I369" t="str">
            <v>X</v>
          </cell>
          <cell r="J369">
            <v>0</v>
          </cell>
          <cell r="K369">
            <v>0</v>
          </cell>
        </row>
        <row r="370">
          <cell r="C370" t="str">
            <v>01018007</v>
          </cell>
          <cell r="D370" t="str">
            <v>A3</v>
          </cell>
          <cell r="E370" t="str">
            <v>Có sáng kiến được công nhận cấp trường</v>
          </cell>
          <cell r="F370">
            <v>0</v>
          </cell>
          <cell r="G370">
            <v>0</v>
          </cell>
          <cell r="H370" t="str">
            <v>X</v>
          </cell>
          <cell r="I370" t="str">
            <v>X</v>
          </cell>
          <cell r="J370">
            <v>0</v>
          </cell>
          <cell r="K370">
            <v>0</v>
          </cell>
        </row>
        <row r="371">
          <cell r="C371" t="str">
            <v>01018009</v>
          </cell>
          <cell r="D371" t="str">
            <v>A4</v>
          </cell>
          <cell r="E371">
            <v>0</v>
          </cell>
          <cell r="F371">
            <v>0</v>
          </cell>
          <cell r="G371">
            <v>0</v>
          </cell>
          <cell r="H371">
            <v>0</v>
          </cell>
          <cell r="I371">
            <v>0</v>
          </cell>
          <cell r="J371">
            <v>0</v>
          </cell>
          <cell r="K371">
            <v>0</v>
          </cell>
        </row>
        <row r="372">
          <cell r="C372">
            <v>0</v>
          </cell>
          <cell r="D372">
            <v>0</v>
          </cell>
          <cell r="E372">
            <v>0</v>
          </cell>
          <cell r="F372">
            <v>0</v>
          </cell>
          <cell r="G372">
            <v>0</v>
          </cell>
          <cell r="H372">
            <v>0</v>
          </cell>
          <cell r="I372">
            <v>0</v>
          </cell>
          <cell r="J372">
            <v>0</v>
          </cell>
          <cell r="K372">
            <v>0</v>
          </cell>
        </row>
        <row r="373">
          <cell r="C373">
            <v>0</v>
          </cell>
          <cell r="D373">
            <v>0</v>
          </cell>
          <cell r="E373">
            <v>0</v>
          </cell>
          <cell r="F373">
            <v>0</v>
          </cell>
          <cell r="G373">
            <v>0</v>
          </cell>
          <cell r="H373">
            <v>0</v>
          </cell>
          <cell r="I373">
            <v>0</v>
          </cell>
          <cell r="J373">
            <v>0</v>
          </cell>
          <cell r="K373">
            <v>0</v>
          </cell>
        </row>
        <row r="374">
          <cell r="C374" t="str">
            <v>01019001</v>
          </cell>
          <cell r="D374" t="str">
            <v>A4</v>
          </cell>
          <cell r="E374">
            <v>0</v>
          </cell>
          <cell r="F374">
            <v>0</v>
          </cell>
          <cell r="G374">
            <v>0</v>
          </cell>
          <cell r="H374">
            <v>0</v>
          </cell>
          <cell r="I374">
            <v>0</v>
          </cell>
          <cell r="J374">
            <v>0</v>
          </cell>
          <cell r="K374">
            <v>0</v>
          </cell>
        </row>
        <row r="375">
          <cell r="C375" t="str">
            <v>01019002</v>
          </cell>
          <cell r="D375" t="str">
            <v>A4</v>
          </cell>
          <cell r="E375">
            <v>0</v>
          </cell>
          <cell r="F375">
            <v>0</v>
          </cell>
          <cell r="G375">
            <v>0</v>
          </cell>
          <cell r="H375">
            <v>0</v>
          </cell>
          <cell r="I375">
            <v>0</v>
          </cell>
          <cell r="J375">
            <v>0</v>
          </cell>
          <cell r="K375">
            <v>0</v>
          </cell>
        </row>
        <row r="376">
          <cell r="C376">
            <v>0</v>
          </cell>
          <cell r="D376">
            <v>0</v>
          </cell>
          <cell r="E376">
            <v>0</v>
          </cell>
          <cell r="F376">
            <v>0</v>
          </cell>
          <cell r="G376">
            <v>0</v>
          </cell>
          <cell r="H376">
            <v>0</v>
          </cell>
          <cell r="I376">
            <v>0</v>
          </cell>
          <cell r="J376">
            <v>0</v>
          </cell>
          <cell r="K376">
            <v>0</v>
          </cell>
        </row>
        <row r="377">
          <cell r="C377" t="str">
            <v>01005005</v>
          </cell>
          <cell r="D377" t="str">
            <v>A4</v>
          </cell>
          <cell r="E377">
            <v>0</v>
          </cell>
          <cell r="F377">
            <v>0</v>
          </cell>
          <cell r="G377">
            <v>0</v>
          </cell>
          <cell r="H377">
            <v>0</v>
          </cell>
          <cell r="I377">
            <v>0</v>
          </cell>
          <cell r="J377">
            <v>0</v>
          </cell>
          <cell r="K377">
            <v>0</v>
          </cell>
        </row>
        <row r="378">
          <cell r="C378">
            <v>0</v>
          </cell>
          <cell r="D378">
            <v>0</v>
          </cell>
          <cell r="E378">
            <v>0</v>
          </cell>
          <cell r="F378">
            <v>0</v>
          </cell>
          <cell r="G378">
            <v>0</v>
          </cell>
          <cell r="H378">
            <v>0</v>
          </cell>
          <cell r="I378">
            <v>0</v>
          </cell>
          <cell r="J378">
            <v>0</v>
          </cell>
          <cell r="K378">
            <v>0</v>
          </cell>
        </row>
        <row r="379">
          <cell r="C379">
            <v>0</v>
          </cell>
          <cell r="D379">
            <v>0</v>
          </cell>
          <cell r="E379">
            <v>0</v>
          </cell>
          <cell r="F379">
            <v>0</v>
          </cell>
          <cell r="G379">
            <v>0</v>
          </cell>
          <cell r="H379">
            <v>0</v>
          </cell>
          <cell r="I379">
            <v>0</v>
          </cell>
          <cell r="J379">
            <v>0</v>
          </cell>
          <cell r="K379">
            <v>0</v>
          </cell>
        </row>
        <row r="380">
          <cell r="C380" t="str">
            <v>01021001</v>
          </cell>
          <cell r="D380" t="str">
            <v>A2</v>
          </cell>
          <cell r="E380" t="str">
            <v>Có sáng kiến đạt PVAH cấp ngành (QĐ số 1720/QĐ-GDĐT-VP ngày 20/8/2020)</v>
          </cell>
          <cell r="F380">
            <v>0</v>
          </cell>
          <cell r="G380">
            <v>0</v>
          </cell>
          <cell r="H380">
            <v>0</v>
          </cell>
          <cell r="I380" t="str">
            <v>X</v>
          </cell>
          <cell r="J380">
            <v>0</v>
          </cell>
          <cell r="K380">
            <v>0</v>
          </cell>
        </row>
        <row r="381">
          <cell r="C381" t="str">
            <v>01021003</v>
          </cell>
          <cell r="D381" t="str">
            <v>A4</v>
          </cell>
          <cell r="E381">
            <v>0</v>
          </cell>
          <cell r="F381">
            <v>0</v>
          </cell>
          <cell r="G381">
            <v>0</v>
          </cell>
          <cell r="H381">
            <v>0</v>
          </cell>
          <cell r="I381">
            <v>0</v>
          </cell>
          <cell r="J381">
            <v>0</v>
          </cell>
          <cell r="K381">
            <v>0</v>
          </cell>
        </row>
        <row r="382">
          <cell r="C382">
            <v>0</v>
          </cell>
          <cell r="D382">
            <v>0</v>
          </cell>
          <cell r="E382">
            <v>0</v>
          </cell>
          <cell r="F382">
            <v>0</v>
          </cell>
          <cell r="G382">
            <v>0</v>
          </cell>
          <cell r="H382">
            <v>0</v>
          </cell>
          <cell r="I382">
            <v>0</v>
          </cell>
          <cell r="J382">
            <v>0</v>
          </cell>
          <cell r="K382">
            <v>0</v>
          </cell>
        </row>
        <row r="383">
          <cell r="C383" t="str">
            <v>01021004</v>
          </cell>
          <cell r="D383" t="str">
            <v>A4</v>
          </cell>
          <cell r="E383">
            <v>0</v>
          </cell>
          <cell r="F383">
            <v>0</v>
          </cell>
          <cell r="G383">
            <v>0</v>
          </cell>
          <cell r="H383">
            <v>0</v>
          </cell>
          <cell r="I383">
            <v>0</v>
          </cell>
          <cell r="J383">
            <v>0</v>
          </cell>
          <cell r="K383">
            <v>0</v>
          </cell>
        </row>
        <row r="384">
          <cell r="C384">
            <v>0</v>
          </cell>
          <cell r="D384">
            <v>0</v>
          </cell>
          <cell r="E384">
            <v>0</v>
          </cell>
          <cell r="F384">
            <v>0</v>
          </cell>
          <cell r="G384">
            <v>0</v>
          </cell>
          <cell r="H384">
            <v>0</v>
          </cell>
          <cell r="I384">
            <v>0</v>
          </cell>
          <cell r="J384">
            <v>0</v>
          </cell>
          <cell r="K384">
            <v>0</v>
          </cell>
        </row>
        <row r="385">
          <cell r="C385">
            <v>0</v>
          </cell>
          <cell r="D385">
            <v>0</v>
          </cell>
          <cell r="E385">
            <v>0</v>
          </cell>
          <cell r="F385">
            <v>0</v>
          </cell>
          <cell r="G385">
            <v>0</v>
          </cell>
          <cell r="H385">
            <v>0</v>
          </cell>
          <cell r="I385">
            <v>0</v>
          </cell>
          <cell r="J385">
            <v>0</v>
          </cell>
          <cell r="K385">
            <v>0</v>
          </cell>
        </row>
        <row r="386">
          <cell r="C386" t="str">
            <v>01007008</v>
          </cell>
          <cell r="D386" t="str">
            <v>A2</v>
          </cell>
          <cell r="E386" t="str">
            <v>- Có bài viết đăng kỷ yếu hội thảo cấp trường (Hội thảo Quốc tế COSS 2020).</v>
          </cell>
          <cell r="F386">
            <v>0</v>
          </cell>
          <cell r="G386">
            <v>0</v>
          </cell>
          <cell r="H386" t="str">
            <v>X</v>
          </cell>
          <cell r="I386" t="str">
            <v>X</v>
          </cell>
          <cell r="J386">
            <v>0</v>
          </cell>
          <cell r="K386">
            <v>0</v>
          </cell>
        </row>
        <row r="387">
          <cell r="C387" t="str">
            <v>01014012</v>
          </cell>
          <cell r="D387" t="str">
            <v>A3</v>
          </cell>
          <cell r="E387" t="str">
            <v>Có bài viết Hội thảo cấp khoa trong tháng 03/2021</v>
          </cell>
          <cell r="F387">
            <v>0</v>
          </cell>
          <cell r="G387">
            <v>0</v>
          </cell>
          <cell r="H387">
            <v>0</v>
          </cell>
          <cell r="I387">
            <v>0</v>
          </cell>
          <cell r="J387">
            <v>0</v>
          </cell>
          <cell r="K387">
            <v>0</v>
          </cell>
        </row>
        <row r="388">
          <cell r="C388">
            <v>0</v>
          </cell>
          <cell r="D388">
            <v>0</v>
          </cell>
          <cell r="E388">
            <v>0</v>
          </cell>
          <cell r="F388">
            <v>0</v>
          </cell>
          <cell r="G388">
            <v>0</v>
          </cell>
          <cell r="H388">
            <v>0</v>
          </cell>
          <cell r="I388">
            <v>0</v>
          </cell>
          <cell r="J388">
            <v>0</v>
          </cell>
          <cell r="K388">
            <v>0</v>
          </cell>
        </row>
        <row r="389">
          <cell r="C389">
            <v>0</v>
          </cell>
          <cell r="D389">
            <v>0</v>
          </cell>
          <cell r="E389">
            <v>0</v>
          </cell>
          <cell r="F389">
            <v>0</v>
          </cell>
          <cell r="G389">
            <v>0</v>
          </cell>
          <cell r="H389">
            <v>0</v>
          </cell>
          <cell r="I389">
            <v>0</v>
          </cell>
          <cell r="J389">
            <v>0</v>
          </cell>
          <cell r="K389">
            <v>0</v>
          </cell>
        </row>
        <row r="390">
          <cell r="C390" t="str">
            <v>01017003</v>
          </cell>
          <cell r="D390" t="str">
            <v>A1</v>
          </cell>
          <cell r="E390" t="str">
            <v>- Tham gia Đề án hợp tác đào tạo trình độ cao đẳng chất lượng cao giữa Trường CĐ Lý Tự Trọng Tp.HCM với công ty TNHH Sản xuất và Kinh doanh VINFAST (QĐ số 496A/QĐ-LTT-ĐT ngày 30/5/2020)</v>
          </cell>
          <cell r="F390">
            <v>0</v>
          </cell>
          <cell r="G390">
            <v>0</v>
          </cell>
          <cell r="H390" t="str">
            <v>X</v>
          </cell>
          <cell r="I390" t="str">
            <v>X</v>
          </cell>
          <cell r="J390">
            <v>0</v>
          </cell>
          <cell r="K390">
            <v>0</v>
          </cell>
        </row>
        <row r="391">
          <cell r="C391" t="str">
            <v>01017010</v>
          </cell>
          <cell r="D391" t="str">
            <v>A3</v>
          </cell>
          <cell r="E391" t="str">
            <v>Có sáng kiến được công nhận cấp trường</v>
          </cell>
          <cell r="F391">
            <v>0</v>
          </cell>
          <cell r="G391">
            <v>0</v>
          </cell>
          <cell r="H391">
            <v>0</v>
          </cell>
          <cell r="I391">
            <v>0</v>
          </cell>
          <cell r="J391">
            <v>0</v>
          </cell>
          <cell r="K391">
            <v>0</v>
          </cell>
        </row>
        <row r="392">
          <cell r="C392" t="str">
            <v>01018004</v>
          </cell>
          <cell r="D392" t="str">
            <v>A3</v>
          </cell>
          <cell r="E392" t="str">
            <v>Có sáng kiến được công nhận cấp trường</v>
          </cell>
          <cell r="F392">
            <v>0</v>
          </cell>
          <cell r="G392">
            <v>0</v>
          </cell>
          <cell r="H392">
            <v>0</v>
          </cell>
          <cell r="I392">
            <v>0</v>
          </cell>
          <cell r="J392">
            <v>0</v>
          </cell>
          <cell r="K392">
            <v>0</v>
          </cell>
        </row>
        <row r="393">
          <cell r="C393">
            <v>0</v>
          </cell>
          <cell r="D393">
            <v>0</v>
          </cell>
          <cell r="E393">
            <v>0</v>
          </cell>
          <cell r="F393">
            <v>0</v>
          </cell>
          <cell r="G393">
            <v>0</v>
          </cell>
          <cell r="H393">
            <v>0</v>
          </cell>
          <cell r="I393">
            <v>0</v>
          </cell>
          <cell r="J393">
            <v>0</v>
          </cell>
          <cell r="K393">
            <v>0</v>
          </cell>
        </row>
        <row r="394">
          <cell r="C394" t="str">
            <v>01009027</v>
          </cell>
          <cell r="D394" t="str">
            <v>A3</v>
          </cell>
          <cell r="E394" t="str">
            <v>Có sáng kiến được công nhận cấp trường</v>
          </cell>
          <cell r="F394">
            <v>0</v>
          </cell>
          <cell r="G394">
            <v>0</v>
          </cell>
          <cell r="H394">
            <v>0</v>
          </cell>
          <cell r="I394">
            <v>0</v>
          </cell>
          <cell r="J394">
            <v>0</v>
          </cell>
          <cell r="K394">
            <v>0</v>
          </cell>
        </row>
        <row r="395">
          <cell r="C395" t="str">
            <v>01025013</v>
          </cell>
          <cell r="D395" t="str">
            <v>A3</v>
          </cell>
          <cell r="E395" t="str">
            <v>Có bài viết Hội thảo cấp khoa trong tháng 03/2021</v>
          </cell>
          <cell r="F395">
            <v>0</v>
          </cell>
          <cell r="G395">
            <v>0</v>
          </cell>
          <cell r="H395">
            <v>0</v>
          </cell>
          <cell r="I395">
            <v>0</v>
          </cell>
          <cell r="J395">
            <v>0</v>
          </cell>
          <cell r="K395">
            <v>0</v>
          </cell>
        </row>
        <row r="396">
          <cell r="C396">
            <v>0</v>
          </cell>
          <cell r="D396">
            <v>0</v>
          </cell>
          <cell r="E396">
            <v>0</v>
          </cell>
          <cell r="F396">
            <v>0</v>
          </cell>
          <cell r="G396">
            <v>0</v>
          </cell>
          <cell r="H396">
            <v>0</v>
          </cell>
          <cell r="I396">
            <v>0</v>
          </cell>
          <cell r="J396">
            <v>0</v>
          </cell>
          <cell r="K396">
            <v>0</v>
          </cell>
        </row>
        <row r="397">
          <cell r="C397">
            <v>0</v>
          </cell>
          <cell r="D397">
            <v>0</v>
          </cell>
          <cell r="E397">
            <v>0</v>
          </cell>
          <cell r="F397">
            <v>0</v>
          </cell>
          <cell r="G397">
            <v>0</v>
          </cell>
          <cell r="H397">
            <v>0</v>
          </cell>
          <cell r="I397">
            <v>0</v>
          </cell>
          <cell r="J397">
            <v>0</v>
          </cell>
          <cell r="K397">
            <v>0</v>
          </cell>
        </row>
        <row r="398">
          <cell r="C398" t="str">
            <v>01005011</v>
          </cell>
          <cell r="D398" t="str">
            <v>A4</v>
          </cell>
          <cell r="E398">
            <v>0</v>
          </cell>
          <cell r="F398">
            <v>0</v>
          </cell>
          <cell r="G398">
            <v>0</v>
          </cell>
          <cell r="H398">
            <v>0</v>
          </cell>
          <cell r="I398">
            <v>0</v>
          </cell>
          <cell r="J398">
            <v>0</v>
          </cell>
          <cell r="K398">
            <v>0</v>
          </cell>
        </row>
      </sheetData>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i tiet"/>
      <sheetName val="P.KH-TC"/>
      <sheetName val="P.TS-ĐT"/>
      <sheetName val="TCH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sheetData sheetId="1"/>
      <sheetData sheetId="2"/>
      <sheetData sheetId="3">
        <row r="21">
          <cell r="P21">
            <v>0</v>
          </cell>
        </row>
      </sheetData>
      <sheetData sheetId="4"/>
      <sheetData sheetId="5">
        <row r="10">
          <cell r="C10" t="str">
            <v>01009009</v>
          </cell>
          <cell r="D10" t="str">
            <v>X</v>
          </cell>
          <cell r="F10" t="str">
            <v>X</v>
          </cell>
          <cell r="I10" t="str">
            <v>X</v>
          </cell>
          <cell r="L10">
            <v>3</v>
          </cell>
          <cell r="S10">
            <v>0</v>
          </cell>
        </row>
        <row r="11">
          <cell r="C11" t="str">
            <v>01006003</v>
          </cell>
          <cell r="F11" t="str">
            <v>X</v>
          </cell>
          <cell r="L11">
            <v>1</v>
          </cell>
          <cell r="S11">
            <v>0</v>
          </cell>
        </row>
        <row r="12">
          <cell r="C12" t="str">
            <v>01022061</v>
          </cell>
          <cell r="D12" t="str">
            <v>X</v>
          </cell>
          <cell r="E12" t="str">
            <v>X</v>
          </cell>
          <cell r="F12" t="str">
            <v>X</v>
          </cell>
          <cell r="G12" t="str">
            <v>X</v>
          </cell>
          <cell r="L12">
            <v>4</v>
          </cell>
          <cell r="S12">
            <v>0</v>
          </cell>
        </row>
        <row r="13">
          <cell r="C13" t="str">
            <v>01013032</v>
          </cell>
          <cell r="F13" t="str">
            <v>X</v>
          </cell>
          <cell r="L13">
            <v>1</v>
          </cell>
          <cell r="M13" t="str">
            <v>X</v>
          </cell>
          <cell r="S13">
            <v>1</v>
          </cell>
        </row>
        <row r="14">
          <cell r="C14" t="str">
            <v>01015027</v>
          </cell>
          <cell r="E14" t="str">
            <v>X</v>
          </cell>
          <cell r="F14" t="str">
            <v>X</v>
          </cell>
          <cell r="G14" t="str">
            <v>X</v>
          </cell>
          <cell r="L14">
            <v>3</v>
          </cell>
          <cell r="S14">
            <v>0</v>
          </cell>
        </row>
        <row r="15">
          <cell r="C15" t="str">
            <v>01023002</v>
          </cell>
          <cell r="E15" t="str">
            <v>X</v>
          </cell>
          <cell r="J15" t="str">
            <v>X</v>
          </cell>
          <cell r="L15">
            <v>2</v>
          </cell>
          <cell r="S15">
            <v>0</v>
          </cell>
        </row>
        <row r="17">
          <cell r="C17" t="str">
            <v>01006006</v>
          </cell>
          <cell r="D17" t="str">
            <v>X</v>
          </cell>
          <cell r="F17" t="str">
            <v>X</v>
          </cell>
          <cell r="H17" t="str">
            <v>X</v>
          </cell>
          <cell r="I17" t="str">
            <v>X</v>
          </cell>
          <cell r="L17">
            <v>4</v>
          </cell>
          <cell r="M17" t="str">
            <v>X</v>
          </cell>
          <cell r="S17">
            <v>1</v>
          </cell>
        </row>
      </sheetData>
      <sheetData sheetId="6"/>
      <sheetData sheetId="7"/>
      <sheetData sheetId="8"/>
      <sheetData sheetId="9"/>
      <sheetData sheetId="10"/>
      <sheetData sheetId="11"/>
      <sheetData sheetId="12"/>
      <sheetData sheetId="13"/>
      <sheetData sheetId="14"/>
      <sheetData sheetId="15"/>
      <sheetData sheetId="16"/>
      <sheetData sheetId="17"/>
      <sheetData sheetId="18">
        <row r="10">
          <cell r="B10" t="str">
            <v>Trịnh Hoàng Hiệp</v>
          </cell>
          <cell r="C10" t="str">
            <v>01025007</v>
          </cell>
          <cell r="L10">
            <v>0</v>
          </cell>
          <cell r="M10" t="str">
            <v>X</v>
          </cell>
          <cell r="O10" t="str">
            <v>X</v>
          </cell>
          <cell r="S10">
            <v>2</v>
          </cell>
        </row>
        <row r="11">
          <cell r="B11" t="str">
            <v>Nguyễn Tứ Cảnh</v>
          </cell>
          <cell r="C11" t="str">
            <v>01018003</v>
          </cell>
          <cell r="D11" t="str">
            <v>X</v>
          </cell>
          <cell r="L11">
            <v>1</v>
          </cell>
          <cell r="S11">
            <v>0</v>
          </cell>
        </row>
        <row r="12">
          <cell r="B12" t="str">
            <v>Đặng Thu Hà</v>
          </cell>
          <cell r="C12" t="str">
            <v>01018002</v>
          </cell>
          <cell r="D12" t="str">
            <v>X</v>
          </cell>
          <cell r="L12">
            <v>1</v>
          </cell>
          <cell r="M12" t="str">
            <v>X</v>
          </cell>
          <cell r="S12">
            <v>1</v>
          </cell>
        </row>
        <row r="13">
          <cell r="B13" t="str">
            <v>Trần Thị Diễm Thúy</v>
          </cell>
          <cell r="C13" t="str">
            <v>01018005</v>
          </cell>
          <cell r="D13" t="str">
            <v>X</v>
          </cell>
          <cell r="E13" t="str">
            <v>X</v>
          </cell>
          <cell r="L13">
            <v>2</v>
          </cell>
          <cell r="M13" t="str">
            <v>X</v>
          </cell>
          <cell r="O13" t="str">
            <v>X</v>
          </cell>
          <cell r="S13">
            <v>2</v>
          </cell>
        </row>
        <row r="14">
          <cell r="L14">
            <v>0</v>
          </cell>
          <cell r="S14">
            <v>0</v>
          </cell>
        </row>
        <row r="15">
          <cell r="B15" t="str">
            <v>Nguyễn Thị Trang</v>
          </cell>
          <cell r="C15" t="str">
            <v>01018008</v>
          </cell>
          <cell r="D15" t="str">
            <v>X</v>
          </cell>
          <cell r="E15" t="str">
            <v>X</v>
          </cell>
          <cell r="L15">
            <v>2</v>
          </cell>
          <cell r="M15" t="str">
            <v>X</v>
          </cell>
          <cell r="S15">
            <v>1</v>
          </cell>
        </row>
        <row r="16">
          <cell r="B16" t="str">
            <v>Hà Thị Hậu</v>
          </cell>
          <cell r="C16" t="str">
            <v>01018007</v>
          </cell>
          <cell r="D16" t="str">
            <v>X</v>
          </cell>
          <cell r="L16">
            <v>1</v>
          </cell>
          <cell r="M16" t="str">
            <v>X</v>
          </cell>
          <cell r="S16">
            <v>1</v>
          </cell>
        </row>
        <row r="17">
          <cell r="B17" t="str">
            <v>Lư Diễm Phúc</v>
          </cell>
          <cell r="C17" t="str">
            <v>01018009</v>
          </cell>
          <cell r="D17" t="str">
            <v>X</v>
          </cell>
          <cell r="L17">
            <v>1</v>
          </cell>
          <cell r="M17" t="str">
            <v>X</v>
          </cell>
          <cell r="S17">
            <v>1</v>
          </cell>
        </row>
      </sheetData>
      <sheetData sheetId="19"/>
      <sheetData sheetId="20"/>
      <sheetData sheetId="21"/>
      <sheetData sheetId="22"/>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Q87"/>
  <sheetViews>
    <sheetView showZeros="0" zoomScaleNormal="100" workbookViewId="0">
      <pane xSplit="3" ySplit="5" topLeftCell="D6" activePane="bottomRight" state="frozen"/>
      <selection pane="topRight" activeCell="D1" sqref="D1"/>
      <selection pane="bottomLeft" activeCell="A6" sqref="A6"/>
      <selection pane="bottomRight" activeCell="H29" sqref="H29:H30"/>
    </sheetView>
  </sheetViews>
  <sheetFormatPr defaultRowHeight="15.75" x14ac:dyDescent="0.25"/>
  <cols>
    <col min="1" max="1" width="4.85546875" style="619" customWidth="1"/>
    <col min="2" max="2" width="25.5703125" style="620" customWidth="1"/>
    <col min="3" max="3" width="10.85546875" style="620" hidden="1" customWidth="1"/>
    <col min="4" max="4" width="10.5703125" style="619" customWidth="1"/>
    <col min="5" max="8" width="7.7109375" style="619" customWidth="1"/>
    <col min="9" max="9" width="12.7109375" style="619" customWidth="1"/>
    <col min="10" max="10" width="5.85546875" style="619" hidden="1" customWidth="1"/>
    <col min="11" max="11" width="12.7109375" style="619" customWidth="1"/>
    <col min="12" max="12" width="5.85546875" style="619" hidden="1" customWidth="1"/>
    <col min="13" max="17" width="12.7109375" style="619" customWidth="1"/>
    <col min="18" max="21" width="7.7109375" style="619" customWidth="1"/>
    <col min="22" max="22" width="12.7109375" style="619" customWidth="1"/>
    <col min="23" max="23" width="7.7109375" style="619" hidden="1" customWidth="1"/>
    <col min="24" max="24" width="12.7109375" style="619" customWidth="1"/>
    <col min="25" max="25" width="7.7109375" style="619" hidden="1" customWidth="1"/>
    <col min="26" max="30" width="12.7109375" style="619" customWidth="1"/>
    <col min="31" max="34" width="7.7109375" style="619" customWidth="1"/>
    <col min="35" max="35" width="12.7109375" style="619" customWidth="1"/>
    <col min="36" max="36" width="7.7109375" style="619" hidden="1" customWidth="1"/>
    <col min="37" max="37" width="12.7109375" style="619" customWidth="1"/>
    <col min="38" max="38" width="7.7109375" style="619" hidden="1" customWidth="1"/>
    <col min="39" max="43" width="12.7109375" style="619" customWidth="1"/>
    <col min="44" max="285" width="9.140625" style="619"/>
    <col min="286" max="286" width="4.85546875" style="619" customWidth="1"/>
    <col min="287" max="287" width="29.5703125" style="619" customWidth="1"/>
    <col min="288" max="288" width="8.140625" style="619" customWidth="1"/>
    <col min="289" max="292" width="13.140625" style="619" customWidth="1"/>
    <col min="293" max="293" width="13.7109375" style="619" customWidth="1"/>
    <col min="294" max="541" width="9.140625" style="619"/>
    <col min="542" max="542" width="4.85546875" style="619" customWidth="1"/>
    <col min="543" max="543" width="29.5703125" style="619" customWidth="1"/>
    <col min="544" max="544" width="8.140625" style="619" customWidth="1"/>
    <col min="545" max="548" width="13.140625" style="619" customWidth="1"/>
    <col min="549" max="549" width="13.7109375" style="619" customWidth="1"/>
    <col min="550" max="797" width="9.140625" style="619"/>
    <col min="798" max="798" width="4.85546875" style="619" customWidth="1"/>
    <col min="799" max="799" width="29.5703125" style="619" customWidth="1"/>
    <col min="800" max="800" width="8.140625" style="619" customWidth="1"/>
    <col min="801" max="804" width="13.140625" style="619" customWidth="1"/>
    <col min="805" max="805" width="13.7109375" style="619" customWidth="1"/>
    <col min="806" max="1053" width="9.140625" style="619"/>
    <col min="1054" max="1054" width="4.85546875" style="619" customWidth="1"/>
    <col min="1055" max="1055" width="29.5703125" style="619" customWidth="1"/>
    <col min="1056" max="1056" width="8.140625" style="619" customWidth="1"/>
    <col min="1057" max="1060" width="13.140625" style="619" customWidth="1"/>
    <col min="1061" max="1061" width="13.7109375" style="619" customWidth="1"/>
    <col min="1062" max="1309" width="9.140625" style="619"/>
    <col min="1310" max="1310" width="4.85546875" style="619" customWidth="1"/>
    <col min="1311" max="1311" width="29.5703125" style="619" customWidth="1"/>
    <col min="1312" max="1312" width="8.140625" style="619" customWidth="1"/>
    <col min="1313" max="1316" width="13.140625" style="619" customWidth="1"/>
    <col min="1317" max="1317" width="13.7109375" style="619" customWidth="1"/>
    <col min="1318" max="1565" width="9.140625" style="619"/>
    <col min="1566" max="1566" width="4.85546875" style="619" customWidth="1"/>
    <col min="1567" max="1567" width="29.5703125" style="619" customWidth="1"/>
    <col min="1568" max="1568" width="8.140625" style="619" customWidth="1"/>
    <col min="1569" max="1572" width="13.140625" style="619" customWidth="1"/>
    <col min="1573" max="1573" width="13.7109375" style="619" customWidth="1"/>
    <col min="1574" max="1821" width="9.140625" style="619"/>
    <col min="1822" max="1822" width="4.85546875" style="619" customWidth="1"/>
    <col min="1823" max="1823" width="29.5703125" style="619" customWidth="1"/>
    <col min="1824" max="1824" width="8.140625" style="619" customWidth="1"/>
    <col min="1825" max="1828" width="13.140625" style="619" customWidth="1"/>
    <col min="1829" max="1829" width="13.7109375" style="619" customWidth="1"/>
    <col min="1830" max="2077" width="9.140625" style="619"/>
    <col min="2078" max="2078" width="4.85546875" style="619" customWidth="1"/>
    <col min="2079" max="2079" width="29.5703125" style="619" customWidth="1"/>
    <col min="2080" max="2080" width="8.140625" style="619" customWidth="1"/>
    <col min="2081" max="2084" width="13.140625" style="619" customWidth="1"/>
    <col min="2085" max="2085" width="13.7109375" style="619" customWidth="1"/>
    <col min="2086" max="2333" width="9.140625" style="619"/>
    <col min="2334" max="2334" width="4.85546875" style="619" customWidth="1"/>
    <col min="2335" max="2335" width="29.5703125" style="619" customWidth="1"/>
    <col min="2336" max="2336" width="8.140625" style="619" customWidth="1"/>
    <col min="2337" max="2340" width="13.140625" style="619" customWidth="1"/>
    <col min="2341" max="2341" width="13.7109375" style="619" customWidth="1"/>
    <col min="2342" max="2589" width="9.140625" style="619"/>
    <col min="2590" max="2590" width="4.85546875" style="619" customWidth="1"/>
    <col min="2591" max="2591" width="29.5703125" style="619" customWidth="1"/>
    <col min="2592" max="2592" width="8.140625" style="619" customWidth="1"/>
    <col min="2593" max="2596" width="13.140625" style="619" customWidth="1"/>
    <col min="2597" max="2597" width="13.7109375" style="619" customWidth="1"/>
    <col min="2598" max="2845" width="9.140625" style="619"/>
    <col min="2846" max="2846" width="4.85546875" style="619" customWidth="1"/>
    <col min="2847" max="2847" width="29.5703125" style="619" customWidth="1"/>
    <col min="2848" max="2848" width="8.140625" style="619" customWidth="1"/>
    <col min="2849" max="2852" width="13.140625" style="619" customWidth="1"/>
    <col min="2853" max="2853" width="13.7109375" style="619" customWidth="1"/>
    <col min="2854" max="3101" width="9.140625" style="619"/>
    <col min="3102" max="3102" width="4.85546875" style="619" customWidth="1"/>
    <col min="3103" max="3103" width="29.5703125" style="619" customWidth="1"/>
    <col min="3104" max="3104" width="8.140625" style="619" customWidth="1"/>
    <col min="3105" max="3108" width="13.140625" style="619" customWidth="1"/>
    <col min="3109" max="3109" width="13.7109375" style="619" customWidth="1"/>
    <col min="3110" max="3357" width="9.140625" style="619"/>
    <col min="3358" max="3358" width="4.85546875" style="619" customWidth="1"/>
    <col min="3359" max="3359" width="29.5703125" style="619" customWidth="1"/>
    <col min="3360" max="3360" width="8.140625" style="619" customWidth="1"/>
    <col min="3361" max="3364" width="13.140625" style="619" customWidth="1"/>
    <col min="3365" max="3365" width="13.7109375" style="619" customWidth="1"/>
    <col min="3366" max="3613" width="9.140625" style="619"/>
    <col min="3614" max="3614" width="4.85546875" style="619" customWidth="1"/>
    <col min="3615" max="3615" width="29.5703125" style="619" customWidth="1"/>
    <col min="3616" max="3616" width="8.140625" style="619" customWidth="1"/>
    <col min="3617" max="3620" width="13.140625" style="619" customWidth="1"/>
    <col min="3621" max="3621" width="13.7109375" style="619" customWidth="1"/>
    <col min="3622" max="3869" width="9.140625" style="619"/>
    <col min="3870" max="3870" width="4.85546875" style="619" customWidth="1"/>
    <col min="3871" max="3871" width="29.5703125" style="619" customWidth="1"/>
    <col min="3872" max="3872" width="8.140625" style="619" customWidth="1"/>
    <col min="3873" max="3876" width="13.140625" style="619" customWidth="1"/>
    <col min="3877" max="3877" width="13.7109375" style="619" customWidth="1"/>
    <col min="3878" max="4125" width="9.140625" style="619"/>
    <col min="4126" max="4126" width="4.85546875" style="619" customWidth="1"/>
    <col min="4127" max="4127" width="29.5703125" style="619" customWidth="1"/>
    <col min="4128" max="4128" width="8.140625" style="619" customWidth="1"/>
    <col min="4129" max="4132" width="13.140625" style="619" customWidth="1"/>
    <col min="4133" max="4133" width="13.7109375" style="619" customWidth="1"/>
    <col min="4134" max="4381" width="9.140625" style="619"/>
    <col min="4382" max="4382" width="4.85546875" style="619" customWidth="1"/>
    <col min="4383" max="4383" width="29.5703125" style="619" customWidth="1"/>
    <col min="4384" max="4384" width="8.140625" style="619" customWidth="1"/>
    <col min="4385" max="4388" width="13.140625" style="619" customWidth="1"/>
    <col min="4389" max="4389" width="13.7109375" style="619" customWidth="1"/>
    <col min="4390" max="4637" width="9.140625" style="619"/>
    <col min="4638" max="4638" width="4.85546875" style="619" customWidth="1"/>
    <col min="4639" max="4639" width="29.5703125" style="619" customWidth="1"/>
    <col min="4640" max="4640" width="8.140625" style="619" customWidth="1"/>
    <col min="4641" max="4644" width="13.140625" style="619" customWidth="1"/>
    <col min="4645" max="4645" width="13.7109375" style="619" customWidth="1"/>
    <col min="4646" max="4893" width="9.140625" style="619"/>
    <col min="4894" max="4894" width="4.85546875" style="619" customWidth="1"/>
    <col min="4895" max="4895" width="29.5703125" style="619" customWidth="1"/>
    <col min="4896" max="4896" width="8.140625" style="619" customWidth="1"/>
    <col min="4897" max="4900" width="13.140625" style="619" customWidth="1"/>
    <col min="4901" max="4901" width="13.7109375" style="619" customWidth="1"/>
    <col min="4902" max="5149" width="9.140625" style="619"/>
    <col min="5150" max="5150" width="4.85546875" style="619" customWidth="1"/>
    <col min="5151" max="5151" width="29.5703125" style="619" customWidth="1"/>
    <col min="5152" max="5152" width="8.140625" style="619" customWidth="1"/>
    <col min="5153" max="5156" width="13.140625" style="619" customWidth="1"/>
    <col min="5157" max="5157" width="13.7109375" style="619" customWidth="1"/>
    <col min="5158" max="5405" width="9.140625" style="619"/>
    <col min="5406" max="5406" width="4.85546875" style="619" customWidth="1"/>
    <col min="5407" max="5407" width="29.5703125" style="619" customWidth="1"/>
    <col min="5408" max="5408" width="8.140625" style="619" customWidth="1"/>
    <col min="5409" max="5412" width="13.140625" style="619" customWidth="1"/>
    <col min="5413" max="5413" width="13.7109375" style="619" customWidth="1"/>
    <col min="5414" max="5661" width="9.140625" style="619"/>
    <col min="5662" max="5662" width="4.85546875" style="619" customWidth="1"/>
    <col min="5663" max="5663" width="29.5703125" style="619" customWidth="1"/>
    <col min="5664" max="5664" width="8.140625" style="619" customWidth="1"/>
    <col min="5665" max="5668" width="13.140625" style="619" customWidth="1"/>
    <col min="5669" max="5669" width="13.7109375" style="619" customWidth="1"/>
    <col min="5670" max="5917" width="9.140625" style="619"/>
    <col min="5918" max="5918" width="4.85546875" style="619" customWidth="1"/>
    <col min="5919" max="5919" width="29.5703125" style="619" customWidth="1"/>
    <col min="5920" max="5920" width="8.140625" style="619" customWidth="1"/>
    <col min="5921" max="5924" width="13.140625" style="619" customWidth="1"/>
    <col min="5925" max="5925" width="13.7109375" style="619" customWidth="1"/>
    <col min="5926" max="6173" width="9.140625" style="619"/>
    <col min="6174" max="6174" width="4.85546875" style="619" customWidth="1"/>
    <col min="6175" max="6175" width="29.5703125" style="619" customWidth="1"/>
    <col min="6176" max="6176" width="8.140625" style="619" customWidth="1"/>
    <col min="6177" max="6180" width="13.140625" style="619" customWidth="1"/>
    <col min="6181" max="6181" width="13.7109375" style="619" customWidth="1"/>
    <col min="6182" max="6429" width="9.140625" style="619"/>
    <col min="6430" max="6430" width="4.85546875" style="619" customWidth="1"/>
    <col min="6431" max="6431" width="29.5703125" style="619" customWidth="1"/>
    <col min="6432" max="6432" width="8.140625" style="619" customWidth="1"/>
    <col min="6433" max="6436" width="13.140625" style="619" customWidth="1"/>
    <col min="6437" max="6437" width="13.7109375" style="619" customWidth="1"/>
    <col min="6438" max="6685" width="9.140625" style="619"/>
    <col min="6686" max="6686" width="4.85546875" style="619" customWidth="1"/>
    <col min="6687" max="6687" width="29.5703125" style="619" customWidth="1"/>
    <col min="6688" max="6688" width="8.140625" style="619" customWidth="1"/>
    <col min="6689" max="6692" width="13.140625" style="619" customWidth="1"/>
    <col min="6693" max="6693" width="13.7109375" style="619" customWidth="1"/>
    <col min="6694" max="6941" width="9.140625" style="619"/>
    <col min="6942" max="6942" width="4.85546875" style="619" customWidth="1"/>
    <col min="6943" max="6943" width="29.5703125" style="619" customWidth="1"/>
    <col min="6944" max="6944" width="8.140625" style="619" customWidth="1"/>
    <col min="6945" max="6948" width="13.140625" style="619" customWidth="1"/>
    <col min="6949" max="6949" width="13.7109375" style="619" customWidth="1"/>
    <col min="6950" max="7197" width="9.140625" style="619"/>
    <col min="7198" max="7198" width="4.85546875" style="619" customWidth="1"/>
    <col min="7199" max="7199" width="29.5703125" style="619" customWidth="1"/>
    <col min="7200" max="7200" width="8.140625" style="619" customWidth="1"/>
    <col min="7201" max="7204" width="13.140625" style="619" customWidth="1"/>
    <col min="7205" max="7205" width="13.7109375" style="619" customWidth="1"/>
    <col min="7206" max="7453" width="9.140625" style="619"/>
    <col min="7454" max="7454" width="4.85546875" style="619" customWidth="1"/>
    <col min="7455" max="7455" width="29.5703125" style="619" customWidth="1"/>
    <col min="7456" max="7456" width="8.140625" style="619" customWidth="1"/>
    <col min="7457" max="7460" width="13.140625" style="619" customWidth="1"/>
    <col min="7461" max="7461" width="13.7109375" style="619" customWidth="1"/>
    <col min="7462" max="7709" width="9.140625" style="619"/>
    <col min="7710" max="7710" width="4.85546875" style="619" customWidth="1"/>
    <col min="7711" max="7711" width="29.5703125" style="619" customWidth="1"/>
    <col min="7712" max="7712" width="8.140625" style="619" customWidth="1"/>
    <col min="7713" max="7716" width="13.140625" style="619" customWidth="1"/>
    <col min="7717" max="7717" width="13.7109375" style="619" customWidth="1"/>
    <col min="7718" max="7965" width="9.140625" style="619"/>
    <col min="7966" max="7966" width="4.85546875" style="619" customWidth="1"/>
    <col min="7967" max="7967" width="29.5703125" style="619" customWidth="1"/>
    <col min="7968" max="7968" width="8.140625" style="619" customWidth="1"/>
    <col min="7969" max="7972" width="13.140625" style="619" customWidth="1"/>
    <col min="7973" max="7973" width="13.7109375" style="619" customWidth="1"/>
    <col min="7974" max="8221" width="9.140625" style="619"/>
    <col min="8222" max="8222" width="4.85546875" style="619" customWidth="1"/>
    <col min="8223" max="8223" width="29.5703125" style="619" customWidth="1"/>
    <col min="8224" max="8224" width="8.140625" style="619" customWidth="1"/>
    <col min="8225" max="8228" width="13.140625" style="619" customWidth="1"/>
    <col min="8229" max="8229" width="13.7109375" style="619" customWidth="1"/>
    <col min="8230" max="8477" width="9.140625" style="619"/>
    <col min="8478" max="8478" width="4.85546875" style="619" customWidth="1"/>
    <col min="8479" max="8479" width="29.5703125" style="619" customWidth="1"/>
    <col min="8480" max="8480" width="8.140625" style="619" customWidth="1"/>
    <col min="8481" max="8484" width="13.140625" style="619" customWidth="1"/>
    <col min="8485" max="8485" width="13.7109375" style="619" customWidth="1"/>
    <col min="8486" max="8733" width="9.140625" style="619"/>
    <col min="8734" max="8734" width="4.85546875" style="619" customWidth="1"/>
    <col min="8735" max="8735" width="29.5703125" style="619" customWidth="1"/>
    <col min="8736" max="8736" width="8.140625" style="619" customWidth="1"/>
    <col min="8737" max="8740" width="13.140625" style="619" customWidth="1"/>
    <col min="8741" max="8741" width="13.7109375" style="619" customWidth="1"/>
    <col min="8742" max="8989" width="9.140625" style="619"/>
    <col min="8990" max="8990" width="4.85546875" style="619" customWidth="1"/>
    <col min="8991" max="8991" width="29.5703125" style="619" customWidth="1"/>
    <col min="8992" max="8992" width="8.140625" style="619" customWidth="1"/>
    <col min="8993" max="8996" width="13.140625" style="619" customWidth="1"/>
    <col min="8997" max="8997" width="13.7109375" style="619" customWidth="1"/>
    <col min="8998" max="9245" width="9.140625" style="619"/>
    <col min="9246" max="9246" width="4.85546875" style="619" customWidth="1"/>
    <col min="9247" max="9247" width="29.5703125" style="619" customWidth="1"/>
    <col min="9248" max="9248" width="8.140625" style="619" customWidth="1"/>
    <col min="9249" max="9252" width="13.140625" style="619" customWidth="1"/>
    <col min="9253" max="9253" width="13.7109375" style="619" customWidth="1"/>
    <col min="9254" max="9501" width="9.140625" style="619"/>
    <col min="9502" max="9502" width="4.85546875" style="619" customWidth="1"/>
    <col min="9503" max="9503" width="29.5703125" style="619" customWidth="1"/>
    <col min="9504" max="9504" width="8.140625" style="619" customWidth="1"/>
    <col min="9505" max="9508" width="13.140625" style="619" customWidth="1"/>
    <col min="9509" max="9509" width="13.7109375" style="619" customWidth="1"/>
    <col min="9510" max="9757" width="9.140625" style="619"/>
    <col min="9758" max="9758" width="4.85546875" style="619" customWidth="1"/>
    <col min="9759" max="9759" width="29.5703125" style="619" customWidth="1"/>
    <col min="9760" max="9760" width="8.140625" style="619" customWidth="1"/>
    <col min="9761" max="9764" width="13.140625" style="619" customWidth="1"/>
    <col min="9765" max="9765" width="13.7109375" style="619" customWidth="1"/>
    <col min="9766" max="10013" width="9.140625" style="619"/>
    <col min="10014" max="10014" width="4.85546875" style="619" customWidth="1"/>
    <col min="10015" max="10015" width="29.5703125" style="619" customWidth="1"/>
    <col min="10016" max="10016" width="8.140625" style="619" customWidth="1"/>
    <col min="10017" max="10020" width="13.140625" style="619" customWidth="1"/>
    <col min="10021" max="10021" width="13.7109375" style="619" customWidth="1"/>
    <col min="10022" max="10269" width="9.140625" style="619"/>
    <col min="10270" max="10270" width="4.85546875" style="619" customWidth="1"/>
    <col min="10271" max="10271" width="29.5703125" style="619" customWidth="1"/>
    <col min="10272" max="10272" width="8.140625" style="619" customWidth="1"/>
    <col min="10273" max="10276" width="13.140625" style="619" customWidth="1"/>
    <col min="10277" max="10277" width="13.7109375" style="619" customWidth="1"/>
    <col min="10278" max="10525" width="9.140625" style="619"/>
    <col min="10526" max="10526" width="4.85546875" style="619" customWidth="1"/>
    <col min="10527" max="10527" width="29.5703125" style="619" customWidth="1"/>
    <col min="10528" max="10528" width="8.140625" style="619" customWidth="1"/>
    <col min="10529" max="10532" width="13.140625" style="619" customWidth="1"/>
    <col min="10533" max="10533" width="13.7109375" style="619" customWidth="1"/>
    <col min="10534" max="10781" width="9.140625" style="619"/>
    <col min="10782" max="10782" width="4.85546875" style="619" customWidth="1"/>
    <col min="10783" max="10783" width="29.5703125" style="619" customWidth="1"/>
    <col min="10784" max="10784" width="8.140625" style="619" customWidth="1"/>
    <col min="10785" max="10788" width="13.140625" style="619" customWidth="1"/>
    <col min="10789" max="10789" width="13.7109375" style="619" customWidth="1"/>
    <col min="10790" max="11037" width="9.140625" style="619"/>
    <col min="11038" max="11038" width="4.85546875" style="619" customWidth="1"/>
    <col min="11039" max="11039" width="29.5703125" style="619" customWidth="1"/>
    <col min="11040" max="11040" width="8.140625" style="619" customWidth="1"/>
    <col min="11041" max="11044" width="13.140625" style="619" customWidth="1"/>
    <col min="11045" max="11045" width="13.7109375" style="619" customWidth="1"/>
    <col min="11046" max="11293" width="9.140625" style="619"/>
    <col min="11294" max="11294" width="4.85546875" style="619" customWidth="1"/>
    <col min="11295" max="11295" width="29.5703125" style="619" customWidth="1"/>
    <col min="11296" max="11296" width="8.140625" style="619" customWidth="1"/>
    <col min="11297" max="11300" width="13.140625" style="619" customWidth="1"/>
    <col min="11301" max="11301" width="13.7109375" style="619" customWidth="1"/>
    <col min="11302" max="11549" width="9.140625" style="619"/>
    <col min="11550" max="11550" width="4.85546875" style="619" customWidth="1"/>
    <col min="11551" max="11551" width="29.5703125" style="619" customWidth="1"/>
    <col min="11552" max="11552" width="8.140625" style="619" customWidth="1"/>
    <col min="11553" max="11556" width="13.140625" style="619" customWidth="1"/>
    <col min="11557" max="11557" width="13.7109375" style="619" customWidth="1"/>
    <col min="11558" max="11805" width="9.140625" style="619"/>
    <col min="11806" max="11806" width="4.85546875" style="619" customWidth="1"/>
    <col min="11807" max="11807" width="29.5703125" style="619" customWidth="1"/>
    <col min="11808" max="11808" width="8.140625" style="619" customWidth="1"/>
    <col min="11809" max="11812" width="13.140625" style="619" customWidth="1"/>
    <col min="11813" max="11813" width="13.7109375" style="619" customWidth="1"/>
    <col min="11814" max="12061" width="9.140625" style="619"/>
    <col min="12062" max="12062" width="4.85546875" style="619" customWidth="1"/>
    <col min="12063" max="12063" width="29.5703125" style="619" customWidth="1"/>
    <col min="12064" max="12064" width="8.140625" style="619" customWidth="1"/>
    <col min="12065" max="12068" width="13.140625" style="619" customWidth="1"/>
    <col min="12069" max="12069" width="13.7109375" style="619" customWidth="1"/>
    <col min="12070" max="12317" width="9.140625" style="619"/>
    <col min="12318" max="12318" width="4.85546875" style="619" customWidth="1"/>
    <col min="12319" max="12319" width="29.5703125" style="619" customWidth="1"/>
    <col min="12320" max="12320" width="8.140625" style="619" customWidth="1"/>
    <col min="12321" max="12324" width="13.140625" style="619" customWidth="1"/>
    <col min="12325" max="12325" width="13.7109375" style="619" customWidth="1"/>
    <col min="12326" max="12573" width="9.140625" style="619"/>
    <col min="12574" max="12574" width="4.85546875" style="619" customWidth="1"/>
    <col min="12575" max="12575" width="29.5703125" style="619" customWidth="1"/>
    <col min="12576" max="12576" width="8.140625" style="619" customWidth="1"/>
    <col min="12577" max="12580" width="13.140625" style="619" customWidth="1"/>
    <col min="12581" max="12581" width="13.7109375" style="619" customWidth="1"/>
    <col min="12582" max="12829" width="9.140625" style="619"/>
    <col min="12830" max="12830" width="4.85546875" style="619" customWidth="1"/>
    <col min="12831" max="12831" width="29.5703125" style="619" customWidth="1"/>
    <col min="12832" max="12832" width="8.140625" style="619" customWidth="1"/>
    <col min="12833" max="12836" width="13.140625" style="619" customWidth="1"/>
    <col min="12837" max="12837" width="13.7109375" style="619" customWidth="1"/>
    <col min="12838" max="13085" width="9.140625" style="619"/>
    <col min="13086" max="13086" width="4.85546875" style="619" customWidth="1"/>
    <col min="13087" max="13087" width="29.5703125" style="619" customWidth="1"/>
    <col min="13088" max="13088" width="8.140625" style="619" customWidth="1"/>
    <col min="13089" max="13092" width="13.140625" style="619" customWidth="1"/>
    <col min="13093" max="13093" width="13.7109375" style="619" customWidth="1"/>
    <col min="13094" max="13341" width="9.140625" style="619"/>
    <col min="13342" max="13342" width="4.85546875" style="619" customWidth="1"/>
    <col min="13343" max="13343" width="29.5703125" style="619" customWidth="1"/>
    <col min="13344" max="13344" width="8.140625" style="619" customWidth="1"/>
    <col min="13345" max="13348" width="13.140625" style="619" customWidth="1"/>
    <col min="13349" max="13349" width="13.7109375" style="619" customWidth="1"/>
    <col min="13350" max="13597" width="9.140625" style="619"/>
    <col min="13598" max="13598" width="4.85546875" style="619" customWidth="1"/>
    <col min="13599" max="13599" width="29.5703125" style="619" customWidth="1"/>
    <col min="13600" max="13600" width="8.140625" style="619" customWidth="1"/>
    <col min="13601" max="13604" width="13.140625" style="619" customWidth="1"/>
    <col min="13605" max="13605" width="13.7109375" style="619" customWidth="1"/>
    <col min="13606" max="13853" width="9.140625" style="619"/>
    <col min="13854" max="13854" width="4.85546875" style="619" customWidth="1"/>
    <col min="13855" max="13855" width="29.5703125" style="619" customWidth="1"/>
    <col min="13856" max="13856" width="8.140625" style="619" customWidth="1"/>
    <col min="13857" max="13860" width="13.140625" style="619" customWidth="1"/>
    <col min="13861" max="13861" width="13.7109375" style="619" customWidth="1"/>
    <col min="13862" max="14109" width="9.140625" style="619"/>
    <col min="14110" max="14110" width="4.85546875" style="619" customWidth="1"/>
    <col min="14111" max="14111" width="29.5703125" style="619" customWidth="1"/>
    <col min="14112" max="14112" width="8.140625" style="619" customWidth="1"/>
    <col min="14113" max="14116" width="13.140625" style="619" customWidth="1"/>
    <col min="14117" max="14117" width="13.7109375" style="619" customWidth="1"/>
    <col min="14118" max="14365" width="9.140625" style="619"/>
    <col min="14366" max="14366" width="4.85546875" style="619" customWidth="1"/>
    <col min="14367" max="14367" width="29.5703125" style="619" customWidth="1"/>
    <col min="14368" max="14368" width="8.140625" style="619" customWidth="1"/>
    <col min="14369" max="14372" width="13.140625" style="619" customWidth="1"/>
    <col min="14373" max="14373" width="13.7109375" style="619" customWidth="1"/>
    <col min="14374" max="14621" width="9.140625" style="619"/>
    <col min="14622" max="14622" width="4.85546875" style="619" customWidth="1"/>
    <col min="14623" max="14623" width="29.5703125" style="619" customWidth="1"/>
    <col min="14624" max="14624" width="8.140625" style="619" customWidth="1"/>
    <col min="14625" max="14628" width="13.140625" style="619" customWidth="1"/>
    <col min="14629" max="14629" width="13.7109375" style="619" customWidth="1"/>
    <col min="14630" max="14877" width="9.140625" style="619"/>
    <col min="14878" max="14878" width="4.85546875" style="619" customWidth="1"/>
    <col min="14879" max="14879" width="29.5703125" style="619" customWidth="1"/>
    <col min="14880" max="14880" width="8.140625" style="619" customWidth="1"/>
    <col min="14881" max="14884" width="13.140625" style="619" customWidth="1"/>
    <col min="14885" max="14885" width="13.7109375" style="619" customWidth="1"/>
    <col min="14886" max="15133" width="9.140625" style="619"/>
    <col min="15134" max="15134" width="4.85546875" style="619" customWidth="1"/>
    <col min="15135" max="15135" width="29.5703125" style="619" customWidth="1"/>
    <col min="15136" max="15136" width="8.140625" style="619" customWidth="1"/>
    <col min="15137" max="15140" width="13.140625" style="619" customWidth="1"/>
    <col min="15141" max="15141" width="13.7109375" style="619" customWidth="1"/>
    <col min="15142" max="15389" width="9.140625" style="619"/>
    <col min="15390" max="15390" width="4.85546875" style="619" customWidth="1"/>
    <col min="15391" max="15391" width="29.5703125" style="619" customWidth="1"/>
    <col min="15392" max="15392" width="8.140625" style="619" customWidth="1"/>
    <col min="15393" max="15396" width="13.140625" style="619" customWidth="1"/>
    <col min="15397" max="15397" width="13.7109375" style="619" customWidth="1"/>
    <col min="15398" max="15645" width="9.140625" style="619"/>
    <col min="15646" max="15646" width="4.85546875" style="619" customWidth="1"/>
    <col min="15647" max="15647" width="29.5703125" style="619" customWidth="1"/>
    <col min="15648" max="15648" width="8.140625" style="619" customWidth="1"/>
    <col min="15649" max="15652" width="13.140625" style="619" customWidth="1"/>
    <col min="15653" max="15653" width="13.7109375" style="619" customWidth="1"/>
    <col min="15654" max="15901" width="9.140625" style="619"/>
    <col min="15902" max="15902" width="4.85546875" style="619" customWidth="1"/>
    <col min="15903" max="15903" width="29.5703125" style="619" customWidth="1"/>
    <col min="15904" max="15904" width="8.140625" style="619" customWidth="1"/>
    <col min="15905" max="15908" width="13.140625" style="619" customWidth="1"/>
    <col min="15909" max="15909" width="13.7109375" style="619" customWidth="1"/>
    <col min="15910" max="16157" width="9.140625" style="619"/>
    <col min="16158" max="16158" width="4.85546875" style="619" customWidth="1"/>
    <col min="16159" max="16159" width="29.5703125" style="619" customWidth="1"/>
    <col min="16160" max="16160" width="8.140625" style="619" customWidth="1"/>
    <col min="16161" max="16164" width="13.140625" style="619" customWidth="1"/>
    <col min="16165" max="16165" width="13.7109375" style="619" customWidth="1"/>
    <col min="16166" max="16384" width="9.140625" style="619"/>
  </cols>
  <sheetData>
    <row r="1" spans="1:43" x14ac:dyDescent="0.25">
      <c r="E1" s="1300" t="s">
        <v>939</v>
      </c>
      <c r="F1" s="1301"/>
      <c r="G1" s="1300" t="s">
        <v>940</v>
      </c>
      <c r="H1" s="1301"/>
      <c r="I1" s="620"/>
      <c r="J1" s="620"/>
      <c r="K1" s="620"/>
      <c r="L1" s="620"/>
      <c r="M1" s="620"/>
      <c r="N1" s="620"/>
      <c r="O1" s="620"/>
      <c r="P1" s="620"/>
      <c r="R1" s="1300" t="s">
        <v>939</v>
      </c>
      <c r="S1" s="1301"/>
      <c r="T1" s="1300" t="s">
        <v>940</v>
      </c>
      <c r="U1" s="1301"/>
      <c r="V1" s="620"/>
      <c r="W1" s="620"/>
      <c r="X1" s="620"/>
      <c r="Y1" s="620"/>
      <c r="Z1" s="620"/>
      <c r="AA1" s="620"/>
      <c r="AB1" s="620"/>
      <c r="AC1" s="620"/>
      <c r="AE1" s="1300" t="s">
        <v>939</v>
      </c>
      <c r="AF1" s="1301"/>
      <c r="AG1" s="1300" t="s">
        <v>940</v>
      </c>
      <c r="AH1" s="1301"/>
      <c r="AI1" s="620"/>
      <c r="AJ1" s="620"/>
      <c r="AK1" s="620"/>
      <c r="AL1" s="620"/>
      <c r="AM1" s="620"/>
      <c r="AN1" s="620"/>
      <c r="AO1" s="620"/>
      <c r="AP1" s="620"/>
    </row>
    <row r="3" spans="1:43" ht="22.5" customHeight="1" x14ac:dyDescent="0.25">
      <c r="A3" s="1290" t="s">
        <v>0</v>
      </c>
      <c r="B3" s="1290" t="s">
        <v>820</v>
      </c>
      <c r="C3" s="1294" t="s">
        <v>892</v>
      </c>
      <c r="D3" s="1290" t="s">
        <v>842</v>
      </c>
      <c r="E3" s="1298" t="s">
        <v>941</v>
      </c>
      <c r="F3" s="1298"/>
      <c r="G3" s="1298"/>
      <c r="H3" s="1298"/>
      <c r="I3" s="1298"/>
      <c r="J3" s="1298"/>
      <c r="K3" s="1298"/>
      <c r="L3" s="1298"/>
      <c r="M3" s="1298"/>
      <c r="N3" s="1298"/>
      <c r="O3" s="1298"/>
      <c r="P3" s="1299"/>
      <c r="Q3" s="1298"/>
      <c r="R3" s="1291" t="s">
        <v>943</v>
      </c>
      <c r="S3" s="1291"/>
      <c r="T3" s="1291"/>
      <c r="U3" s="1291"/>
      <c r="V3" s="1291"/>
      <c r="W3" s="1291"/>
      <c r="X3" s="1291"/>
      <c r="Y3" s="1291"/>
      <c r="Z3" s="1291"/>
      <c r="AA3" s="1291"/>
      <c r="AB3" s="1291"/>
      <c r="AC3" s="1292"/>
      <c r="AD3" s="1291"/>
      <c r="AE3" s="1302" t="s">
        <v>944</v>
      </c>
      <c r="AF3" s="1302"/>
      <c r="AG3" s="1302"/>
      <c r="AH3" s="1302"/>
      <c r="AI3" s="1302"/>
      <c r="AJ3" s="1302"/>
      <c r="AK3" s="1302"/>
      <c r="AL3" s="1302"/>
      <c r="AM3" s="1302"/>
      <c r="AN3" s="1302"/>
      <c r="AO3" s="1302"/>
      <c r="AP3" s="1303"/>
      <c r="AQ3" s="1302"/>
    </row>
    <row r="4" spans="1:43" ht="22.5" customHeight="1" x14ac:dyDescent="0.25">
      <c r="A4" s="1290"/>
      <c r="B4" s="1290"/>
      <c r="C4" s="1295"/>
      <c r="D4" s="1290"/>
      <c r="E4" s="1297" t="s">
        <v>897</v>
      </c>
      <c r="F4" s="1297"/>
      <c r="G4" s="1297" t="s">
        <v>898</v>
      </c>
      <c r="H4" s="1297"/>
      <c r="I4" s="1297" t="s">
        <v>899</v>
      </c>
      <c r="J4" s="1297"/>
      <c r="K4" s="1297" t="s">
        <v>900</v>
      </c>
      <c r="L4" s="1297"/>
      <c r="M4" s="637" t="s">
        <v>902</v>
      </c>
      <c r="N4" s="637" t="s">
        <v>903</v>
      </c>
      <c r="O4" s="637" t="s">
        <v>904</v>
      </c>
      <c r="P4" s="637" t="s">
        <v>905</v>
      </c>
      <c r="Q4" s="637" t="s">
        <v>942</v>
      </c>
      <c r="R4" s="1293" t="s">
        <v>897</v>
      </c>
      <c r="S4" s="1293"/>
      <c r="T4" s="1293" t="s">
        <v>898</v>
      </c>
      <c r="U4" s="1293"/>
      <c r="V4" s="1293" t="s">
        <v>899</v>
      </c>
      <c r="W4" s="1293"/>
      <c r="X4" s="1293" t="s">
        <v>900</v>
      </c>
      <c r="Y4" s="1293"/>
      <c r="Z4" s="634" t="s">
        <v>902</v>
      </c>
      <c r="AA4" s="634" t="s">
        <v>903</v>
      </c>
      <c r="AB4" s="634" t="s">
        <v>904</v>
      </c>
      <c r="AC4" s="634" t="s">
        <v>905</v>
      </c>
      <c r="AD4" s="634" t="s">
        <v>942</v>
      </c>
      <c r="AE4" s="1304" t="s">
        <v>897</v>
      </c>
      <c r="AF4" s="1304"/>
      <c r="AG4" s="1304" t="s">
        <v>898</v>
      </c>
      <c r="AH4" s="1304"/>
      <c r="AI4" s="1304" t="s">
        <v>899</v>
      </c>
      <c r="AJ4" s="1304"/>
      <c r="AK4" s="1304" t="s">
        <v>900</v>
      </c>
      <c r="AL4" s="1304"/>
      <c r="AM4" s="631" t="s">
        <v>902</v>
      </c>
      <c r="AN4" s="631" t="s">
        <v>903</v>
      </c>
      <c r="AO4" s="631" t="s">
        <v>904</v>
      </c>
      <c r="AP4" s="631" t="s">
        <v>905</v>
      </c>
      <c r="AQ4" s="631" t="s">
        <v>942</v>
      </c>
    </row>
    <row r="5" spans="1:43" ht="26.25" customHeight="1" x14ac:dyDescent="0.25">
      <c r="A5" s="1290"/>
      <c r="B5" s="1290"/>
      <c r="C5" s="1296"/>
      <c r="D5" s="1290"/>
      <c r="E5" s="637" t="s">
        <v>896</v>
      </c>
      <c r="F5" s="637" t="s">
        <v>844</v>
      </c>
      <c r="G5" s="637" t="s">
        <v>896</v>
      </c>
      <c r="H5" s="637" t="s">
        <v>844</v>
      </c>
      <c r="I5" s="637" t="s">
        <v>896</v>
      </c>
      <c r="J5" s="637" t="s">
        <v>844</v>
      </c>
      <c r="K5" s="637" t="s">
        <v>896</v>
      </c>
      <c r="L5" s="637" t="s">
        <v>844</v>
      </c>
      <c r="M5" s="637" t="s">
        <v>896</v>
      </c>
      <c r="N5" s="637" t="s">
        <v>896</v>
      </c>
      <c r="O5" s="637" t="s">
        <v>896</v>
      </c>
      <c r="P5" s="637" t="s">
        <v>896</v>
      </c>
      <c r="Q5" s="637" t="s">
        <v>896</v>
      </c>
      <c r="R5" s="634" t="s">
        <v>896</v>
      </c>
      <c r="S5" s="634" t="s">
        <v>844</v>
      </c>
      <c r="T5" s="634" t="s">
        <v>896</v>
      </c>
      <c r="U5" s="634" t="s">
        <v>844</v>
      </c>
      <c r="V5" s="634" t="s">
        <v>896</v>
      </c>
      <c r="W5" s="634" t="s">
        <v>844</v>
      </c>
      <c r="X5" s="634" t="s">
        <v>896</v>
      </c>
      <c r="Y5" s="634" t="s">
        <v>844</v>
      </c>
      <c r="Z5" s="634" t="s">
        <v>896</v>
      </c>
      <c r="AA5" s="634" t="s">
        <v>896</v>
      </c>
      <c r="AB5" s="634" t="s">
        <v>896</v>
      </c>
      <c r="AC5" s="634" t="s">
        <v>896</v>
      </c>
      <c r="AD5" s="634" t="s">
        <v>896</v>
      </c>
      <c r="AE5" s="631" t="s">
        <v>896</v>
      </c>
      <c r="AF5" s="631" t="s">
        <v>844</v>
      </c>
      <c r="AG5" s="631" t="s">
        <v>896</v>
      </c>
      <c r="AH5" s="631" t="s">
        <v>844</v>
      </c>
      <c r="AI5" s="631" t="s">
        <v>896</v>
      </c>
      <c r="AJ5" s="631" t="s">
        <v>844</v>
      </c>
      <c r="AK5" s="631" t="s">
        <v>896</v>
      </c>
      <c r="AL5" s="631" t="s">
        <v>844</v>
      </c>
      <c r="AM5" s="631" t="s">
        <v>896</v>
      </c>
      <c r="AN5" s="631" t="s">
        <v>896</v>
      </c>
      <c r="AO5" s="631" t="s">
        <v>896</v>
      </c>
      <c r="AP5" s="631" t="s">
        <v>896</v>
      </c>
      <c r="AQ5" s="631" t="s">
        <v>896</v>
      </c>
    </row>
    <row r="6" spans="1:43" ht="20.25" customHeight="1" x14ac:dyDescent="0.25">
      <c r="A6" s="642">
        <v>1</v>
      </c>
      <c r="B6" s="643" t="s">
        <v>843</v>
      </c>
      <c r="C6" s="644" t="s">
        <v>869</v>
      </c>
      <c r="D6" s="642">
        <f>'Chi tiet'!$L$7</f>
        <v>4</v>
      </c>
      <c r="E6" s="642">
        <v>4</v>
      </c>
      <c r="F6" s="642"/>
      <c r="G6" s="642"/>
      <c r="H6" s="642"/>
      <c r="I6" s="642"/>
      <c r="J6" s="642"/>
      <c r="K6" s="642"/>
      <c r="L6" s="642"/>
      <c r="M6" s="642"/>
      <c r="N6" s="642"/>
      <c r="O6" s="642"/>
      <c r="P6" s="645"/>
      <c r="Q6" s="642"/>
      <c r="R6" s="642">
        <v>4</v>
      </c>
      <c r="S6" s="642"/>
      <c r="T6" s="642"/>
      <c r="U6" s="642"/>
      <c r="V6" s="642"/>
      <c r="W6" s="642"/>
      <c r="X6" s="642"/>
      <c r="Y6" s="642"/>
      <c r="Z6" s="642"/>
      <c r="AA6" s="642"/>
      <c r="AB6" s="642"/>
      <c r="AC6" s="645"/>
      <c r="AD6" s="642"/>
      <c r="AE6" s="642">
        <v>4</v>
      </c>
      <c r="AF6" s="642"/>
      <c r="AG6" s="642"/>
      <c r="AH6" s="642"/>
      <c r="AI6" s="642"/>
      <c r="AJ6" s="642"/>
      <c r="AK6" s="642"/>
      <c r="AL6" s="642"/>
      <c r="AM6" s="642"/>
      <c r="AN6" s="642"/>
      <c r="AO6" s="642"/>
      <c r="AP6" s="645"/>
      <c r="AQ6" s="642"/>
    </row>
    <row r="7" spans="1:43" ht="20.25" customHeight="1" x14ac:dyDescent="0.25">
      <c r="A7" s="642">
        <v>2</v>
      </c>
      <c r="B7" s="643" t="s">
        <v>821</v>
      </c>
      <c r="C7" s="644" t="s">
        <v>870</v>
      </c>
      <c r="D7" s="642">
        <f>'Chi tiet'!$L$12</f>
        <v>9</v>
      </c>
      <c r="E7" s="642">
        <f>E8+E9</f>
        <v>3</v>
      </c>
      <c r="F7" s="642"/>
      <c r="G7" s="642">
        <f>G8+G9</f>
        <v>5</v>
      </c>
      <c r="H7" s="642"/>
      <c r="I7" s="642">
        <f>I8+I9</f>
        <v>0</v>
      </c>
      <c r="J7" s="642">
        <f t="shared" ref="J7:K7" si="0">J8+J9</f>
        <v>0</v>
      </c>
      <c r="K7" s="642">
        <f t="shared" si="0"/>
        <v>1</v>
      </c>
      <c r="L7" s="642">
        <f>ROUND($D7*$L$1,0)</f>
        <v>0</v>
      </c>
      <c r="M7" s="642"/>
      <c r="N7" s="642"/>
      <c r="O7" s="642"/>
      <c r="P7" s="645"/>
      <c r="Q7" s="642"/>
      <c r="R7" s="642"/>
      <c r="S7" s="642"/>
      <c r="T7" s="642"/>
      <c r="U7" s="642"/>
      <c r="V7" s="642"/>
      <c r="W7" s="642"/>
      <c r="X7" s="642"/>
      <c r="Y7" s="642">
        <f>ROUND($D7*$L$1,0)</f>
        <v>0</v>
      </c>
      <c r="Z7" s="642"/>
      <c r="AA7" s="642"/>
      <c r="AB7" s="642"/>
      <c r="AC7" s="645"/>
      <c r="AD7" s="642"/>
      <c r="AE7" s="642"/>
      <c r="AF7" s="642"/>
      <c r="AG7" s="642"/>
      <c r="AH7" s="642"/>
      <c r="AI7" s="642"/>
      <c r="AJ7" s="642"/>
      <c r="AK7" s="642"/>
      <c r="AL7" s="642">
        <f>ROUND($D7*$L$1,0)</f>
        <v>0</v>
      </c>
      <c r="AM7" s="642"/>
      <c r="AN7" s="642"/>
      <c r="AO7" s="642"/>
      <c r="AP7" s="645"/>
      <c r="AQ7" s="642"/>
    </row>
    <row r="8" spans="1:43" ht="20.25" customHeight="1" x14ac:dyDescent="0.25">
      <c r="A8" s="622"/>
      <c r="B8" s="277" t="s">
        <v>866</v>
      </c>
      <c r="C8" s="277"/>
      <c r="D8" s="622">
        <f>'Chi tiet'!AL14</f>
        <v>1</v>
      </c>
      <c r="E8" s="629">
        <f>COUNTIF('Chi tiet'!$L14,"A1")</f>
        <v>1</v>
      </c>
      <c r="F8" s="630">
        <f>E8/$D7</f>
        <v>0.1111111111111111</v>
      </c>
      <c r="G8" s="629">
        <f>COUNTIF('Chi tiet'!$L14,"A2")</f>
        <v>0</v>
      </c>
      <c r="H8" s="630">
        <f>G8/$D7</f>
        <v>0</v>
      </c>
      <c r="I8" s="629">
        <f>COUNTIF('Chi tiet'!$L14,"A3")</f>
        <v>0</v>
      </c>
      <c r="J8" s="629"/>
      <c r="K8" s="629">
        <f>COUNTIF('Chi tiet'!$L14,"A4")</f>
        <v>0</v>
      </c>
      <c r="L8" s="629"/>
      <c r="M8" s="629"/>
      <c r="N8" s="629"/>
      <c r="O8" s="629"/>
      <c r="P8" s="638"/>
      <c r="Q8" s="629"/>
      <c r="R8" s="635"/>
      <c r="S8" s="636"/>
      <c r="T8" s="635"/>
      <c r="U8" s="635"/>
      <c r="V8" s="635"/>
      <c r="W8" s="635"/>
      <c r="X8" s="635"/>
      <c r="Y8" s="635"/>
      <c r="Z8" s="635"/>
      <c r="AA8" s="635"/>
      <c r="AB8" s="635"/>
      <c r="AC8" s="639"/>
      <c r="AD8" s="635"/>
      <c r="AE8" s="632">
        <f>COUNTIF('Chi tiet'!$L14,"A1")</f>
        <v>1</v>
      </c>
      <c r="AF8" s="633"/>
      <c r="AG8" s="632"/>
      <c r="AH8" s="632"/>
      <c r="AI8" s="632"/>
      <c r="AJ8" s="632"/>
      <c r="AK8" s="632"/>
      <c r="AL8" s="632"/>
      <c r="AM8" s="632"/>
      <c r="AN8" s="632"/>
      <c r="AO8" s="632"/>
      <c r="AP8" s="640"/>
      <c r="AQ8" s="632"/>
    </row>
    <row r="9" spans="1:43" ht="20.25" customHeight="1" x14ac:dyDescent="0.25">
      <c r="A9" s="622"/>
      <c r="B9" s="277" t="s">
        <v>865</v>
      </c>
      <c r="C9" s="277"/>
      <c r="D9" s="622">
        <f>'Chi tiet'!AL15</f>
        <v>8</v>
      </c>
      <c r="E9" s="629">
        <f>COUNTIF('Chi tiet'!$L15:$L23,"A1")</f>
        <v>2</v>
      </c>
      <c r="F9" s="630">
        <f>E9/$D7</f>
        <v>0.22222222222222221</v>
      </c>
      <c r="G9" s="629">
        <f>COUNTIF('Chi tiet'!$L15:$L23,"A2")</f>
        <v>5</v>
      </c>
      <c r="H9" s="630">
        <f>G9/$D7</f>
        <v>0.55555555555555558</v>
      </c>
      <c r="I9" s="629">
        <f>COUNTIF('Chi tiet'!$L15:$L23,"A3")</f>
        <v>0</v>
      </c>
      <c r="J9" s="630"/>
      <c r="K9" s="629">
        <f>COUNTIF('Chi tiet'!$L15:$L23,"A4")</f>
        <v>1</v>
      </c>
      <c r="L9" s="629"/>
      <c r="M9" s="629"/>
      <c r="N9" s="629"/>
      <c r="O9" s="629"/>
      <c r="P9" s="638"/>
      <c r="Q9" s="629"/>
      <c r="R9" s="635">
        <v>2</v>
      </c>
      <c r="S9" s="636">
        <f>R9/$D7</f>
        <v>0.22222222222222221</v>
      </c>
      <c r="T9" s="635">
        <v>2</v>
      </c>
      <c r="U9" s="636">
        <f>T9/$D7</f>
        <v>0.22222222222222221</v>
      </c>
      <c r="V9" s="635"/>
      <c r="W9" s="636"/>
      <c r="X9" s="635"/>
      <c r="Y9" s="635"/>
      <c r="Z9" s="635"/>
      <c r="AA9" s="635"/>
      <c r="AB9" s="635"/>
      <c r="AC9" s="639"/>
      <c r="AD9" s="635"/>
      <c r="AE9" s="632">
        <f>COUNTIF('Chi tiet'!$L15:$L23,"A1")</f>
        <v>2</v>
      </c>
      <c r="AF9" s="633">
        <f>AE9/$D7</f>
        <v>0.22222222222222221</v>
      </c>
      <c r="AG9" s="632">
        <v>2</v>
      </c>
      <c r="AH9" s="633">
        <f>AG9/$D7</f>
        <v>0.22222222222222221</v>
      </c>
      <c r="AI9" s="632"/>
      <c r="AJ9" s="633"/>
      <c r="AK9" s="632"/>
      <c r="AL9" s="632"/>
      <c r="AM9" s="632"/>
      <c r="AN9" s="632"/>
      <c r="AO9" s="632"/>
      <c r="AP9" s="640"/>
      <c r="AQ9" s="632"/>
    </row>
    <row r="10" spans="1:43" ht="20.25" customHeight="1" x14ac:dyDescent="0.25">
      <c r="A10" s="642">
        <v>3</v>
      </c>
      <c r="B10" s="643" t="s">
        <v>822</v>
      </c>
      <c r="C10" s="644" t="s">
        <v>871</v>
      </c>
      <c r="D10" s="642">
        <f>'Chi tiet'!$L$24</f>
        <v>16</v>
      </c>
      <c r="E10" s="642">
        <f>E11+E12</f>
        <v>2</v>
      </c>
      <c r="F10" s="642"/>
      <c r="G10" s="642">
        <f>G11+G12</f>
        <v>9</v>
      </c>
      <c r="H10" s="642"/>
      <c r="I10" s="642">
        <f>I11+I12</f>
        <v>4</v>
      </c>
      <c r="J10" s="642">
        <f t="shared" ref="J10" si="1">J11+J12</f>
        <v>0</v>
      </c>
      <c r="K10" s="642">
        <f t="shared" ref="K10" si="2">K11+K12</f>
        <v>1</v>
      </c>
      <c r="L10" s="642">
        <f t="shared" ref="L10:L70" si="3">ROUND($D10*$L$1,0)</f>
        <v>0</v>
      </c>
      <c r="M10" s="642"/>
      <c r="N10" s="642"/>
      <c r="O10" s="642"/>
      <c r="P10" s="645"/>
      <c r="Q10" s="642"/>
      <c r="R10" s="642"/>
      <c r="S10" s="642"/>
      <c r="T10" s="642"/>
      <c r="U10" s="642"/>
      <c r="V10" s="642"/>
      <c r="W10" s="642"/>
      <c r="X10" s="642"/>
      <c r="Y10" s="642">
        <f t="shared" ref="Y10:Y70" si="4">ROUND($D10*$L$1,0)</f>
        <v>0</v>
      </c>
      <c r="Z10" s="642"/>
      <c r="AA10" s="642"/>
      <c r="AB10" s="642"/>
      <c r="AC10" s="645"/>
      <c r="AD10" s="642"/>
      <c r="AE10" s="642"/>
      <c r="AF10" s="642"/>
      <c r="AG10" s="642"/>
      <c r="AH10" s="642"/>
      <c r="AI10" s="642"/>
      <c r="AJ10" s="642"/>
      <c r="AK10" s="642"/>
      <c r="AL10" s="642">
        <f t="shared" ref="AL10:AL70" si="5">ROUND($D10*$L$1,0)</f>
        <v>0</v>
      </c>
      <c r="AM10" s="642"/>
      <c r="AN10" s="642"/>
      <c r="AO10" s="642"/>
      <c r="AP10" s="645"/>
      <c r="AQ10" s="642"/>
    </row>
    <row r="11" spans="1:43" ht="20.25" customHeight="1" x14ac:dyDescent="0.25">
      <c r="A11" s="621"/>
      <c r="B11" s="277" t="s">
        <v>866</v>
      </c>
      <c r="C11" s="277"/>
      <c r="D11" s="622">
        <f>'Chi tiet'!AL27</f>
        <v>2</v>
      </c>
      <c r="E11" s="629">
        <f>COUNTIF('Chi tiet'!$L26:$L27,"A1")</f>
        <v>2</v>
      </c>
      <c r="F11" s="630">
        <f>E11/$D10</f>
        <v>0.125</v>
      </c>
      <c r="G11" s="629">
        <f>COUNTIF('Chi tiet'!$L26:$L27,"A2")</f>
        <v>0</v>
      </c>
      <c r="H11" s="630">
        <f>G11/$D10</f>
        <v>0</v>
      </c>
      <c r="I11" s="629">
        <f>COUNTIF('Chi tiet'!$L26:$L27,"A3")</f>
        <v>0</v>
      </c>
      <c r="J11" s="629"/>
      <c r="K11" s="629">
        <f>COUNTIF('Chi tiet'!$L26:$L27,"A4")</f>
        <v>0</v>
      </c>
      <c r="L11" s="629"/>
      <c r="M11" s="629"/>
      <c r="N11" s="629"/>
      <c r="O11" s="629"/>
      <c r="P11" s="638"/>
      <c r="Q11" s="629"/>
      <c r="R11" s="635"/>
      <c r="S11" s="635"/>
      <c r="T11" s="635"/>
      <c r="U11" s="635"/>
      <c r="V11" s="635"/>
      <c r="W11" s="635"/>
      <c r="X11" s="635"/>
      <c r="Y11" s="635"/>
      <c r="Z11" s="635"/>
      <c r="AA11" s="635"/>
      <c r="AB11" s="635"/>
      <c r="AC11" s="639"/>
      <c r="AD11" s="635"/>
      <c r="AE11" s="632"/>
      <c r="AF11" s="632"/>
      <c r="AG11" s="632"/>
      <c r="AH11" s="632"/>
      <c r="AI11" s="632"/>
      <c r="AJ11" s="632"/>
      <c r="AK11" s="632"/>
      <c r="AL11" s="632"/>
      <c r="AM11" s="632"/>
      <c r="AN11" s="632"/>
      <c r="AO11" s="632"/>
      <c r="AP11" s="640"/>
      <c r="AQ11" s="632"/>
    </row>
    <row r="12" spans="1:43" ht="20.25" customHeight="1" x14ac:dyDescent="0.25">
      <c r="A12" s="621"/>
      <c r="B12" s="277" t="s">
        <v>865</v>
      </c>
      <c r="C12" s="277"/>
      <c r="D12" s="622" t="e">
        <f>'Chi tiet'!#REF!</f>
        <v>#REF!</v>
      </c>
      <c r="E12" s="629">
        <f>COUNTIF('Chi tiet'!$L28:$L42,"A1")</f>
        <v>0</v>
      </c>
      <c r="F12" s="630">
        <f>E12/$D10</f>
        <v>0</v>
      </c>
      <c r="G12" s="629">
        <f>COUNTIF('Chi tiet'!$L28:$L42,"A2")</f>
        <v>9</v>
      </c>
      <c r="H12" s="630">
        <f>G12/$D10</f>
        <v>0.5625</v>
      </c>
      <c r="I12" s="629">
        <f>COUNTIF('Chi tiet'!$L28:$L42,"A3")</f>
        <v>4</v>
      </c>
      <c r="J12" s="630"/>
      <c r="K12" s="629">
        <f>COUNTIF('Chi tiet'!$L28:$L42,"A4")</f>
        <v>1</v>
      </c>
      <c r="L12" s="629"/>
      <c r="M12" s="629"/>
      <c r="N12" s="629"/>
      <c r="O12" s="629"/>
      <c r="P12" s="638"/>
      <c r="Q12" s="629"/>
      <c r="R12" s="635">
        <v>4</v>
      </c>
      <c r="S12" s="636">
        <f>R12/$D10</f>
        <v>0.25</v>
      </c>
      <c r="T12" s="635">
        <v>4</v>
      </c>
      <c r="U12" s="636">
        <f>T12/$D10</f>
        <v>0.25</v>
      </c>
      <c r="V12" s="635"/>
      <c r="W12" s="636"/>
      <c r="X12" s="635"/>
      <c r="Y12" s="635"/>
      <c r="Z12" s="635"/>
      <c r="AA12" s="635"/>
      <c r="AB12" s="635"/>
      <c r="AC12" s="639"/>
      <c r="AD12" s="635"/>
      <c r="AE12" s="632">
        <v>4</v>
      </c>
      <c r="AF12" s="633">
        <f>AE12/$D10</f>
        <v>0.25</v>
      </c>
      <c r="AG12" s="632">
        <v>4</v>
      </c>
      <c r="AH12" s="633">
        <f>AG12/$D10</f>
        <v>0.25</v>
      </c>
      <c r="AI12" s="632"/>
      <c r="AJ12" s="633"/>
      <c r="AK12" s="632"/>
      <c r="AL12" s="632"/>
      <c r="AM12" s="632"/>
      <c r="AN12" s="632"/>
      <c r="AO12" s="632"/>
      <c r="AP12" s="640"/>
      <c r="AQ12" s="632"/>
    </row>
    <row r="13" spans="1:43" ht="20.25" customHeight="1" x14ac:dyDescent="0.25">
      <c r="A13" s="642">
        <v>4</v>
      </c>
      <c r="B13" s="643" t="s">
        <v>823</v>
      </c>
      <c r="C13" s="644" t="s">
        <v>872</v>
      </c>
      <c r="D13" s="642">
        <f>'Chi tiet'!$L$43</f>
        <v>27</v>
      </c>
      <c r="E13" s="642">
        <f>E14+E15</f>
        <v>4</v>
      </c>
      <c r="F13" s="642"/>
      <c r="G13" s="642">
        <f>G14+G15</f>
        <v>5</v>
      </c>
      <c r="H13" s="642"/>
      <c r="I13" s="642">
        <f>I14+I15</f>
        <v>5</v>
      </c>
      <c r="J13" s="642">
        <f t="shared" ref="J13" si="6">J14+J15</f>
        <v>0</v>
      </c>
      <c r="K13" s="642">
        <f t="shared" ref="K13" si="7">K14+K15</f>
        <v>12</v>
      </c>
      <c r="L13" s="642">
        <f t="shared" si="3"/>
        <v>0</v>
      </c>
      <c r="M13" s="642"/>
      <c r="N13" s="642"/>
      <c r="O13" s="642"/>
      <c r="P13" s="645"/>
      <c r="Q13" s="642"/>
      <c r="R13" s="642"/>
      <c r="S13" s="642"/>
      <c r="T13" s="642"/>
      <c r="U13" s="642"/>
      <c r="V13" s="642"/>
      <c r="W13" s="642"/>
      <c r="X13" s="642"/>
      <c r="Y13" s="642">
        <f t="shared" si="4"/>
        <v>0</v>
      </c>
      <c r="Z13" s="642"/>
      <c r="AA13" s="642"/>
      <c r="AB13" s="642"/>
      <c r="AC13" s="645"/>
      <c r="AD13" s="642"/>
      <c r="AE13" s="642"/>
      <c r="AF13" s="642"/>
      <c r="AG13" s="642"/>
      <c r="AH13" s="642"/>
      <c r="AI13" s="642"/>
      <c r="AJ13" s="642"/>
      <c r="AK13" s="642"/>
      <c r="AL13" s="642">
        <f t="shared" si="5"/>
        <v>0</v>
      </c>
      <c r="AM13" s="642"/>
      <c r="AN13" s="642"/>
      <c r="AO13" s="642"/>
      <c r="AP13" s="645"/>
      <c r="AQ13" s="642"/>
    </row>
    <row r="14" spans="1:43" ht="20.25" customHeight="1" x14ac:dyDescent="0.25">
      <c r="A14" s="622"/>
      <c r="B14" s="277" t="s">
        <v>866</v>
      </c>
      <c r="C14" s="277"/>
      <c r="D14" s="622">
        <f>'Chi tiet'!AL46</f>
        <v>3</v>
      </c>
      <c r="E14" s="629">
        <f>COUNTIF('Chi tiet'!$L45:$L47,"A1")</f>
        <v>3</v>
      </c>
      <c r="F14" s="630">
        <f>E14/$D13</f>
        <v>0.1111111111111111</v>
      </c>
      <c r="G14" s="629">
        <f>COUNTIF('Chi tiet'!$L45:$L47,"A2")</f>
        <v>0</v>
      </c>
      <c r="H14" s="630">
        <f>G14/$D13</f>
        <v>0</v>
      </c>
      <c r="I14" s="629">
        <f>COUNTIF('Chi tiet'!$L45:$L47,"A3")</f>
        <v>0</v>
      </c>
      <c r="J14" s="629"/>
      <c r="K14" s="629">
        <f>COUNTIF('Chi tiet'!$L45:$L47,"A4")</f>
        <v>0</v>
      </c>
      <c r="L14" s="629"/>
      <c r="M14" s="629"/>
      <c r="N14" s="629"/>
      <c r="O14" s="629"/>
      <c r="P14" s="638"/>
      <c r="Q14" s="629"/>
      <c r="R14" s="635"/>
      <c r="S14" s="635"/>
      <c r="T14" s="635"/>
      <c r="U14" s="635"/>
      <c r="V14" s="635"/>
      <c r="W14" s="635"/>
      <c r="X14" s="635"/>
      <c r="Y14" s="635"/>
      <c r="Z14" s="635"/>
      <c r="AA14" s="635"/>
      <c r="AB14" s="635"/>
      <c r="AC14" s="639"/>
      <c r="AD14" s="635"/>
      <c r="AE14" s="632"/>
      <c r="AF14" s="632"/>
      <c r="AG14" s="632"/>
      <c r="AH14" s="632"/>
      <c r="AI14" s="632"/>
      <c r="AJ14" s="632"/>
      <c r="AK14" s="632"/>
      <c r="AL14" s="632"/>
      <c r="AM14" s="632"/>
      <c r="AN14" s="632"/>
      <c r="AO14" s="632"/>
      <c r="AP14" s="640"/>
      <c r="AQ14" s="632"/>
    </row>
    <row r="15" spans="1:43" ht="20.25" customHeight="1" x14ac:dyDescent="0.25">
      <c r="A15" s="622"/>
      <c r="B15" s="277" t="s">
        <v>865</v>
      </c>
      <c r="C15" s="277"/>
      <c r="D15" s="622">
        <f>'Chi tiet'!AL47</f>
        <v>24</v>
      </c>
      <c r="E15" s="629">
        <f>COUNTIF('Chi tiet'!$L48:$L72,"A1")</f>
        <v>1</v>
      </c>
      <c r="F15" s="630">
        <f>E15/$D13</f>
        <v>3.7037037037037035E-2</v>
      </c>
      <c r="G15" s="629">
        <f>COUNTIF('Chi tiet'!$L48:$L72,"A2")</f>
        <v>5</v>
      </c>
      <c r="H15" s="630">
        <f>G15/$D13</f>
        <v>0.18518518518518517</v>
      </c>
      <c r="I15" s="629">
        <f>COUNTIF('Chi tiet'!$L48:$L72,"A3")</f>
        <v>5</v>
      </c>
      <c r="J15" s="630"/>
      <c r="K15" s="629">
        <f>COUNTIF('Chi tiet'!$L48:$L72,"A4")</f>
        <v>12</v>
      </c>
      <c r="L15" s="629"/>
      <c r="M15" s="629"/>
      <c r="N15" s="629"/>
      <c r="O15" s="629"/>
      <c r="P15" s="638"/>
      <c r="Q15" s="629"/>
      <c r="R15" s="635">
        <v>6</v>
      </c>
      <c r="S15" s="636">
        <f>R15/$D13</f>
        <v>0.22222222222222221</v>
      </c>
      <c r="T15" s="635">
        <v>6</v>
      </c>
      <c r="U15" s="636">
        <f>T15/$D13</f>
        <v>0.22222222222222221</v>
      </c>
      <c r="V15" s="635"/>
      <c r="W15" s="636"/>
      <c r="X15" s="635"/>
      <c r="Y15" s="635"/>
      <c r="Z15" s="635"/>
      <c r="AA15" s="635"/>
      <c r="AB15" s="635"/>
      <c r="AC15" s="639"/>
      <c r="AD15" s="635"/>
      <c r="AE15" s="632">
        <v>6</v>
      </c>
      <c r="AF15" s="633">
        <f>AE15/$D13</f>
        <v>0.22222222222222221</v>
      </c>
      <c r="AG15" s="632">
        <v>6</v>
      </c>
      <c r="AH15" s="633">
        <f>AG15/$D13</f>
        <v>0.22222222222222221</v>
      </c>
      <c r="AI15" s="632"/>
      <c r="AJ15" s="633"/>
      <c r="AK15" s="632"/>
      <c r="AL15" s="632"/>
      <c r="AM15" s="632"/>
      <c r="AN15" s="632"/>
      <c r="AO15" s="632"/>
      <c r="AP15" s="640"/>
      <c r="AQ15" s="632"/>
    </row>
    <row r="16" spans="1:43" ht="20.25" customHeight="1" x14ac:dyDescent="0.25">
      <c r="A16" s="642">
        <v>5</v>
      </c>
      <c r="B16" s="643" t="s">
        <v>824</v>
      </c>
      <c r="C16" s="644" t="s">
        <v>873</v>
      </c>
      <c r="D16" s="642">
        <f>'Chi tiet'!$L$73</f>
        <v>15</v>
      </c>
      <c r="E16" s="642">
        <f>E17+E18</f>
        <v>1</v>
      </c>
      <c r="F16" s="642"/>
      <c r="G16" s="642">
        <f>G17+G18</f>
        <v>3</v>
      </c>
      <c r="H16" s="642"/>
      <c r="I16" s="642">
        <f>I17+I18</f>
        <v>7</v>
      </c>
      <c r="J16" s="642">
        <f t="shared" ref="J16" si="8">J17+J18</f>
        <v>0</v>
      </c>
      <c r="K16" s="642">
        <f t="shared" ref="K16" si="9">K17+K18</f>
        <v>4</v>
      </c>
      <c r="L16" s="642">
        <f t="shared" si="3"/>
        <v>0</v>
      </c>
      <c r="M16" s="642"/>
      <c r="N16" s="642"/>
      <c r="O16" s="642"/>
      <c r="P16" s="645"/>
      <c r="Q16" s="642"/>
      <c r="R16" s="642"/>
      <c r="S16" s="642"/>
      <c r="T16" s="642"/>
      <c r="U16" s="642"/>
      <c r="V16" s="642"/>
      <c r="W16" s="642"/>
      <c r="X16" s="642"/>
      <c r="Y16" s="642">
        <f t="shared" si="4"/>
        <v>0</v>
      </c>
      <c r="Z16" s="642"/>
      <c r="AA16" s="642"/>
      <c r="AB16" s="642"/>
      <c r="AC16" s="645"/>
      <c r="AD16" s="642"/>
      <c r="AE16" s="642"/>
      <c r="AF16" s="642"/>
      <c r="AG16" s="642"/>
      <c r="AH16" s="642"/>
      <c r="AI16" s="642"/>
      <c r="AJ16" s="642"/>
      <c r="AK16" s="642"/>
      <c r="AL16" s="642">
        <f t="shared" si="5"/>
        <v>0</v>
      </c>
      <c r="AM16" s="642"/>
      <c r="AN16" s="642"/>
      <c r="AO16" s="642"/>
      <c r="AP16" s="645"/>
      <c r="AQ16" s="642"/>
    </row>
    <row r="17" spans="1:43" ht="20.25" customHeight="1" x14ac:dyDescent="0.25">
      <c r="A17" s="622"/>
      <c r="B17" s="277" t="s">
        <v>866</v>
      </c>
      <c r="C17" s="277"/>
      <c r="D17" s="622">
        <f>'Chi tiet'!AL76</f>
        <v>2</v>
      </c>
      <c r="E17" s="629">
        <f>COUNTIF('Chi tiet'!$L75:$L76,"A1")</f>
        <v>1</v>
      </c>
      <c r="F17" s="630">
        <f>E17/$D16</f>
        <v>6.6666666666666666E-2</v>
      </c>
      <c r="G17" s="629">
        <f>COUNTIF('Chi tiet'!$L75:$L76,"A2")</f>
        <v>0</v>
      </c>
      <c r="H17" s="630">
        <f>G17/$D16</f>
        <v>0</v>
      </c>
      <c r="I17" s="629">
        <f>COUNTIF('Chi tiet'!$L75:$L76,"A3")</f>
        <v>0</v>
      </c>
      <c r="J17" s="629"/>
      <c r="K17" s="629">
        <f>COUNTIF('Chi tiet'!$L75:$L76,"A4")</f>
        <v>1</v>
      </c>
      <c r="L17" s="629"/>
      <c r="M17" s="629"/>
      <c r="N17" s="629"/>
      <c r="O17" s="629"/>
      <c r="P17" s="638"/>
      <c r="Q17" s="629"/>
      <c r="R17" s="635"/>
      <c r="S17" s="635"/>
      <c r="T17" s="635"/>
      <c r="U17" s="635"/>
      <c r="V17" s="635"/>
      <c r="W17" s="635"/>
      <c r="X17" s="635"/>
      <c r="Y17" s="635"/>
      <c r="Z17" s="635"/>
      <c r="AA17" s="635"/>
      <c r="AB17" s="635"/>
      <c r="AC17" s="639"/>
      <c r="AD17" s="635"/>
      <c r="AE17" s="632"/>
      <c r="AF17" s="632"/>
      <c r="AG17" s="632"/>
      <c r="AH17" s="632"/>
      <c r="AI17" s="632"/>
      <c r="AJ17" s="632"/>
      <c r="AK17" s="632"/>
      <c r="AL17" s="632"/>
      <c r="AM17" s="632"/>
      <c r="AN17" s="632"/>
      <c r="AO17" s="632"/>
      <c r="AP17" s="640"/>
      <c r="AQ17" s="632"/>
    </row>
    <row r="18" spans="1:43" ht="20.25" customHeight="1" x14ac:dyDescent="0.25">
      <c r="A18" s="622"/>
      <c r="B18" s="277" t="s">
        <v>865</v>
      </c>
      <c r="C18" s="277"/>
      <c r="D18" s="622">
        <f>'Chi tiet'!AL77</f>
        <v>13</v>
      </c>
      <c r="E18" s="629">
        <f>COUNTIF('Chi tiet'!$L77:$L90,"A1")</f>
        <v>0</v>
      </c>
      <c r="F18" s="630">
        <f>E18/$D16</f>
        <v>0</v>
      </c>
      <c r="G18" s="629">
        <f>COUNTIF('Chi tiet'!$L77:$L90,"A2")</f>
        <v>3</v>
      </c>
      <c r="H18" s="630">
        <f>G18/$D16</f>
        <v>0.2</v>
      </c>
      <c r="I18" s="629">
        <f>COUNTIF('Chi tiet'!$L77:$L90,"A3")</f>
        <v>7</v>
      </c>
      <c r="J18" s="630"/>
      <c r="K18" s="629">
        <f>COUNTIF('Chi tiet'!$L77:$L90,"A4")</f>
        <v>3</v>
      </c>
      <c r="L18" s="629"/>
      <c r="M18" s="629"/>
      <c r="N18" s="629"/>
      <c r="O18" s="629"/>
      <c r="P18" s="638"/>
      <c r="Q18" s="629"/>
      <c r="R18" s="635">
        <v>4</v>
      </c>
      <c r="S18" s="636">
        <f>R18/$D16</f>
        <v>0.26666666666666666</v>
      </c>
      <c r="T18" s="635">
        <v>4</v>
      </c>
      <c r="U18" s="636">
        <f>T18/$D16</f>
        <v>0.26666666666666666</v>
      </c>
      <c r="V18" s="635"/>
      <c r="W18" s="636"/>
      <c r="X18" s="635"/>
      <c r="Y18" s="635"/>
      <c r="Z18" s="635"/>
      <c r="AA18" s="635"/>
      <c r="AB18" s="635"/>
      <c r="AC18" s="639"/>
      <c r="AD18" s="635"/>
      <c r="AE18" s="632">
        <v>4</v>
      </c>
      <c r="AF18" s="633">
        <f>AE18/$D16</f>
        <v>0.26666666666666666</v>
      </c>
      <c r="AG18" s="632">
        <v>4</v>
      </c>
      <c r="AH18" s="633">
        <f>AG18/$D16</f>
        <v>0.26666666666666666</v>
      </c>
      <c r="AI18" s="632"/>
      <c r="AJ18" s="633"/>
      <c r="AK18" s="632"/>
      <c r="AL18" s="632"/>
      <c r="AM18" s="632"/>
      <c r="AN18" s="632"/>
      <c r="AO18" s="632"/>
      <c r="AP18" s="640"/>
      <c r="AQ18" s="632"/>
    </row>
    <row r="19" spans="1:43" ht="20.25" customHeight="1" x14ac:dyDescent="0.25">
      <c r="A19" s="642">
        <v>6</v>
      </c>
      <c r="B19" s="643" t="s">
        <v>825</v>
      </c>
      <c r="C19" s="644" t="s">
        <v>874</v>
      </c>
      <c r="D19" s="642">
        <f>'Chi tiet'!$L$91</f>
        <v>7</v>
      </c>
      <c r="E19" s="642">
        <f>E20+E21</f>
        <v>0</v>
      </c>
      <c r="F19" s="642"/>
      <c r="G19" s="642">
        <f>G20+G21</f>
        <v>2</v>
      </c>
      <c r="H19" s="642"/>
      <c r="I19" s="642">
        <f>I20+I21</f>
        <v>3</v>
      </c>
      <c r="J19" s="642">
        <f t="shared" ref="J19" si="10">J20+J21</f>
        <v>0</v>
      </c>
      <c r="K19" s="642">
        <f t="shared" ref="K19" si="11">K20+K21</f>
        <v>2</v>
      </c>
      <c r="L19" s="642">
        <f t="shared" si="3"/>
        <v>0</v>
      </c>
      <c r="M19" s="642"/>
      <c r="N19" s="642"/>
      <c r="O19" s="642"/>
      <c r="P19" s="645"/>
      <c r="Q19" s="642"/>
      <c r="R19" s="642"/>
      <c r="S19" s="642"/>
      <c r="T19" s="642"/>
      <c r="U19" s="642"/>
      <c r="V19" s="642"/>
      <c r="W19" s="642"/>
      <c r="X19" s="642"/>
      <c r="Y19" s="642">
        <f t="shared" si="4"/>
        <v>0</v>
      </c>
      <c r="Z19" s="642"/>
      <c r="AA19" s="642"/>
      <c r="AB19" s="642"/>
      <c r="AC19" s="645"/>
      <c r="AD19" s="642"/>
      <c r="AE19" s="642"/>
      <c r="AF19" s="642"/>
      <c r="AG19" s="642"/>
      <c r="AH19" s="642"/>
      <c r="AI19" s="642"/>
      <c r="AJ19" s="642"/>
      <c r="AK19" s="642"/>
      <c r="AL19" s="642">
        <f t="shared" si="5"/>
        <v>0</v>
      </c>
      <c r="AM19" s="642"/>
      <c r="AN19" s="642"/>
      <c r="AO19" s="642"/>
      <c r="AP19" s="645"/>
      <c r="AQ19" s="642"/>
    </row>
    <row r="20" spans="1:43" ht="20.25" customHeight="1" x14ac:dyDescent="0.25">
      <c r="A20" s="622"/>
      <c r="B20" s="277" t="s">
        <v>866</v>
      </c>
      <c r="C20" s="277"/>
      <c r="D20" s="622">
        <f>'Chi tiet'!AL93</f>
        <v>7</v>
      </c>
      <c r="E20" s="629">
        <f>COUNTIF('Chi tiet'!$L93:$L94,"A1")</f>
        <v>0</v>
      </c>
      <c r="F20" s="630">
        <f>E20/$D19</f>
        <v>0</v>
      </c>
      <c r="G20" s="629">
        <f>COUNTIF('Chi tiet'!$L93:$L94,"A2")</f>
        <v>0</v>
      </c>
      <c r="H20" s="630">
        <f>G20/$D19</f>
        <v>0</v>
      </c>
      <c r="I20" s="629">
        <f>COUNTIF('Chi tiet'!$L93:$L94,"A3")</f>
        <v>0</v>
      </c>
      <c r="J20" s="629"/>
      <c r="K20" s="629">
        <f>COUNTIF('Chi tiet'!$L93:$L94,"A4")</f>
        <v>2</v>
      </c>
      <c r="L20" s="629"/>
      <c r="M20" s="629"/>
      <c r="N20" s="629"/>
      <c r="O20" s="629"/>
      <c r="P20" s="638"/>
      <c r="Q20" s="629"/>
      <c r="R20" s="635"/>
      <c r="S20" s="635"/>
      <c r="T20" s="635"/>
      <c r="U20" s="635"/>
      <c r="V20" s="635"/>
      <c r="W20" s="635"/>
      <c r="X20" s="635"/>
      <c r="Y20" s="635"/>
      <c r="Z20" s="635"/>
      <c r="AA20" s="635"/>
      <c r="AB20" s="635"/>
      <c r="AC20" s="639"/>
      <c r="AD20" s="635"/>
      <c r="AE20" s="632"/>
      <c r="AF20" s="632"/>
      <c r="AG20" s="632"/>
      <c r="AH20" s="632"/>
      <c r="AI20" s="632"/>
      <c r="AJ20" s="632"/>
      <c r="AK20" s="632"/>
      <c r="AL20" s="632"/>
      <c r="AM20" s="632"/>
      <c r="AN20" s="632"/>
      <c r="AO20" s="632"/>
      <c r="AP20" s="640"/>
      <c r="AQ20" s="632"/>
    </row>
    <row r="21" spans="1:43" ht="20.25" customHeight="1" x14ac:dyDescent="0.25">
      <c r="A21" s="622"/>
      <c r="B21" s="277" t="s">
        <v>865</v>
      </c>
      <c r="C21" s="277"/>
      <c r="D21" s="622">
        <f>'Chi tiet'!AL94</f>
        <v>2</v>
      </c>
      <c r="E21" s="629">
        <f>COUNTIF('Chi tiet'!$L95:$L100,"A1")</f>
        <v>0</v>
      </c>
      <c r="F21" s="630">
        <f>E21/$D19</f>
        <v>0</v>
      </c>
      <c r="G21" s="629">
        <f>COUNTIF('Chi tiet'!$L95:$L100,"A2")</f>
        <v>2</v>
      </c>
      <c r="H21" s="630">
        <f>G21/$D19</f>
        <v>0.2857142857142857</v>
      </c>
      <c r="I21" s="629">
        <f>COUNTIF('Chi tiet'!$L95:$L100,"A3")</f>
        <v>3</v>
      </c>
      <c r="J21" s="630"/>
      <c r="K21" s="629">
        <f>COUNTIF('Chi tiet'!$L95:$L100,"A4")</f>
        <v>0</v>
      </c>
      <c r="L21" s="629"/>
      <c r="M21" s="629"/>
      <c r="N21" s="629"/>
      <c r="O21" s="629"/>
      <c r="P21" s="638"/>
      <c r="Q21" s="629"/>
      <c r="R21" s="635">
        <v>2</v>
      </c>
      <c r="S21" s="636">
        <f>R21/$D19</f>
        <v>0.2857142857142857</v>
      </c>
      <c r="T21" s="635">
        <v>2</v>
      </c>
      <c r="U21" s="636">
        <f>T21/$D19</f>
        <v>0.2857142857142857</v>
      </c>
      <c r="V21" s="635"/>
      <c r="W21" s="636"/>
      <c r="X21" s="635"/>
      <c r="Y21" s="635"/>
      <c r="Z21" s="635"/>
      <c r="AA21" s="635"/>
      <c r="AB21" s="635"/>
      <c r="AC21" s="639"/>
      <c r="AD21" s="635"/>
      <c r="AE21" s="632">
        <v>2</v>
      </c>
      <c r="AF21" s="633">
        <f>AE21/$D19</f>
        <v>0.2857142857142857</v>
      </c>
      <c r="AG21" s="632">
        <v>2</v>
      </c>
      <c r="AH21" s="633">
        <f>AG21/$D19</f>
        <v>0.2857142857142857</v>
      </c>
      <c r="AI21" s="632"/>
      <c r="AJ21" s="633"/>
      <c r="AK21" s="632"/>
      <c r="AL21" s="632"/>
      <c r="AM21" s="632"/>
      <c r="AN21" s="632"/>
      <c r="AO21" s="632"/>
      <c r="AP21" s="640"/>
      <c r="AQ21" s="632"/>
    </row>
    <row r="22" spans="1:43" ht="20.25" customHeight="1" x14ac:dyDescent="0.25">
      <c r="A22" s="642">
        <v>7</v>
      </c>
      <c r="B22" s="643" t="s">
        <v>826</v>
      </c>
      <c r="C22" s="644" t="s">
        <v>875</v>
      </c>
      <c r="D22" s="642">
        <f>'Chi tiet'!$L$101</f>
        <v>3</v>
      </c>
      <c r="E22" s="642">
        <f>E23+E24</f>
        <v>1</v>
      </c>
      <c r="F22" s="642"/>
      <c r="G22" s="642">
        <f>G23+G24</f>
        <v>1</v>
      </c>
      <c r="H22" s="642"/>
      <c r="I22" s="642">
        <f>I23+I24</f>
        <v>0</v>
      </c>
      <c r="J22" s="642">
        <f t="shared" ref="J22" si="12">J23+J24</f>
        <v>0</v>
      </c>
      <c r="K22" s="642">
        <f t="shared" ref="K22" si="13">K23+K24</f>
        <v>1</v>
      </c>
      <c r="L22" s="642">
        <f t="shared" si="3"/>
        <v>0</v>
      </c>
      <c r="M22" s="642"/>
      <c r="N22" s="642"/>
      <c r="O22" s="642"/>
      <c r="P22" s="645"/>
      <c r="Q22" s="642"/>
      <c r="R22" s="642"/>
      <c r="S22" s="642"/>
      <c r="T22" s="642"/>
      <c r="U22" s="642"/>
      <c r="V22" s="642"/>
      <c r="W22" s="642"/>
      <c r="X22" s="642"/>
      <c r="Y22" s="642">
        <f t="shared" si="4"/>
        <v>0</v>
      </c>
      <c r="Z22" s="642"/>
      <c r="AA22" s="642"/>
      <c r="AB22" s="642"/>
      <c r="AC22" s="645"/>
      <c r="AD22" s="642"/>
      <c r="AE22" s="642"/>
      <c r="AF22" s="642"/>
      <c r="AG22" s="642"/>
      <c r="AH22" s="642"/>
      <c r="AI22" s="642"/>
      <c r="AJ22" s="642"/>
      <c r="AK22" s="642"/>
      <c r="AL22" s="642">
        <f t="shared" si="5"/>
        <v>0</v>
      </c>
      <c r="AM22" s="642"/>
      <c r="AN22" s="642"/>
      <c r="AO22" s="642"/>
      <c r="AP22" s="645"/>
      <c r="AQ22" s="642"/>
    </row>
    <row r="23" spans="1:43" ht="20.25" customHeight="1" x14ac:dyDescent="0.25">
      <c r="A23" s="622"/>
      <c r="B23" s="277" t="s">
        <v>866</v>
      </c>
      <c r="C23" s="277"/>
      <c r="D23" s="622">
        <f>'Chi tiet'!AL104</f>
        <v>1</v>
      </c>
      <c r="E23" s="629">
        <f>COUNTIF('Chi tiet'!$L103:$L103,"A1")</f>
        <v>0</v>
      </c>
      <c r="F23" s="630">
        <f>E23/$D22</f>
        <v>0</v>
      </c>
      <c r="G23" s="629">
        <f>COUNTIF('Chi tiet'!$L103:$L103,"A2")</f>
        <v>1</v>
      </c>
      <c r="H23" s="629"/>
      <c r="I23" s="629">
        <f>COUNTIF('Chi tiet'!$L103:$L103,"A3")</f>
        <v>0</v>
      </c>
      <c r="J23" s="629"/>
      <c r="K23" s="629">
        <f>COUNTIF('Chi tiet'!$L103:$L103,"A4")</f>
        <v>0</v>
      </c>
      <c r="L23" s="629"/>
      <c r="M23" s="629"/>
      <c r="N23" s="629"/>
      <c r="O23" s="629"/>
      <c r="P23" s="638"/>
      <c r="Q23" s="629"/>
      <c r="R23" s="635"/>
      <c r="S23" s="635"/>
      <c r="T23" s="635"/>
      <c r="U23" s="635"/>
      <c r="V23" s="635"/>
      <c r="W23" s="635"/>
      <c r="X23" s="635"/>
      <c r="Y23" s="635"/>
      <c r="Z23" s="635"/>
      <c r="AA23" s="635"/>
      <c r="AB23" s="635"/>
      <c r="AC23" s="639"/>
      <c r="AD23" s="635"/>
      <c r="AE23" s="632"/>
      <c r="AF23" s="632"/>
      <c r="AG23" s="632"/>
      <c r="AH23" s="632"/>
      <c r="AI23" s="632"/>
      <c r="AJ23" s="632"/>
      <c r="AK23" s="632"/>
      <c r="AL23" s="632"/>
      <c r="AM23" s="632"/>
      <c r="AN23" s="632"/>
      <c r="AO23" s="632"/>
      <c r="AP23" s="640"/>
      <c r="AQ23" s="632"/>
    </row>
    <row r="24" spans="1:43" ht="20.25" customHeight="1" x14ac:dyDescent="0.25">
      <c r="A24" s="622"/>
      <c r="B24" s="277" t="s">
        <v>865</v>
      </c>
      <c r="C24" s="277"/>
      <c r="D24" s="622">
        <f>'Chi tiet'!AL105</f>
        <v>2</v>
      </c>
      <c r="E24" s="629">
        <f>COUNTIF('Chi tiet'!$L105:$L106,"A1")</f>
        <v>1</v>
      </c>
      <c r="F24" s="630">
        <f>E24/$D22</f>
        <v>0.33333333333333331</v>
      </c>
      <c r="G24" s="629">
        <f>COUNTIF('Chi tiet'!$L105:$L106,"A2")</f>
        <v>0</v>
      </c>
      <c r="H24" s="630">
        <f>G24/$D22</f>
        <v>0</v>
      </c>
      <c r="I24" s="629">
        <f>COUNTIF('Chi tiet'!$L105:$L106,"A3")</f>
        <v>0</v>
      </c>
      <c r="J24" s="630"/>
      <c r="K24" s="629">
        <f>COUNTIF('Chi tiet'!$L105:$L106,"A4")</f>
        <v>1</v>
      </c>
      <c r="L24" s="629"/>
      <c r="M24" s="629"/>
      <c r="N24" s="629"/>
      <c r="O24" s="629"/>
      <c r="P24" s="638"/>
      <c r="Q24" s="629"/>
      <c r="R24" s="635">
        <v>1</v>
      </c>
      <c r="S24" s="636">
        <f>R24/$D22</f>
        <v>0.33333333333333331</v>
      </c>
      <c r="T24" s="635">
        <v>1</v>
      </c>
      <c r="U24" s="636">
        <f>T24/$D22</f>
        <v>0.33333333333333331</v>
      </c>
      <c r="V24" s="635"/>
      <c r="W24" s="636"/>
      <c r="X24" s="635"/>
      <c r="Y24" s="635"/>
      <c r="Z24" s="635"/>
      <c r="AA24" s="635"/>
      <c r="AB24" s="635"/>
      <c r="AC24" s="639"/>
      <c r="AD24" s="635"/>
      <c r="AE24" s="632">
        <v>1</v>
      </c>
      <c r="AF24" s="633">
        <f>AE24/$D22</f>
        <v>0.33333333333333331</v>
      </c>
      <c r="AG24" s="632">
        <v>1</v>
      </c>
      <c r="AH24" s="633">
        <f>AG24/$D22</f>
        <v>0.33333333333333331</v>
      </c>
      <c r="AI24" s="632"/>
      <c r="AJ24" s="633"/>
      <c r="AK24" s="632"/>
      <c r="AL24" s="632"/>
      <c r="AM24" s="632"/>
      <c r="AN24" s="632"/>
      <c r="AO24" s="632"/>
      <c r="AP24" s="640"/>
      <c r="AQ24" s="632"/>
    </row>
    <row r="25" spans="1:43" ht="20.25" customHeight="1" x14ac:dyDescent="0.25">
      <c r="A25" s="642">
        <v>8</v>
      </c>
      <c r="B25" s="643" t="s">
        <v>827</v>
      </c>
      <c r="C25" s="644" t="s">
        <v>876</v>
      </c>
      <c r="D25" s="642">
        <f>'Chi tiet'!$L$107</f>
        <v>27</v>
      </c>
      <c r="E25" s="642"/>
      <c r="F25" s="642"/>
      <c r="G25" s="642"/>
      <c r="H25" s="642"/>
      <c r="I25" s="642"/>
      <c r="J25" s="642"/>
      <c r="K25" s="642"/>
      <c r="L25" s="642">
        <f t="shared" si="3"/>
        <v>0</v>
      </c>
      <c r="M25" s="642"/>
      <c r="N25" s="642"/>
      <c r="O25" s="642"/>
      <c r="P25" s="645"/>
      <c r="Q25" s="642"/>
      <c r="R25" s="642"/>
      <c r="S25" s="642"/>
      <c r="T25" s="642"/>
      <c r="U25" s="642"/>
      <c r="V25" s="642"/>
      <c r="W25" s="642"/>
      <c r="X25" s="642"/>
      <c r="Y25" s="642">
        <f t="shared" si="4"/>
        <v>0</v>
      </c>
      <c r="Z25" s="642"/>
      <c r="AA25" s="642"/>
      <c r="AB25" s="642"/>
      <c r="AC25" s="645"/>
      <c r="AD25" s="642"/>
      <c r="AE25" s="642"/>
      <c r="AF25" s="642"/>
      <c r="AG25" s="642"/>
      <c r="AH25" s="642"/>
      <c r="AI25" s="642"/>
      <c r="AJ25" s="642"/>
      <c r="AK25" s="642"/>
      <c r="AL25" s="642">
        <f t="shared" si="5"/>
        <v>0</v>
      </c>
      <c r="AM25" s="642"/>
      <c r="AN25" s="642"/>
      <c r="AO25" s="642"/>
      <c r="AP25" s="645"/>
      <c r="AQ25" s="642"/>
    </row>
    <row r="26" spans="1:43" ht="20.25" customHeight="1" x14ac:dyDescent="0.25">
      <c r="A26" s="622"/>
      <c r="B26" s="277" t="s">
        <v>866</v>
      </c>
      <c r="C26" s="277"/>
      <c r="D26" s="622">
        <f>'Chi tiet'!AL110</f>
        <v>3</v>
      </c>
      <c r="E26" s="629">
        <f>COUNTIF('Chi tiet'!$L109:$L110,"A1")</f>
        <v>2</v>
      </c>
      <c r="F26" s="630">
        <f>E26/$D25</f>
        <v>7.407407407407407E-2</v>
      </c>
      <c r="G26" s="629">
        <f>COUNTIF('Chi tiet'!$L109:$L110,"A2")</f>
        <v>0</v>
      </c>
      <c r="H26" s="629"/>
      <c r="I26" s="629">
        <f>COUNTIF('Chi tiet'!$L109:$L110,"A3")</f>
        <v>0</v>
      </c>
      <c r="J26" s="629"/>
      <c r="K26" s="629">
        <f>COUNTIF('Chi tiet'!$L109:$L110,"A4")</f>
        <v>0</v>
      </c>
      <c r="L26" s="629"/>
      <c r="M26" s="629">
        <f>COUNTIF('Chi tiet'!$L109:$L110,"B1")</f>
        <v>0</v>
      </c>
      <c r="N26" s="629">
        <f>COUNTIF('Chi tiet'!$L109:$L110,"B2")</f>
        <v>0</v>
      </c>
      <c r="O26" s="629">
        <f>COUNTIF('Chi tiet'!$L109:$L110,"C1")</f>
        <v>0</v>
      </c>
      <c r="P26" s="629">
        <f>COUNTIF('Chi tiet'!$L109:$L110,"C2")</f>
        <v>0</v>
      </c>
      <c r="Q26" s="629">
        <f>COUNTIF('Chi tiet'!$L109:$L110,"D")</f>
        <v>0</v>
      </c>
      <c r="R26" s="635"/>
      <c r="S26" s="635"/>
      <c r="T26" s="635"/>
      <c r="U26" s="635"/>
      <c r="V26" s="635"/>
      <c r="W26" s="635"/>
      <c r="X26" s="635"/>
      <c r="Y26" s="635"/>
      <c r="Z26" s="635"/>
      <c r="AA26" s="635"/>
      <c r="AB26" s="635"/>
      <c r="AC26" s="639"/>
      <c r="AD26" s="635"/>
      <c r="AE26" s="632"/>
      <c r="AF26" s="632"/>
      <c r="AG26" s="632"/>
      <c r="AH26" s="632"/>
      <c r="AI26" s="632"/>
      <c r="AJ26" s="632"/>
      <c r="AK26" s="632"/>
      <c r="AL26" s="632"/>
      <c r="AM26" s="632"/>
      <c r="AN26" s="632"/>
      <c r="AO26" s="632"/>
      <c r="AP26" s="640"/>
      <c r="AQ26" s="632"/>
    </row>
    <row r="27" spans="1:43" ht="20.25" customHeight="1" x14ac:dyDescent="0.25">
      <c r="A27" s="622"/>
      <c r="B27" s="277" t="s">
        <v>865</v>
      </c>
      <c r="C27" s="277"/>
      <c r="D27" s="622">
        <f>'Chi tiet'!AL112</f>
        <v>0</v>
      </c>
      <c r="E27" s="629">
        <f>COUNTIF('Chi tiet'!$L112:$L136,"A1")</f>
        <v>0</v>
      </c>
      <c r="F27" s="630">
        <f>E27/$D25</f>
        <v>0</v>
      </c>
      <c r="G27" s="629">
        <f>COUNTIF('Chi tiet'!$L112:$L136,"A2")</f>
        <v>5</v>
      </c>
      <c r="H27" s="630">
        <f>G27/$D25</f>
        <v>0.18518518518518517</v>
      </c>
      <c r="I27" s="629">
        <f>COUNTIF('Chi tiet'!$L112:$L136,"A3")</f>
        <v>5</v>
      </c>
      <c r="J27" s="630"/>
      <c r="K27" s="629">
        <f>COUNTIF('Chi tiet'!$L112:$L136,"A4")</f>
        <v>13</v>
      </c>
      <c r="L27" s="629"/>
      <c r="M27" s="629">
        <f>COUNTIF('Chi tiet'!$L112:$L136,"B1")</f>
        <v>0</v>
      </c>
      <c r="N27" s="629">
        <f>COUNTIF('Chi tiet'!$L112:$L136,"B2")</f>
        <v>0</v>
      </c>
      <c r="O27" s="629">
        <f>COUNTIF('Chi tiet'!$L112:$L136,"C1")</f>
        <v>0</v>
      </c>
      <c r="P27" s="629">
        <f>COUNTIF('Chi tiet'!$L112:$L136,"C2")</f>
        <v>0</v>
      </c>
      <c r="Q27" s="629">
        <f>COUNTIF('Chi tiet'!$L112:$L136,"D")</f>
        <v>0</v>
      </c>
      <c r="R27" s="635">
        <v>7</v>
      </c>
      <c r="S27" s="636">
        <f>R27/$D25</f>
        <v>0.25925925925925924</v>
      </c>
      <c r="T27" s="635">
        <v>7</v>
      </c>
      <c r="U27" s="636">
        <f>T27/$D25</f>
        <v>0.25925925925925924</v>
      </c>
      <c r="V27" s="635"/>
      <c r="W27" s="636"/>
      <c r="X27" s="635"/>
      <c r="Y27" s="635"/>
      <c r="Z27" s="635"/>
      <c r="AA27" s="635"/>
      <c r="AB27" s="635"/>
      <c r="AC27" s="639"/>
      <c r="AD27" s="635"/>
      <c r="AE27" s="632">
        <v>7</v>
      </c>
      <c r="AF27" s="633">
        <f>AE27/$D25</f>
        <v>0.25925925925925924</v>
      </c>
      <c r="AG27" s="632">
        <v>7</v>
      </c>
      <c r="AH27" s="633">
        <f>AG27/$D25</f>
        <v>0.25925925925925924</v>
      </c>
      <c r="AI27" s="632"/>
      <c r="AJ27" s="633"/>
      <c r="AK27" s="632"/>
      <c r="AL27" s="632"/>
      <c r="AM27" s="632"/>
      <c r="AN27" s="632"/>
      <c r="AO27" s="632"/>
      <c r="AP27" s="640"/>
      <c r="AQ27" s="632"/>
    </row>
    <row r="28" spans="1:43" ht="20.25" customHeight="1" x14ac:dyDescent="0.25">
      <c r="A28" s="642">
        <v>9</v>
      </c>
      <c r="B28" s="643" t="s">
        <v>828</v>
      </c>
      <c r="C28" s="644" t="s">
        <v>877</v>
      </c>
      <c r="D28" s="642">
        <f>'Chi tiet'!$L$137</f>
        <v>21</v>
      </c>
      <c r="E28" s="642"/>
      <c r="F28" s="642"/>
      <c r="G28" s="642"/>
      <c r="H28" s="642"/>
      <c r="I28" s="642"/>
      <c r="J28" s="642"/>
      <c r="K28" s="642"/>
      <c r="L28" s="642">
        <f t="shared" si="3"/>
        <v>0</v>
      </c>
      <c r="M28" s="642"/>
      <c r="N28" s="642"/>
      <c r="O28" s="642"/>
      <c r="P28" s="645"/>
      <c r="Q28" s="642"/>
      <c r="R28" s="642"/>
      <c r="S28" s="642"/>
      <c r="T28" s="642"/>
      <c r="U28" s="642"/>
      <c r="V28" s="642"/>
      <c r="W28" s="642"/>
      <c r="X28" s="642"/>
      <c r="Y28" s="642">
        <f t="shared" si="4"/>
        <v>0</v>
      </c>
      <c r="Z28" s="642"/>
      <c r="AA28" s="642"/>
      <c r="AB28" s="642"/>
      <c r="AC28" s="645"/>
      <c r="AD28" s="642"/>
      <c r="AE28" s="642"/>
      <c r="AF28" s="642"/>
      <c r="AG28" s="642"/>
      <c r="AH28" s="642"/>
      <c r="AI28" s="642"/>
      <c r="AJ28" s="642"/>
      <c r="AK28" s="642"/>
      <c r="AL28" s="642">
        <f t="shared" si="5"/>
        <v>0</v>
      </c>
      <c r="AM28" s="642"/>
      <c r="AN28" s="642"/>
      <c r="AO28" s="642"/>
      <c r="AP28" s="645"/>
      <c r="AQ28" s="642"/>
    </row>
    <row r="29" spans="1:43" ht="20.25" customHeight="1" x14ac:dyDescent="0.25">
      <c r="A29" s="622"/>
      <c r="B29" s="277" t="s">
        <v>866</v>
      </c>
      <c r="C29" s="277"/>
      <c r="D29" s="622">
        <f>'Chi tiet'!AL140</f>
        <v>2</v>
      </c>
      <c r="E29" s="629">
        <f>COUNTIF('Chi tiet'!$L139:$L140,"A1")</f>
        <v>1</v>
      </c>
      <c r="F29" s="630">
        <f>E29/$D28</f>
        <v>4.7619047619047616E-2</v>
      </c>
      <c r="G29" s="629">
        <f>COUNTIF('Chi tiet'!$L139:$L140,"A2")</f>
        <v>0</v>
      </c>
      <c r="H29" s="629"/>
      <c r="I29" s="629">
        <f>COUNTIF('Chi tiet'!$L139:$L140,"A3")</f>
        <v>0</v>
      </c>
      <c r="J29" s="629"/>
      <c r="K29" s="629">
        <f>COUNTIF('Chi tiet'!$L139:$L140,"A4")</f>
        <v>1</v>
      </c>
      <c r="L29" s="629"/>
      <c r="M29" s="629"/>
      <c r="N29" s="629"/>
      <c r="O29" s="629"/>
      <c r="P29" s="638"/>
      <c r="Q29" s="629"/>
      <c r="R29" s="635"/>
      <c r="S29" s="635"/>
      <c r="T29" s="635"/>
      <c r="U29" s="635"/>
      <c r="V29" s="635"/>
      <c r="W29" s="635"/>
      <c r="X29" s="635"/>
      <c r="Y29" s="635"/>
      <c r="Z29" s="635"/>
      <c r="AA29" s="635"/>
      <c r="AB29" s="635"/>
      <c r="AC29" s="639"/>
      <c r="AD29" s="635"/>
      <c r="AE29" s="632"/>
      <c r="AF29" s="632"/>
      <c r="AG29" s="632"/>
      <c r="AH29" s="632"/>
      <c r="AI29" s="632"/>
      <c r="AJ29" s="632"/>
      <c r="AK29" s="632"/>
      <c r="AL29" s="632"/>
      <c r="AM29" s="632"/>
      <c r="AN29" s="632"/>
      <c r="AO29" s="632"/>
      <c r="AP29" s="640"/>
      <c r="AQ29" s="632"/>
    </row>
    <row r="30" spans="1:43" ht="20.25" customHeight="1" x14ac:dyDescent="0.25">
      <c r="A30" s="622"/>
      <c r="B30" s="277" t="s">
        <v>865</v>
      </c>
      <c r="C30" s="277"/>
      <c r="D30" s="622">
        <f>'Chi tiet'!AL141</f>
        <v>19</v>
      </c>
      <c r="E30" s="629">
        <f>COUNTIF('Chi tiet'!$L141:$L174,"A1")</f>
        <v>2</v>
      </c>
      <c r="F30" s="630">
        <f>E30/$D28</f>
        <v>9.5238095238095233E-2</v>
      </c>
      <c r="G30" s="629">
        <f>COUNTIF('Chi tiet'!$L141:$L174,"A2")</f>
        <v>3</v>
      </c>
      <c r="H30" s="630">
        <f>G30/$D28</f>
        <v>0.14285714285714285</v>
      </c>
      <c r="I30" s="629">
        <f>COUNTIF('Chi tiet'!$L141:$L174,"A3")</f>
        <v>7</v>
      </c>
      <c r="J30" s="630"/>
      <c r="K30" s="629">
        <f>COUNTIF('Chi tiet'!$L141:$L174,"A4")</f>
        <v>19</v>
      </c>
      <c r="L30" s="629"/>
      <c r="M30" s="629"/>
      <c r="N30" s="629"/>
      <c r="O30" s="629"/>
      <c r="P30" s="638"/>
      <c r="Q30" s="629"/>
      <c r="R30" s="635">
        <v>8</v>
      </c>
      <c r="S30" s="636">
        <f>R30/$D28</f>
        <v>0.38095238095238093</v>
      </c>
      <c r="T30" s="635">
        <v>8</v>
      </c>
      <c r="U30" s="636">
        <f>T30/$D28</f>
        <v>0.38095238095238093</v>
      </c>
      <c r="V30" s="635"/>
      <c r="W30" s="636"/>
      <c r="X30" s="635"/>
      <c r="Y30" s="635"/>
      <c r="Z30" s="635"/>
      <c r="AA30" s="635"/>
      <c r="AB30" s="635"/>
      <c r="AC30" s="639"/>
      <c r="AD30" s="635"/>
      <c r="AE30" s="632">
        <v>8</v>
      </c>
      <c r="AF30" s="633">
        <f>AE30/$D28</f>
        <v>0.38095238095238093</v>
      </c>
      <c r="AG30" s="632">
        <v>8</v>
      </c>
      <c r="AH30" s="633">
        <f>AG30/$D28</f>
        <v>0.38095238095238093</v>
      </c>
      <c r="AI30" s="632"/>
      <c r="AJ30" s="633"/>
      <c r="AK30" s="632"/>
      <c r="AL30" s="632"/>
      <c r="AM30" s="632"/>
      <c r="AN30" s="632"/>
      <c r="AO30" s="632"/>
      <c r="AP30" s="640"/>
      <c r="AQ30" s="632"/>
    </row>
    <row r="31" spans="1:43" ht="20.25" customHeight="1" x14ac:dyDescent="0.25">
      <c r="A31" s="642">
        <v>10</v>
      </c>
      <c r="B31" s="643" t="s">
        <v>829</v>
      </c>
      <c r="C31" s="644" t="s">
        <v>878</v>
      </c>
      <c r="D31" s="642">
        <f>'Chi tiet'!$L$175</f>
        <v>15</v>
      </c>
      <c r="E31" s="642"/>
      <c r="F31" s="642"/>
      <c r="G31" s="642"/>
      <c r="H31" s="642"/>
      <c r="I31" s="642"/>
      <c r="J31" s="642"/>
      <c r="K31" s="642"/>
      <c r="L31" s="642">
        <f t="shared" si="3"/>
        <v>0</v>
      </c>
      <c r="M31" s="642"/>
      <c r="N31" s="642"/>
      <c r="O31" s="642"/>
      <c r="P31" s="645"/>
      <c r="Q31" s="642"/>
      <c r="R31" s="642"/>
      <c r="S31" s="642"/>
      <c r="T31" s="642"/>
      <c r="U31" s="642"/>
      <c r="V31" s="642"/>
      <c r="W31" s="642"/>
      <c r="X31" s="642"/>
      <c r="Y31" s="642">
        <f t="shared" si="4"/>
        <v>0</v>
      </c>
      <c r="Z31" s="642"/>
      <c r="AA31" s="642"/>
      <c r="AB31" s="642"/>
      <c r="AC31" s="645"/>
      <c r="AD31" s="642"/>
      <c r="AE31" s="642"/>
      <c r="AF31" s="642"/>
      <c r="AG31" s="642"/>
      <c r="AH31" s="642"/>
      <c r="AI31" s="642"/>
      <c r="AJ31" s="642"/>
      <c r="AK31" s="642"/>
      <c r="AL31" s="642">
        <f t="shared" si="5"/>
        <v>0</v>
      </c>
      <c r="AM31" s="642"/>
      <c r="AN31" s="642"/>
      <c r="AO31" s="642"/>
      <c r="AP31" s="645"/>
      <c r="AQ31" s="642"/>
    </row>
    <row r="32" spans="1:43" ht="20.25" customHeight="1" x14ac:dyDescent="0.25">
      <c r="A32" s="622"/>
      <c r="B32" s="277" t="s">
        <v>866</v>
      </c>
      <c r="C32" s="277"/>
      <c r="D32" s="622">
        <f>'Chi tiet'!AL178</f>
        <v>2</v>
      </c>
      <c r="E32" s="629"/>
      <c r="F32" s="629"/>
      <c r="G32" s="629"/>
      <c r="H32" s="629"/>
      <c r="I32" s="629"/>
      <c r="J32" s="629"/>
      <c r="K32" s="629"/>
      <c r="L32" s="629"/>
      <c r="M32" s="629"/>
      <c r="N32" s="629"/>
      <c r="O32" s="629"/>
      <c r="P32" s="638"/>
      <c r="Q32" s="629"/>
      <c r="R32" s="635"/>
      <c r="S32" s="635"/>
      <c r="T32" s="635"/>
      <c r="U32" s="635"/>
      <c r="V32" s="635"/>
      <c r="W32" s="635"/>
      <c r="X32" s="635"/>
      <c r="Y32" s="635"/>
      <c r="Z32" s="635"/>
      <c r="AA32" s="635"/>
      <c r="AB32" s="635"/>
      <c r="AC32" s="639"/>
      <c r="AD32" s="635"/>
      <c r="AE32" s="632"/>
      <c r="AF32" s="632"/>
      <c r="AG32" s="632"/>
      <c r="AH32" s="632"/>
      <c r="AI32" s="632"/>
      <c r="AJ32" s="632"/>
      <c r="AK32" s="632"/>
      <c r="AL32" s="632"/>
      <c r="AM32" s="632"/>
      <c r="AN32" s="632"/>
      <c r="AO32" s="632"/>
      <c r="AP32" s="640"/>
      <c r="AQ32" s="632"/>
    </row>
    <row r="33" spans="1:43" ht="20.25" customHeight="1" x14ac:dyDescent="0.25">
      <c r="A33" s="622"/>
      <c r="B33" s="277" t="s">
        <v>865</v>
      </c>
      <c r="C33" s="277"/>
      <c r="D33" s="622">
        <f>'Chi tiet'!AL179</f>
        <v>13</v>
      </c>
      <c r="E33" s="629"/>
      <c r="F33" s="630"/>
      <c r="G33" s="629"/>
      <c r="H33" s="630"/>
      <c r="I33" s="629"/>
      <c r="J33" s="630"/>
      <c r="K33" s="629"/>
      <c r="L33" s="629"/>
      <c r="M33" s="629"/>
      <c r="N33" s="629"/>
      <c r="O33" s="629"/>
      <c r="P33" s="638"/>
      <c r="Q33" s="629"/>
      <c r="R33" s="635">
        <v>4</v>
      </c>
      <c r="S33" s="636">
        <f>R33/$D31</f>
        <v>0.26666666666666666</v>
      </c>
      <c r="T33" s="635">
        <v>4</v>
      </c>
      <c r="U33" s="636">
        <f>T33/$D31</f>
        <v>0.26666666666666666</v>
      </c>
      <c r="V33" s="635"/>
      <c r="W33" s="636"/>
      <c r="X33" s="635"/>
      <c r="Y33" s="635"/>
      <c r="Z33" s="635"/>
      <c r="AA33" s="635"/>
      <c r="AB33" s="635"/>
      <c r="AC33" s="639"/>
      <c r="AD33" s="635"/>
      <c r="AE33" s="632">
        <v>4</v>
      </c>
      <c r="AF33" s="633">
        <f>AE33/$D31</f>
        <v>0.26666666666666666</v>
      </c>
      <c r="AG33" s="632">
        <v>4</v>
      </c>
      <c r="AH33" s="633">
        <f>AG33/$D31</f>
        <v>0.26666666666666666</v>
      </c>
      <c r="AI33" s="632"/>
      <c r="AJ33" s="633"/>
      <c r="AK33" s="632"/>
      <c r="AL33" s="632"/>
      <c r="AM33" s="632"/>
      <c r="AN33" s="632"/>
      <c r="AO33" s="632"/>
      <c r="AP33" s="640"/>
      <c r="AQ33" s="632"/>
    </row>
    <row r="34" spans="1:43" ht="20.25" customHeight="1" x14ac:dyDescent="0.25">
      <c r="A34" s="642">
        <v>11</v>
      </c>
      <c r="B34" s="643" t="s">
        <v>830</v>
      </c>
      <c r="C34" s="644" t="s">
        <v>879</v>
      </c>
      <c r="D34" s="642">
        <f>'Chi tiet'!$L$192</f>
        <v>28</v>
      </c>
      <c r="E34" s="642"/>
      <c r="F34" s="642"/>
      <c r="G34" s="642"/>
      <c r="H34" s="642"/>
      <c r="I34" s="642"/>
      <c r="J34" s="642"/>
      <c r="K34" s="642"/>
      <c r="L34" s="642">
        <f t="shared" si="3"/>
        <v>0</v>
      </c>
      <c r="M34" s="642"/>
      <c r="N34" s="642"/>
      <c r="O34" s="642"/>
      <c r="P34" s="645"/>
      <c r="Q34" s="642"/>
      <c r="R34" s="642"/>
      <c r="S34" s="642"/>
      <c r="T34" s="642"/>
      <c r="U34" s="642"/>
      <c r="V34" s="642"/>
      <c r="W34" s="642"/>
      <c r="X34" s="642"/>
      <c r="Y34" s="642">
        <f t="shared" si="4"/>
        <v>0</v>
      </c>
      <c r="Z34" s="642"/>
      <c r="AA34" s="642"/>
      <c r="AB34" s="642"/>
      <c r="AC34" s="645"/>
      <c r="AD34" s="642"/>
      <c r="AE34" s="642"/>
      <c r="AF34" s="642"/>
      <c r="AG34" s="642"/>
      <c r="AH34" s="642"/>
      <c r="AI34" s="642"/>
      <c r="AJ34" s="642"/>
      <c r="AK34" s="642"/>
      <c r="AL34" s="642">
        <f t="shared" si="5"/>
        <v>0</v>
      </c>
      <c r="AM34" s="642"/>
      <c r="AN34" s="642"/>
      <c r="AO34" s="642"/>
      <c r="AP34" s="645"/>
      <c r="AQ34" s="642"/>
    </row>
    <row r="35" spans="1:43" ht="20.25" customHeight="1" x14ac:dyDescent="0.25">
      <c r="A35" s="622"/>
      <c r="B35" s="277" t="s">
        <v>866</v>
      </c>
      <c r="C35" s="277"/>
      <c r="D35" s="622">
        <f>'Chi tiet'!AL195</f>
        <v>2</v>
      </c>
      <c r="E35" s="629"/>
      <c r="F35" s="629"/>
      <c r="G35" s="629"/>
      <c r="H35" s="629"/>
      <c r="I35" s="629"/>
      <c r="J35" s="629"/>
      <c r="K35" s="629"/>
      <c r="L35" s="629"/>
      <c r="M35" s="629"/>
      <c r="N35" s="629"/>
      <c r="O35" s="629"/>
      <c r="P35" s="638"/>
      <c r="Q35" s="629"/>
      <c r="R35" s="635"/>
      <c r="S35" s="635"/>
      <c r="T35" s="635"/>
      <c r="U35" s="635"/>
      <c r="V35" s="635"/>
      <c r="W35" s="635"/>
      <c r="X35" s="635"/>
      <c r="Y35" s="635"/>
      <c r="Z35" s="635"/>
      <c r="AA35" s="635"/>
      <c r="AB35" s="635"/>
      <c r="AC35" s="639"/>
      <c r="AD35" s="635"/>
      <c r="AE35" s="632"/>
      <c r="AF35" s="632"/>
      <c r="AG35" s="632"/>
      <c r="AH35" s="632"/>
      <c r="AI35" s="632"/>
      <c r="AJ35" s="632"/>
      <c r="AK35" s="632"/>
      <c r="AL35" s="632"/>
      <c r="AM35" s="632"/>
      <c r="AN35" s="632"/>
      <c r="AO35" s="632"/>
      <c r="AP35" s="640"/>
      <c r="AQ35" s="632"/>
    </row>
    <row r="36" spans="1:43" ht="20.25" customHeight="1" x14ac:dyDescent="0.25">
      <c r="A36" s="622"/>
      <c r="B36" s="277" t="s">
        <v>865</v>
      </c>
      <c r="C36" s="277"/>
      <c r="D36" s="622">
        <f>'Chi tiet'!AL196</f>
        <v>26</v>
      </c>
      <c r="E36" s="629"/>
      <c r="F36" s="630"/>
      <c r="G36" s="629"/>
      <c r="H36" s="630"/>
      <c r="I36" s="629"/>
      <c r="J36" s="630"/>
      <c r="K36" s="629"/>
      <c r="L36" s="629"/>
      <c r="M36" s="629"/>
      <c r="N36" s="629"/>
      <c r="O36" s="629"/>
      <c r="P36" s="638"/>
      <c r="Q36" s="629"/>
      <c r="R36" s="635">
        <v>7</v>
      </c>
      <c r="S36" s="636">
        <f>R36/$D34</f>
        <v>0.25</v>
      </c>
      <c r="T36" s="635">
        <v>7</v>
      </c>
      <c r="U36" s="636">
        <f>T36/$D34</f>
        <v>0.25</v>
      </c>
      <c r="V36" s="635"/>
      <c r="W36" s="636"/>
      <c r="X36" s="635"/>
      <c r="Y36" s="635"/>
      <c r="Z36" s="635"/>
      <c r="AA36" s="635"/>
      <c r="AB36" s="635"/>
      <c r="AC36" s="639"/>
      <c r="AD36" s="635"/>
      <c r="AE36" s="632">
        <v>7</v>
      </c>
      <c r="AF36" s="633">
        <f>AE36/$D34</f>
        <v>0.25</v>
      </c>
      <c r="AG36" s="632">
        <v>7</v>
      </c>
      <c r="AH36" s="633">
        <f>AG36/$D34</f>
        <v>0.25</v>
      </c>
      <c r="AI36" s="632"/>
      <c r="AJ36" s="633"/>
      <c r="AK36" s="632"/>
      <c r="AL36" s="632"/>
      <c r="AM36" s="632"/>
      <c r="AN36" s="632"/>
      <c r="AO36" s="632"/>
      <c r="AP36" s="640"/>
      <c r="AQ36" s="632"/>
    </row>
    <row r="37" spans="1:43" ht="20.25" customHeight="1" x14ac:dyDescent="0.25">
      <c r="A37" s="642">
        <v>12</v>
      </c>
      <c r="B37" s="643" t="s">
        <v>831</v>
      </c>
      <c r="C37" s="644" t="s">
        <v>880</v>
      </c>
      <c r="D37" s="642">
        <f>'Chi tiet'!$L$222</f>
        <v>21</v>
      </c>
      <c r="E37" s="642"/>
      <c r="F37" s="642"/>
      <c r="G37" s="642"/>
      <c r="H37" s="642"/>
      <c r="I37" s="642"/>
      <c r="J37" s="642"/>
      <c r="K37" s="642"/>
      <c r="L37" s="642">
        <f t="shared" si="3"/>
        <v>0</v>
      </c>
      <c r="M37" s="642"/>
      <c r="N37" s="642"/>
      <c r="O37" s="642"/>
      <c r="P37" s="645"/>
      <c r="Q37" s="642"/>
      <c r="R37" s="642"/>
      <c r="S37" s="642"/>
      <c r="T37" s="642"/>
      <c r="U37" s="642"/>
      <c r="V37" s="642"/>
      <c r="W37" s="642"/>
      <c r="X37" s="642"/>
      <c r="Y37" s="642">
        <f t="shared" si="4"/>
        <v>0</v>
      </c>
      <c r="Z37" s="642"/>
      <c r="AA37" s="642"/>
      <c r="AB37" s="642"/>
      <c r="AC37" s="645"/>
      <c r="AD37" s="642"/>
      <c r="AE37" s="642"/>
      <c r="AF37" s="642"/>
      <c r="AG37" s="642"/>
      <c r="AH37" s="642"/>
      <c r="AI37" s="642"/>
      <c r="AJ37" s="642"/>
      <c r="AK37" s="642"/>
      <c r="AL37" s="642">
        <f t="shared" si="5"/>
        <v>0</v>
      </c>
      <c r="AM37" s="642"/>
      <c r="AN37" s="642"/>
      <c r="AO37" s="642"/>
      <c r="AP37" s="645"/>
      <c r="AQ37" s="642"/>
    </row>
    <row r="38" spans="1:43" ht="20.25" customHeight="1" x14ac:dyDescent="0.25">
      <c r="A38" s="622"/>
      <c r="B38" s="277" t="s">
        <v>866</v>
      </c>
      <c r="C38" s="277"/>
      <c r="D38" s="622">
        <f>'Chi tiet'!AL225</f>
        <v>2</v>
      </c>
      <c r="E38" s="629"/>
      <c r="F38" s="629"/>
      <c r="G38" s="629"/>
      <c r="H38" s="629"/>
      <c r="I38" s="629"/>
      <c r="J38" s="629"/>
      <c r="K38" s="629"/>
      <c r="L38" s="629"/>
      <c r="M38" s="629"/>
      <c r="N38" s="629"/>
      <c r="O38" s="629"/>
      <c r="P38" s="638"/>
      <c r="Q38" s="629"/>
      <c r="R38" s="635"/>
      <c r="S38" s="635"/>
      <c r="T38" s="635"/>
      <c r="U38" s="635"/>
      <c r="V38" s="635"/>
      <c r="W38" s="635"/>
      <c r="X38" s="635"/>
      <c r="Y38" s="635"/>
      <c r="Z38" s="635"/>
      <c r="AA38" s="635"/>
      <c r="AB38" s="635"/>
      <c r="AC38" s="639"/>
      <c r="AD38" s="635"/>
      <c r="AE38" s="632"/>
      <c r="AF38" s="632"/>
      <c r="AG38" s="632"/>
      <c r="AH38" s="632"/>
      <c r="AI38" s="632"/>
      <c r="AJ38" s="632"/>
      <c r="AK38" s="632"/>
      <c r="AL38" s="632"/>
      <c r="AM38" s="632"/>
      <c r="AN38" s="632"/>
      <c r="AO38" s="632"/>
      <c r="AP38" s="640"/>
      <c r="AQ38" s="632"/>
    </row>
    <row r="39" spans="1:43" ht="20.25" customHeight="1" x14ac:dyDescent="0.25">
      <c r="A39" s="622"/>
      <c r="B39" s="277" t="s">
        <v>865</v>
      </c>
      <c r="C39" s="277"/>
      <c r="D39" s="622">
        <f>'Chi tiet'!AL226</f>
        <v>19</v>
      </c>
      <c r="E39" s="629"/>
      <c r="F39" s="630"/>
      <c r="G39" s="629"/>
      <c r="H39" s="630"/>
      <c r="I39" s="629"/>
      <c r="J39" s="630"/>
      <c r="K39" s="629"/>
      <c r="L39" s="629"/>
      <c r="M39" s="629"/>
      <c r="N39" s="629"/>
      <c r="O39" s="629"/>
      <c r="P39" s="638"/>
      <c r="Q39" s="629"/>
      <c r="R39" s="635">
        <v>5</v>
      </c>
      <c r="S39" s="636">
        <f>R39/$D37</f>
        <v>0.23809523809523808</v>
      </c>
      <c r="T39" s="635">
        <v>5</v>
      </c>
      <c r="U39" s="636">
        <f>T39/$D37</f>
        <v>0.23809523809523808</v>
      </c>
      <c r="V39" s="635"/>
      <c r="W39" s="636"/>
      <c r="X39" s="635"/>
      <c r="Y39" s="635"/>
      <c r="Z39" s="635"/>
      <c r="AA39" s="635"/>
      <c r="AB39" s="635"/>
      <c r="AC39" s="639"/>
      <c r="AD39" s="635"/>
      <c r="AE39" s="632">
        <v>5</v>
      </c>
      <c r="AF39" s="633">
        <f>AE39/$D37</f>
        <v>0.23809523809523808</v>
      </c>
      <c r="AG39" s="632">
        <v>5</v>
      </c>
      <c r="AH39" s="633">
        <f>AG39/$D37</f>
        <v>0.23809523809523808</v>
      </c>
      <c r="AI39" s="632"/>
      <c r="AJ39" s="633"/>
      <c r="AK39" s="632"/>
      <c r="AL39" s="632"/>
      <c r="AM39" s="632"/>
      <c r="AN39" s="632"/>
      <c r="AO39" s="632"/>
      <c r="AP39" s="640"/>
      <c r="AQ39" s="632"/>
    </row>
    <row r="40" spans="1:43" ht="20.25" customHeight="1" x14ac:dyDescent="0.25">
      <c r="A40" s="642">
        <v>13</v>
      </c>
      <c r="B40" s="643" t="s">
        <v>817</v>
      </c>
      <c r="C40" s="644" t="s">
        <v>881</v>
      </c>
      <c r="D40" s="642">
        <f>'Chi tiet'!$L$245</f>
        <v>27</v>
      </c>
      <c r="E40" s="642"/>
      <c r="F40" s="642"/>
      <c r="G40" s="642"/>
      <c r="H40" s="642"/>
      <c r="I40" s="642"/>
      <c r="J40" s="642"/>
      <c r="K40" s="642"/>
      <c r="L40" s="642">
        <f t="shared" si="3"/>
        <v>0</v>
      </c>
      <c r="M40" s="642"/>
      <c r="N40" s="642"/>
      <c r="O40" s="642"/>
      <c r="P40" s="645"/>
      <c r="Q40" s="642"/>
      <c r="R40" s="642"/>
      <c r="S40" s="642"/>
      <c r="T40" s="642"/>
      <c r="U40" s="642"/>
      <c r="V40" s="642"/>
      <c r="W40" s="642"/>
      <c r="X40" s="642"/>
      <c r="Y40" s="642">
        <f t="shared" si="4"/>
        <v>0</v>
      </c>
      <c r="Z40" s="642"/>
      <c r="AA40" s="642"/>
      <c r="AB40" s="642"/>
      <c r="AC40" s="645"/>
      <c r="AD40" s="642"/>
      <c r="AE40" s="642"/>
      <c r="AF40" s="642"/>
      <c r="AG40" s="642"/>
      <c r="AH40" s="642"/>
      <c r="AI40" s="642"/>
      <c r="AJ40" s="642"/>
      <c r="AK40" s="642"/>
      <c r="AL40" s="642">
        <f t="shared" si="5"/>
        <v>0</v>
      </c>
      <c r="AM40" s="642"/>
      <c r="AN40" s="642"/>
      <c r="AO40" s="642"/>
      <c r="AP40" s="645"/>
      <c r="AQ40" s="642"/>
    </row>
    <row r="41" spans="1:43" ht="20.25" customHeight="1" x14ac:dyDescent="0.25">
      <c r="A41" s="622"/>
      <c r="B41" s="277" t="s">
        <v>866</v>
      </c>
      <c r="C41" s="277"/>
      <c r="D41" s="622">
        <f>'Chi tiet'!AL248</f>
        <v>2</v>
      </c>
      <c r="E41" s="629"/>
      <c r="F41" s="629"/>
      <c r="G41" s="629"/>
      <c r="H41" s="629"/>
      <c r="I41" s="629"/>
      <c r="J41" s="629"/>
      <c r="K41" s="629"/>
      <c r="L41" s="629"/>
      <c r="M41" s="629"/>
      <c r="N41" s="629"/>
      <c r="O41" s="629"/>
      <c r="P41" s="638"/>
      <c r="Q41" s="629"/>
      <c r="R41" s="635"/>
      <c r="S41" s="635"/>
      <c r="T41" s="635"/>
      <c r="U41" s="635"/>
      <c r="V41" s="635"/>
      <c r="W41" s="635"/>
      <c r="X41" s="635"/>
      <c r="Y41" s="635"/>
      <c r="Z41" s="635"/>
      <c r="AA41" s="635"/>
      <c r="AB41" s="635"/>
      <c r="AC41" s="639"/>
      <c r="AD41" s="635"/>
      <c r="AE41" s="632"/>
      <c r="AF41" s="632"/>
      <c r="AG41" s="632"/>
      <c r="AH41" s="632"/>
      <c r="AI41" s="632"/>
      <c r="AJ41" s="632"/>
      <c r="AK41" s="632"/>
      <c r="AL41" s="632"/>
      <c r="AM41" s="632"/>
      <c r="AN41" s="632"/>
      <c r="AO41" s="632"/>
      <c r="AP41" s="640"/>
      <c r="AQ41" s="632"/>
    </row>
    <row r="42" spans="1:43" ht="20.25" customHeight="1" x14ac:dyDescent="0.25">
      <c r="A42" s="622"/>
      <c r="B42" s="277" t="s">
        <v>865</v>
      </c>
      <c r="C42" s="277"/>
      <c r="D42" s="622">
        <f>'Chi tiet'!AL249</f>
        <v>25</v>
      </c>
      <c r="E42" s="629"/>
      <c r="F42" s="630"/>
      <c r="G42" s="629"/>
      <c r="H42" s="630"/>
      <c r="I42" s="629"/>
      <c r="J42" s="630"/>
      <c r="K42" s="629"/>
      <c r="L42" s="629"/>
      <c r="M42" s="629"/>
      <c r="N42" s="629"/>
      <c r="O42" s="629"/>
      <c r="P42" s="638"/>
      <c r="Q42" s="629"/>
      <c r="R42" s="635">
        <v>6</v>
      </c>
      <c r="S42" s="636">
        <f>R42/$D40</f>
        <v>0.22222222222222221</v>
      </c>
      <c r="T42" s="635">
        <v>6</v>
      </c>
      <c r="U42" s="636">
        <f>T42/$D40</f>
        <v>0.22222222222222221</v>
      </c>
      <c r="V42" s="635"/>
      <c r="W42" s="636"/>
      <c r="X42" s="635"/>
      <c r="Y42" s="635"/>
      <c r="Z42" s="635"/>
      <c r="AA42" s="635"/>
      <c r="AB42" s="635"/>
      <c r="AC42" s="639"/>
      <c r="AD42" s="635"/>
      <c r="AE42" s="632">
        <v>6</v>
      </c>
      <c r="AF42" s="633">
        <f>AE42/$D40</f>
        <v>0.22222222222222221</v>
      </c>
      <c r="AG42" s="632">
        <v>6</v>
      </c>
      <c r="AH42" s="633">
        <f>AG42/$D40</f>
        <v>0.22222222222222221</v>
      </c>
      <c r="AI42" s="632"/>
      <c r="AJ42" s="633"/>
      <c r="AK42" s="632"/>
      <c r="AL42" s="632"/>
      <c r="AM42" s="632"/>
      <c r="AN42" s="632"/>
      <c r="AO42" s="632"/>
      <c r="AP42" s="640"/>
      <c r="AQ42" s="632"/>
    </row>
    <row r="43" spans="1:43" ht="20.25" customHeight="1" x14ac:dyDescent="0.25">
      <c r="A43" s="642">
        <v>14</v>
      </c>
      <c r="B43" s="643" t="s">
        <v>832</v>
      </c>
      <c r="C43" s="644" t="s">
        <v>882</v>
      </c>
      <c r="D43" s="642">
        <f>'Chi tiet'!$L$275</f>
        <v>30</v>
      </c>
      <c r="E43" s="642"/>
      <c r="F43" s="642"/>
      <c r="G43" s="642"/>
      <c r="H43" s="642"/>
      <c r="I43" s="642"/>
      <c r="J43" s="642"/>
      <c r="K43" s="642"/>
      <c r="L43" s="642">
        <f t="shared" si="3"/>
        <v>0</v>
      </c>
      <c r="M43" s="642"/>
      <c r="N43" s="642"/>
      <c r="O43" s="642"/>
      <c r="P43" s="645"/>
      <c r="Q43" s="642"/>
      <c r="R43" s="642"/>
      <c r="S43" s="642"/>
      <c r="T43" s="642"/>
      <c r="U43" s="642"/>
      <c r="V43" s="642"/>
      <c r="W43" s="642"/>
      <c r="X43" s="642"/>
      <c r="Y43" s="642">
        <f t="shared" si="4"/>
        <v>0</v>
      </c>
      <c r="Z43" s="642"/>
      <c r="AA43" s="642"/>
      <c r="AB43" s="642"/>
      <c r="AC43" s="645"/>
      <c r="AD43" s="642"/>
      <c r="AE43" s="642"/>
      <c r="AF43" s="642"/>
      <c r="AG43" s="642"/>
      <c r="AH43" s="642"/>
      <c r="AI43" s="642"/>
      <c r="AJ43" s="642"/>
      <c r="AK43" s="642"/>
      <c r="AL43" s="642">
        <f t="shared" si="5"/>
        <v>0</v>
      </c>
      <c r="AM43" s="642"/>
      <c r="AN43" s="642"/>
      <c r="AO43" s="642"/>
      <c r="AP43" s="645"/>
      <c r="AQ43" s="642"/>
    </row>
    <row r="44" spans="1:43" ht="20.25" customHeight="1" x14ac:dyDescent="0.25">
      <c r="A44" s="622"/>
      <c r="B44" s="277" t="s">
        <v>866</v>
      </c>
      <c r="C44" s="277"/>
      <c r="D44" s="622">
        <f>'Chi tiet'!AL278</f>
        <v>3</v>
      </c>
      <c r="E44" s="629"/>
      <c r="F44" s="629"/>
      <c r="G44" s="629"/>
      <c r="H44" s="629"/>
      <c r="I44" s="629"/>
      <c r="J44" s="629"/>
      <c r="K44" s="629"/>
      <c r="L44" s="629"/>
      <c r="M44" s="629"/>
      <c r="N44" s="629"/>
      <c r="O44" s="629"/>
      <c r="P44" s="638"/>
      <c r="Q44" s="629"/>
      <c r="R44" s="635"/>
      <c r="S44" s="635"/>
      <c r="T44" s="635"/>
      <c r="U44" s="635"/>
      <c r="V44" s="635"/>
      <c r="W44" s="635"/>
      <c r="X44" s="635"/>
      <c r="Y44" s="635"/>
      <c r="Z44" s="635"/>
      <c r="AA44" s="635"/>
      <c r="AB44" s="635"/>
      <c r="AC44" s="639"/>
      <c r="AD44" s="635"/>
      <c r="AE44" s="632"/>
      <c r="AF44" s="632"/>
      <c r="AG44" s="632"/>
      <c r="AH44" s="632"/>
      <c r="AI44" s="632"/>
      <c r="AJ44" s="632"/>
      <c r="AK44" s="632"/>
      <c r="AL44" s="632"/>
      <c r="AM44" s="632"/>
      <c r="AN44" s="632"/>
      <c r="AO44" s="632"/>
      <c r="AP44" s="640"/>
      <c r="AQ44" s="632"/>
    </row>
    <row r="45" spans="1:43" ht="20.25" customHeight="1" x14ac:dyDescent="0.25">
      <c r="A45" s="622"/>
      <c r="B45" s="277" t="s">
        <v>865</v>
      </c>
      <c r="C45" s="277"/>
      <c r="D45" s="622">
        <f>'Chi tiet'!AL279</f>
        <v>27</v>
      </c>
      <c r="E45" s="629"/>
      <c r="F45" s="630"/>
      <c r="G45" s="629"/>
      <c r="H45" s="630"/>
      <c r="I45" s="629"/>
      <c r="J45" s="630"/>
      <c r="K45" s="629"/>
      <c r="L45" s="629"/>
      <c r="M45" s="629"/>
      <c r="N45" s="629"/>
      <c r="O45" s="629"/>
      <c r="P45" s="638"/>
      <c r="Q45" s="629"/>
      <c r="R45" s="635">
        <v>7</v>
      </c>
      <c r="S45" s="636">
        <f>R45/$D43</f>
        <v>0.23333333333333334</v>
      </c>
      <c r="T45" s="635">
        <v>7</v>
      </c>
      <c r="U45" s="636">
        <f>T45/$D43</f>
        <v>0.23333333333333334</v>
      </c>
      <c r="V45" s="635"/>
      <c r="W45" s="636"/>
      <c r="X45" s="635"/>
      <c r="Y45" s="635"/>
      <c r="Z45" s="635"/>
      <c r="AA45" s="635"/>
      <c r="AB45" s="635"/>
      <c r="AC45" s="639"/>
      <c r="AD45" s="635"/>
      <c r="AE45" s="632">
        <v>7</v>
      </c>
      <c r="AF45" s="633">
        <f>AE45/$D43</f>
        <v>0.23333333333333334</v>
      </c>
      <c r="AG45" s="632">
        <v>7</v>
      </c>
      <c r="AH45" s="633">
        <f>AG45/$D43</f>
        <v>0.23333333333333334</v>
      </c>
      <c r="AI45" s="632"/>
      <c r="AJ45" s="633"/>
      <c r="AK45" s="632"/>
      <c r="AL45" s="632"/>
      <c r="AM45" s="632"/>
      <c r="AN45" s="632"/>
      <c r="AO45" s="632"/>
      <c r="AP45" s="640"/>
      <c r="AQ45" s="632"/>
    </row>
    <row r="46" spans="1:43" ht="20.25" customHeight="1" x14ac:dyDescent="0.25">
      <c r="A46" s="642">
        <v>15</v>
      </c>
      <c r="B46" s="643" t="s">
        <v>833</v>
      </c>
      <c r="C46" s="644" t="s">
        <v>883</v>
      </c>
      <c r="D46" s="642">
        <f>'Chi tiet'!$L$307</f>
        <v>9</v>
      </c>
      <c r="E46" s="642"/>
      <c r="F46" s="642"/>
      <c r="G46" s="642"/>
      <c r="H46" s="642"/>
      <c r="I46" s="642"/>
      <c r="J46" s="642"/>
      <c r="K46" s="642"/>
      <c r="L46" s="642">
        <f t="shared" si="3"/>
        <v>0</v>
      </c>
      <c r="M46" s="642"/>
      <c r="N46" s="642"/>
      <c r="O46" s="642"/>
      <c r="P46" s="645"/>
      <c r="Q46" s="642"/>
      <c r="R46" s="642"/>
      <c r="S46" s="642"/>
      <c r="T46" s="642"/>
      <c r="U46" s="642"/>
      <c r="V46" s="642"/>
      <c r="W46" s="642"/>
      <c r="X46" s="642"/>
      <c r="Y46" s="642">
        <f t="shared" si="4"/>
        <v>0</v>
      </c>
      <c r="Z46" s="642"/>
      <c r="AA46" s="642"/>
      <c r="AB46" s="642"/>
      <c r="AC46" s="645"/>
      <c r="AD46" s="642"/>
      <c r="AE46" s="642"/>
      <c r="AF46" s="642"/>
      <c r="AG46" s="642"/>
      <c r="AH46" s="642"/>
      <c r="AI46" s="642"/>
      <c r="AJ46" s="642"/>
      <c r="AK46" s="642"/>
      <c r="AL46" s="642">
        <f t="shared" si="5"/>
        <v>0</v>
      </c>
      <c r="AM46" s="642"/>
      <c r="AN46" s="642"/>
      <c r="AO46" s="642"/>
      <c r="AP46" s="645"/>
      <c r="AQ46" s="642"/>
    </row>
    <row r="47" spans="1:43" ht="20.25" customHeight="1" x14ac:dyDescent="0.25">
      <c r="A47" s="622"/>
      <c r="B47" s="277" t="s">
        <v>866</v>
      </c>
      <c r="C47" s="277"/>
      <c r="D47" s="622">
        <f>'Chi tiet'!AL310</f>
        <v>1</v>
      </c>
      <c r="E47" s="629"/>
      <c r="F47" s="629"/>
      <c r="G47" s="629"/>
      <c r="H47" s="629"/>
      <c r="I47" s="629"/>
      <c r="J47" s="629"/>
      <c r="K47" s="629"/>
      <c r="L47" s="629"/>
      <c r="M47" s="629"/>
      <c r="N47" s="629"/>
      <c r="O47" s="629"/>
      <c r="P47" s="638"/>
      <c r="Q47" s="629"/>
      <c r="R47" s="635"/>
      <c r="S47" s="635"/>
      <c r="T47" s="635"/>
      <c r="U47" s="635"/>
      <c r="V47" s="635"/>
      <c r="W47" s="635"/>
      <c r="X47" s="635"/>
      <c r="Y47" s="635"/>
      <c r="Z47" s="635"/>
      <c r="AA47" s="635"/>
      <c r="AB47" s="635"/>
      <c r="AC47" s="639"/>
      <c r="AD47" s="635"/>
      <c r="AE47" s="632"/>
      <c r="AF47" s="632"/>
      <c r="AG47" s="632"/>
      <c r="AH47" s="632"/>
      <c r="AI47" s="632"/>
      <c r="AJ47" s="632"/>
      <c r="AK47" s="632"/>
      <c r="AL47" s="632"/>
      <c r="AM47" s="632"/>
      <c r="AN47" s="632"/>
      <c r="AO47" s="632"/>
      <c r="AP47" s="640"/>
      <c r="AQ47" s="632"/>
    </row>
    <row r="48" spans="1:43" ht="20.25" customHeight="1" x14ac:dyDescent="0.25">
      <c r="A48" s="622"/>
      <c r="B48" s="277" t="s">
        <v>865</v>
      </c>
      <c r="C48" s="277"/>
      <c r="D48" s="622">
        <f>'Chi tiet'!AL311</f>
        <v>8</v>
      </c>
      <c r="E48" s="629"/>
      <c r="F48" s="630"/>
      <c r="G48" s="629"/>
      <c r="H48" s="630"/>
      <c r="I48" s="629"/>
      <c r="J48" s="630"/>
      <c r="K48" s="629"/>
      <c r="L48" s="629"/>
      <c r="M48" s="629"/>
      <c r="N48" s="629"/>
      <c r="O48" s="629"/>
      <c r="P48" s="638"/>
      <c r="Q48" s="629"/>
      <c r="R48" s="635">
        <v>2</v>
      </c>
      <c r="S48" s="636">
        <f>R48/$D46</f>
        <v>0.22222222222222221</v>
      </c>
      <c r="T48" s="635">
        <v>2</v>
      </c>
      <c r="U48" s="636">
        <f>T48/$D46</f>
        <v>0.22222222222222221</v>
      </c>
      <c r="V48" s="635"/>
      <c r="W48" s="636"/>
      <c r="X48" s="635"/>
      <c r="Y48" s="635"/>
      <c r="Z48" s="635"/>
      <c r="AA48" s="635"/>
      <c r="AB48" s="635"/>
      <c r="AC48" s="639"/>
      <c r="AD48" s="635"/>
      <c r="AE48" s="632">
        <v>2</v>
      </c>
      <c r="AF48" s="633">
        <f>AE48/$D46</f>
        <v>0.22222222222222221</v>
      </c>
      <c r="AG48" s="632">
        <v>2</v>
      </c>
      <c r="AH48" s="633">
        <f>AG48/$D46</f>
        <v>0.22222222222222221</v>
      </c>
      <c r="AI48" s="632"/>
      <c r="AJ48" s="633"/>
      <c r="AK48" s="632"/>
      <c r="AL48" s="632"/>
      <c r="AM48" s="632"/>
      <c r="AN48" s="632"/>
      <c r="AO48" s="632"/>
      <c r="AP48" s="640"/>
      <c r="AQ48" s="632"/>
    </row>
    <row r="49" spans="1:43" ht="20.25" customHeight="1" x14ac:dyDescent="0.25">
      <c r="A49" s="642">
        <v>16</v>
      </c>
      <c r="B49" s="643" t="s">
        <v>834</v>
      </c>
      <c r="C49" s="644" t="s">
        <v>884</v>
      </c>
      <c r="D49" s="642">
        <f>'Chi tiet'!$L$318</f>
        <v>9</v>
      </c>
      <c r="E49" s="642"/>
      <c r="F49" s="642"/>
      <c r="G49" s="642"/>
      <c r="H49" s="642"/>
      <c r="I49" s="642"/>
      <c r="J49" s="642"/>
      <c r="K49" s="642"/>
      <c r="L49" s="642">
        <f t="shared" si="3"/>
        <v>0</v>
      </c>
      <c r="M49" s="642"/>
      <c r="N49" s="642"/>
      <c r="O49" s="642"/>
      <c r="P49" s="645"/>
      <c r="Q49" s="642"/>
      <c r="R49" s="642"/>
      <c r="S49" s="642"/>
      <c r="T49" s="642"/>
      <c r="U49" s="642"/>
      <c r="V49" s="642"/>
      <c r="W49" s="642"/>
      <c r="X49" s="642"/>
      <c r="Y49" s="642">
        <f t="shared" si="4"/>
        <v>0</v>
      </c>
      <c r="Z49" s="642"/>
      <c r="AA49" s="642"/>
      <c r="AB49" s="642"/>
      <c r="AC49" s="645"/>
      <c r="AD49" s="642"/>
      <c r="AE49" s="642"/>
      <c r="AF49" s="642"/>
      <c r="AG49" s="642"/>
      <c r="AH49" s="642"/>
      <c r="AI49" s="642"/>
      <c r="AJ49" s="642"/>
      <c r="AK49" s="642"/>
      <c r="AL49" s="642">
        <f t="shared" si="5"/>
        <v>0</v>
      </c>
      <c r="AM49" s="642"/>
      <c r="AN49" s="642"/>
      <c r="AO49" s="642"/>
      <c r="AP49" s="645"/>
      <c r="AQ49" s="642"/>
    </row>
    <row r="50" spans="1:43" ht="20.25" customHeight="1" x14ac:dyDescent="0.25">
      <c r="A50" s="622"/>
      <c r="B50" s="277" t="s">
        <v>866</v>
      </c>
      <c r="C50" s="277"/>
      <c r="D50" s="622">
        <f>'Chi tiet'!AL321</f>
        <v>2</v>
      </c>
      <c r="E50" s="629"/>
      <c r="F50" s="629"/>
      <c r="G50" s="629"/>
      <c r="H50" s="629"/>
      <c r="I50" s="629"/>
      <c r="J50" s="629"/>
      <c r="K50" s="629"/>
      <c r="L50" s="629"/>
      <c r="M50" s="629"/>
      <c r="N50" s="629"/>
      <c r="O50" s="629"/>
      <c r="P50" s="638"/>
      <c r="Q50" s="629"/>
      <c r="R50" s="635"/>
      <c r="S50" s="635"/>
      <c r="T50" s="635"/>
      <c r="U50" s="635"/>
      <c r="V50" s="635"/>
      <c r="W50" s="635"/>
      <c r="X50" s="635"/>
      <c r="Y50" s="635"/>
      <c r="Z50" s="635"/>
      <c r="AA50" s="635"/>
      <c r="AB50" s="635"/>
      <c r="AC50" s="639"/>
      <c r="AD50" s="635"/>
      <c r="AE50" s="632"/>
      <c r="AF50" s="632"/>
      <c r="AG50" s="632"/>
      <c r="AH50" s="632"/>
      <c r="AI50" s="632"/>
      <c r="AJ50" s="632"/>
      <c r="AK50" s="632"/>
      <c r="AL50" s="632"/>
      <c r="AM50" s="632"/>
      <c r="AN50" s="632"/>
      <c r="AO50" s="632"/>
      <c r="AP50" s="640"/>
      <c r="AQ50" s="632"/>
    </row>
    <row r="51" spans="1:43" ht="20.25" customHeight="1" x14ac:dyDescent="0.25">
      <c r="A51" s="622"/>
      <c r="B51" s="277" t="s">
        <v>865</v>
      </c>
      <c r="C51" s="277"/>
      <c r="D51" s="622">
        <f>'Chi tiet'!AL322</f>
        <v>7</v>
      </c>
      <c r="E51" s="629"/>
      <c r="F51" s="630"/>
      <c r="G51" s="629"/>
      <c r="H51" s="630"/>
      <c r="I51" s="629"/>
      <c r="J51" s="630"/>
      <c r="K51" s="629"/>
      <c r="L51" s="629"/>
      <c r="M51" s="629"/>
      <c r="N51" s="629"/>
      <c r="O51" s="629"/>
      <c r="P51" s="638"/>
      <c r="Q51" s="629"/>
      <c r="R51" s="635">
        <v>2</v>
      </c>
      <c r="S51" s="636">
        <f>R51/$D49</f>
        <v>0.22222222222222221</v>
      </c>
      <c r="T51" s="635">
        <v>2</v>
      </c>
      <c r="U51" s="636">
        <f>T51/$D49</f>
        <v>0.22222222222222221</v>
      </c>
      <c r="V51" s="635"/>
      <c r="W51" s="636"/>
      <c r="X51" s="635"/>
      <c r="Y51" s="635"/>
      <c r="Z51" s="635"/>
      <c r="AA51" s="635"/>
      <c r="AB51" s="635"/>
      <c r="AC51" s="639"/>
      <c r="AD51" s="635"/>
      <c r="AE51" s="632">
        <v>2</v>
      </c>
      <c r="AF51" s="633">
        <f>AE51/$D49</f>
        <v>0.22222222222222221</v>
      </c>
      <c r="AG51" s="632">
        <v>2</v>
      </c>
      <c r="AH51" s="633">
        <f>AG51/$D49</f>
        <v>0.22222222222222221</v>
      </c>
      <c r="AI51" s="632"/>
      <c r="AJ51" s="633"/>
      <c r="AK51" s="632"/>
      <c r="AL51" s="632"/>
      <c r="AM51" s="632"/>
      <c r="AN51" s="632"/>
      <c r="AO51" s="632"/>
      <c r="AP51" s="640"/>
      <c r="AQ51" s="632"/>
    </row>
    <row r="52" spans="1:43" ht="20.25" customHeight="1" x14ac:dyDescent="0.25">
      <c r="A52" s="642">
        <v>17</v>
      </c>
      <c r="B52" s="643" t="s">
        <v>835</v>
      </c>
      <c r="C52" s="644" t="s">
        <v>885</v>
      </c>
      <c r="D52" s="642">
        <f>'Chi tiet'!$L$329</f>
        <v>18</v>
      </c>
      <c r="E52" s="642"/>
      <c r="F52" s="642"/>
      <c r="G52" s="642"/>
      <c r="H52" s="642"/>
      <c r="I52" s="642"/>
      <c r="J52" s="642"/>
      <c r="K52" s="642"/>
      <c r="L52" s="642">
        <f t="shared" si="3"/>
        <v>0</v>
      </c>
      <c r="M52" s="642"/>
      <c r="N52" s="642"/>
      <c r="O52" s="642"/>
      <c r="P52" s="645"/>
      <c r="Q52" s="642"/>
      <c r="R52" s="642"/>
      <c r="S52" s="642"/>
      <c r="T52" s="642"/>
      <c r="U52" s="642"/>
      <c r="V52" s="642"/>
      <c r="W52" s="642"/>
      <c r="X52" s="642"/>
      <c r="Y52" s="642">
        <f t="shared" si="4"/>
        <v>0</v>
      </c>
      <c r="Z52" s="642"/>
      <c r="AA52" s="642"/>
      <c r="AB52" s="642"/>
      <c r="AC52" s="645"/>
      <c r="AD52" s="642"/>
      <c r="AE52" s="642"/>
      <c r="AF52" s="642"/>
      <c r="AG52" s="642"/>
      <c r="AH52" s="642"/>
      <c r="AI52" s="642"/>
      <c r="AJ52" s="642"/>
      <c r="AK52" s="642"/>
      <c r="AL52" s="642">
        <f t="shared" si="5"/>
        <v>0</v>
      </c>
      <c r="AM52" s="642"/>
      <c r="AN52" s="642"/>
      <c r="AO52" s="642"/>
      <c r="AP52" s="645"/>
      <c r="AQ52" s="642"/>
    </row>
    <row r="53" spans="1:43" ht="20.25" customHeight="1" x14ac:dyDescent="0.25">
      <c r="A53" s="622"/>
      <c r="B53" s="277" t="s">
        <v>866</v>
      </c>
      <c r="C53" s="277"/>
      <c r="D53" s="622">
        <f>'Chi tiet'!AL332</f>
        <v>2</v>
      </c>
      <c r="E53" s="629"/>
      <c r="F53" s="629"/>
      <c r="G53" s="629"/>
      <c r="H53" s="629"/>
      <c r="I53" s="629"/>
      <c r="J53" s="629"/>
      <c r="K53" s="629"/>
      <c r="L53" s="629"/>
      <c r="M53" s="629"/>
      <c r="N53" s="629"/>
      <c r="O53" s="629"/>
      <c r="P53" s="638"/>
      <c r="Q53" s="629"/>
      <c r="R53" s="635"/>
      <c r="S53" s="635"/>
      <c r="T53" s="635"/>
      <c r="U53" s="635"/>
      <c r="V53" s="635"/>
      <c r="W53" s="635"/>
      <c r="X53" s="635"/>
      <c r="Y53" s="635"/>
      <c r="Z53" s="635"/>
      <c r="AA53" s="635"/>
      <c r="AB53" s="635"/>
      <c r="AC53" s="639"/>
      <c r="AD53" s="635"/>
      <c r="AE53" s="632"/>
      <c r="AF53" s="632"/>
      <c r="AG53" s="632"/>
      <c r="AH53" s="632"/>
      <c r="AI53" s="632"/>
      <c r="AJ53" s="632"/>
      <c r="AK53" s="632"/>
      <c r="AL53" s="632"/>
      <c r="AM53" s="632"/>
      <c r="AN53" s="632"/>
      <c r="AO53" s="632"/>
      <c r="AP53" s="640"/>
      <c r="AQ53" s="632"/>
    </row>
    <row r="54" spans="1:43" ht="20.25" customHeight="1" x14ac:dyDescent="0.25">
      <c r="A54" s="622"/>
      <c r="B54" s="277" t="s">
        <v>865</v>
      </c>
      <c r="C54" s="277"/>
      <c r="D54" s="622">
        <f>'Chi tiet'!AL333</f>
        <v>16</v>
      </c>
      <c r="E54" s="629"/>
      <c r="F54" s="630"/>
      <c r="G54" s="629"/>
      <c r="H54" s="630"/>
      <c r="I54" s="629"/>
      <c r="J54" s="630"/>
      <c r="K54" s="629"/>
      <c r="L54" s="629"/>
      <c r="M54" s="629"/>
      <c r="N54" s="629"/>
      <c r="O54" s="629"/>
      <c r="P54" s="638"/>
      <c r="Q54" s="629"/>
      <c r="R54" s="635">
        <v>4</v>
      </c>
      <c r="S54" s="636">
        <f>R54/$D52</f>
        <v>0.22222222222222221</v>
      </c>
      <c r="T54" s="635">
        <v>4</v>
      </c>
      <c r="U54" s="636">
        <f>T54/$D52</f>
        <v>0.22222222222222221</v>
      </c>
      <c r="V54" s="635"/>
      <c r="W54" s="636"/>
      <c r="X54" s="635"/>
      <c r="Y54" s="635"/>
      <c r="Z54" s="635"/>
      <c r="AA54" s="635"/>
      <c r="AB54" s="635"/>
      <c r="AC54" s="639"/>
      <c r="AD54" s="635"/>
      <c r="AE54" s="632">
        <v>4</v>
      </c>
      <c r="AF54" s="633">
        <f>AE54/$D52</f>
        <v>0.22222222222222221</v>
      </c>
      <c r="AG54" s="632">
        <v>4</v>
      </c>
      <c r="AH54" s="633">
        <f>AG54/$D52</f>
        <v>0.22222222222222221</v>
      </c>
      <c r="AI54" s="632"/>
      <c r="AJ54" s="633"/>
      <c r="AK54" s="632"/>
      <c r="AL54" s="632"/>
      <c r="AM54" s="632"/>
      <c r="AN54" s="632"/>
      <c r="AO54" s="632"/>
      <c r="AP54" s="640"/>
      <c r="AQ54" s="632"/>
    </row>
    <row r="55" spans="1:43" ht="20.25" customHeight="1" x14ac:dyDescent="0.25">
      <c r="A55" s="642">
        <v>18</v>
      </c>
      <c r="B55" s="643" t="s">
        <v>836</v>
      </c>
      <c r="C55" s="644" t="s">
        <v>886</v>
      </c>
      <c r="D55" s="642">
        <f>'Chi tiet'!$L$349</f>
        <v>3</v>
      </c>
      <c r="E55" s="642"/>
      <c r="F55" s="642"/>
      <c r="G55" s="642"/>
      <c r="H55" s="642"/>
      <c r="I55" s="642"/>
      <c r="J55" s="642"/>
      <c r="K55" s="642"/>
      <c r="L55" s="642">
        <f t="shared" si="3"/>
        <v>0</v>
      </c>
      <c r="M55" s="642"/>
      <c r="N55" s="642"/>
      <c r="O55" s="642"/>
      <c r="P55" s="645"/>
      <c r="Q55" s="642"/>
      <c r="R55" s="642"/>
      <c r="S55" s="642"/>
      <c r="T55" s="642"/>
      <c r="U55" s="642"/>
      <c r="V55" s="642"/>
      <c r="W55" s="642"/>
      <c r="X55" s="642"/>
      <c r="Y55" s="642">
        <f t="shared" si="4"/>
        <v>0</v>
      </c>
      <c r="Z55" s="642"/>
      <c r="AA55" s="642"/>
      <c r="AB55" s="642"/>
      <c r="AC55" s="645"/>
      <c r="AD55" s="642"/>
      <c r="AE55" s="642"/>
      <c r="AF55" s="642"/>
      <c r="AG55" s="642"/>
      <c r="AH55" s="642"/>
      <c r="AI55" s="642"/>
      <c r="AJ55" s="642"/>
      <c r="AK55" s="642"/>
      <c r="AL55" s="642">
        <f t="shared" si="5"/>
        <v>0</v>
      </c>
      <c r="AM55" s="642"/>
      <c r="AN55" s="642"/>
      <c r="AO55" s="642"/>
      <c r="AP55" s="645"/>
      <c r="AQ55" s="642"/>
    </row>
    <row r="56" spans="1:43" ht="20.25" customHeight="1" x14ac:dyDescent="0.25">
      <c r="A56" s="622"/>
      <c r="B56" s="277" t="s">
        <v>866</v>
      </c>
      <c r="C56" s="277"/>
      <c r="D56" s="622">
        <f>'Chi tiet'!AL353</f>
        <v>2</v>
      </c>
      <c r="E56" s="629"/>
      <c r="F56" s="629"/>
      <c r="G56" s="629"/>
      <c r="H56" s="629"/>
      <c r="I56" s="629"/>
      <c r="J56" s="629"/>
      <c r="K56" s="629"/>
      <c r="L56" s="629"/>
      <c r="M56" s="629"/>
      <c r="N56" s="629"/>
      <c r="O56" s="629"/>
      <c r="P56" s="638"/>
      <c r="Q56" s="629"/>
      <c r="R56" s="635"/>
      <c r="S56" s="635"/>
      <c r="T56" s="635"/>
      <c r="U56" s="635"/>
      <c r="V56" s="635"/>
      <c r="W56" s="635"/>
      <c r="X56" s="635"/>
      <c r="Y56" s="635"/>
      <c r="Z56" s="635"/>
      <c r="AA56" s="635"/>
      <c r="AB56" s="635"/>
      <c r="AC56" s="639"/>
      <c r="AD56" s="635"/>
      <c r="AE56" s="632"/>
      <c r="AF56" s="632"/>
      <c r="AG56" s="632"/>
      <c r="AH56" s="632"/>
      <c r="AI56" s="632"/>
      <c r="AJ56" s="632"/>
      <c r="AK56" s="632"/>
      <c r="AL56" s="632"/>
      <c r="AM56" s="632"/>
      <c r="AN56" s="632"/>
      <c r="AO56" s="632"/>
      <c r="AP56" s="640"/>
      <c r="AQ56" s="632"/>
    </row>
    <row r="57" spans="1:43" ht="20.25" customHeight="1" x14ac:dyDescent="0.25">
      <c r="A57" s="622"/>
      <c r="B57" s="277" t="s">
        <v>865</v>
      </c>
      <c r="C57" s="277"/>
      <c r="D57" s="622">
        <f>'Chi tiet'!AL352</f>
        <v>1</v>
      </c>
      <c r="E57" s="629"/>
      <c r="F57" s="630"/>
      <c r="G57" s="629"/>
      <c r="H57" s="630"/>
      <c r="I57" s="629"/>
      <c r="J57" s="630"/>
      <c r="K57" s="629"/>
      <c r="L57" s="629"/>
      <c r="M57" s="629"/>
      <c r="N57" s="629"/>
      <c r="O57" s="629"/>
      <c r="P57" s="638"/>
      <c r="Q57" s="629"/>
      <c r="R57" s="635">
        <v>1</v>
      </c>
      <c r="S57" s="636">
        <f>R57/$D55</f>
        <v>0.33333333333333331</v>
      </c>
      <c r="T57" s="635">
        <v>1</v>
      </c>
      <c r="U57" s="636">
        <f>T57/$D55</f>
        <v>0.33333333333333331</v>
      </c>
      <c r="V57" s="635"/>
      <c r="W57" s="636"/>
      <c r="X57" s="635"/>
      <c r="Y57" s="635"/>
      <c r="Z57" s="635"/>
      <c r="AA57" s="635"/>
      <c r="AB57" s="635"/>
      <c r="AC57" s="639"/>
      <c r="AD57" s="635"/>
      <c r="AE57" s="632">
        <v>1</v>
      </c>
      <c r="AF57" s="633">
        <f>AE57/$D55</f>
        <v>0.33333333333333331</v>
      </c>
      <c r="AG57" s="632">
        <v>1</v>
      </c>
      <c r="AH57" s="633">
        <f>AG57/$D55</f>
        <v>0.33333333333333331</v>
      </c>
      <c r="AI57" s="632"/>
      <c r="AJ57" s="633"/>
      <c r="AK57" s="632"/>
      <c r="AL57" s="632"/>
      <c r="AM57" s="632"/>
      <c r="AN57" s="632"/>
      <c r="AO57" s="632"/>
      <c r="AP57" s="640"/>
      <c r="AQ57" s="632"/>
    </row>
    <row r="58" spans="1:43" ht="20.25" customHeight="1" x14ac:dyDescent="0.25">
      <c r="A58" s="642">
        <v>19</v>
      </c>
      <c r="B58" s="643" t="s">
        <v>837</v>
      </c>
      <c r="C58" s="644" t="s">
        <v>887</v>
      </c>
      <c r="D58" s="642">
        <f>'Chi tiet'!$L$354</f>
        <v>7</v>
      </c>
      <c r="E58" s="642"/>
      <c r="F58" s="642"/>
      <c r="G58" s="642"/>
      <c r="H58" s="642"/>
      <c r="I58" s="642"/>
      <c r="J58" s="642"/>
      <c r="K58" s="642"/>
      <c r="L58" s="642">
        <f t="shared" si="3"/>
        <v>0</v>
      </c>
      <c r="M58" s="642"/>
      <c r="N58" s="642"/>
      <c r="O58" s="642"/>
      <c r="P58" s="645"/>
      <c r="Q58" s="642"/>
      <c r="R58" s="642"/>
      <c r="S58" s="642"/>
      <c r="T58" s="642"/>
      <c r="U58" s="642"/>
      <c r="V58" s="642"/>
      <c r="W58" s="642"/>
      <c r="X58" s="642"/>
      <c r="Y58" s="642">
        <f t="shared" si="4"/>
        <v>0</v>
      </c>
      <c r="Z58" s="642"/>
      <c r="AA58" s="642"/>
      <c r="AB58" s="642"/>
      <c r="AC58" s="645"/>
      <c r="AD58" s="642"/>
      <c r="AE58" s="642"/>
      <c r="AF58" s="642"/>
      <c r="AG58" s="642"/>
      <c r="AH58" s="642"/>
      <c r="AI58" s="642"/>
      <c r="AJ58" s="642"/>
      <c r="AK58" s="642"/>
      <c r="AL58" s="642">
        <f t="shared" si="5"/>
        <v>0</v>
      </c>
      <c r="AM58" s="642"/>
      <c r="AN58" s="642"/>
      <c r="AO58" s="642"/>
      <c r="AP58" s="645"/>
      <c r="AQ58" s="642"/>
    </row>
    <row r="59" spans="1:43" ht="20.25" customHeight="1" x14ac:dyDescent="0.25">
      <c r="A59" s="622"/>
      <c r="B59" s="277" t="s">
        <v>866</v>
      </c>
      <c r="C59" s="277"/>
      <c r="D59" s="622">
        <f>'Chi tiet'!AL358</f>
        <v>1</v>
      </c>
      <c r="E59" s="629"/>
      <c r="F59" s="629"/>
      <c r="G59" s="629"/>
      <c r="H59" s="629"/>
      <c r="I59" s="629"/>
      <c r="J59" s="629"/>
      <c r="K59" s="629"/>
      <c r="L59" s="629"/>
      <c r="M59" s="629"/>
      <c r="N59" s="629"/>
      <c r="O59" s="629"/>
      <c r="P59" s="638"/>
      <c r="Q59" s="629"/>
      <c r="R59" s="635"/>
      <c r="S59" s="635"/>
      <c r="T59" s="635"/>
      <c r="U59" s="635"/>
      <c r="V59" s="635"/>
      <c r="W59" s="635"/>
      <c r="X59" s="635"/>
      <c r="Y59" s="635"/>
      <c r="Z59" s="635"/>
      <c r="AA59" s="635"/>
      <c r="AB59" s="635"/>
      <c r="AC59" s="639"/>
      <c r="AD59" s="635"/>
      <c r="AE59" s="632"/>
      <c r="AF59" s="632"/>
      <c r="AG59" s="632"/>
      <c r="AH59" s="632"/>
      <c r="AI59" s="632"/>
      <c r="AJ59" s="632"/>
      <c r="AK59" s="632"/>
      <c r="AL59" s="632"/>
      <c r="AM59" s="632"/>
      <c r="AN59" s="632"/>
      <c r="AO59" s="632"/>
      <c r="AP59" s="640"/>
      <c r="AQ59" s="632"/>
    </row>
    <row r="60" spans="1:43" ht="20.25" customHeight="1" x14ac:dyDescent="0.25">
      <c r="A60" s="622"/>
      <c r="B60" s="277" t="s">
        <v>865</v>
      </c>
      <c r="C60" s="277"/>
      <c r="D60" s="622">
        <f>'Chi tiet'!AL359</f>
        <v>6</v>
      </c>
      <c r="E60" s="629"/>
      <c r="F60" s="630"/>
      <c r="G60" s="629"/>
      <c r="H60" s="630"/>
      <c r="I60" s="629"/>
      <c r="J60" s="630"/>
      <c r="K60" s="629"/>
      <c r="L60" s="629"/>
      <c r="M60" s="629"/>
      <c r="N60" s="629"/>
      <c r="O60" s="629"/>
      <c r="P60" s="638"/>
      <c r="Q60" s="629"/>
      <c r="R60" s="635">
        <v>1</v>
      </c>
      <c r="S60" s="636">
        <f>R60/$D58</f>
        <v>0.14285714285714285</v>
      </c>
      <c r="T60" s="635">
        <v>1</v>
      </c>
      <c r="U60" s="636">
        <f>T60/$D58</f>
        <v>0.14285714285714285</v>
      </c>
      <c r="V60" s="635"/>
      <c r="W60" s="636"/>
      <c r="X60" s="635"/>
      <c r="Y60" s="635"/>
      <c r="Z60" s="635"/>
      <c r="AA60" s="635"/>
      <c r="AB60" s="635"/>
      <c r="AC60" s="639"/>
      <c r="AD60" s="635"/>
      <c r="AE60" s="632">
        <v>1</v>
      </c>
      <c r="AF60" s="633">
        <f>AE60/$D58</f>
        <v>0.14285714285714285</v>
      </c>
      <c r="AG60" s="632">
        <v>1</v>
      </c>
      <c r="AH60" s="633">
        <f>AG60/$D58</f>
        <v>0.14285714285714285</v>
      </c>
      <c r="AI60" s="632"/>
      <c r="AJ60" s="633"/>
      <c r="AK60" s="632"/>
      <c r="AL60" s="632"/>
      <c r="AM60" s="632"/>
      <c r="AN60" s="632"/>
      <c r="AO60" s="632"/>
      <c r="AP60" s="640"/>
      <c r="AQ60" s="632"/>
    </row>
    <row r="61" spans="1:43" ht="20.25" customHeight="1" x14ac:dyDescent="0.25">
      <c r="A61" s="642">
        <v>20</v>
      </c>
      <c r="B61" s="643" t="s">
        <v>838</v>
      </c>
      <c r="C61" s="644" t="s">
        <v>893</v>
      </c>
      <c r="D61" s="642">
        <f>'Chi tiet'!$L$364</f>
        <v>10</v>
      </c>
      <c r="E61" s="642"/>
      <c r="F61" s="642"/>
      <c r="G61" s="642"/>
      <c r="H61" s="642"/>
      <c r="I61" s="642"/>
      <c r="J61" s="642"/>
      <c r="K61" s="642"/>
      <c r="L61" s="642">
        <f t="shared" si="3"/>
        <v>0</v>
      </c>
      <c r="M61" s="642"/>
      <c r="N61" s="642"/>
      <c r="O61" s="642"/>
      <c r="P61" s="645"/>
      <c r="Q61" s="642"/>
      <c r="R61" s="642"/>
      <c r="S61" s="642"/>
      <c r="T61" s="642"/>
      <c r="U61" s="642"/>
      <c r="V61" s="642"/>
      <c r="W61" s="642"/>
      <c r="X61" s="642"/>
      <c r="Y61" s="642">
        <f t="shared" si="4"/>
        <v>0</v>
      </c>
      <c r="Z61" s="642"/>
      <c r="AA61" s="642"/>
      <c r="AB61" s="642"/>
      <c r="AC61" s="645"/>
      <c r="AD61" s="642"/>
      <c r="AE61" s="642"/>
      <c r="AF61" s="642"/>
      <c r="AG61" s="642"/>
      <c r="AH61" s="642"/>
      <c r="AI61" s="642"/>
      <c r="AJ61" s="642"/>
      <c r="AK61" s="642"/>
      <c r="AL61" s="642">
        <f t="shared" si="5"/>
        <v>0</v>
      </c>
      <c r="AM61" s="642"/>
      <c r="AN61" s="642"/>
      <c r="AO61" s="642"/>
      <c r="AP61" s="645"/>
      <c r="AQ61" s="642"/>
    </row>
    <row r="62" spans="1:43" ht="20.25" customHeight="1" x14ac:dyDescent="0.25">
      <c r="A62" s="622"/>
      <c r="B62" s="277" t="s">
        <v>866</v>
      </c>
      <c r="C62" s="277"/>
      <c r="D62" s="622">
        <f>'Chi tiet'!AL368</f>
        <v>8</v>
      </c>
      <c r="E62" s="629"/>
      <c r="F62" s="629"/>
      <c r="G62" s="629"/>
      <c r="H62" s="629"/>
      <c r="I62" s="629"/>
      <c r="J62" s="629"/>
      <c r="K62" s="629"/>
      <c r="L62" s="629"/>
      <c r="M62" s="629"/>
      <c r="N62" s="629"/>
      <c r="O62" s="629"/>
      <c r="P62" s="638"/>
      <c r="Q62" s="629"/>
      <c r="R62" s="635"/>
      <c r="S62" s="635"/>
      <c r="T62" s="635"/>
      <c r="U62" s="635"/>
      <c r="V62" s="635"/>
      <c r="W62" s="635"/>
      <c r="X62" s="635"/>
      <c r="Y62" s="635"/>
      <c r="Z62" s="635"/>
      <c r="AA62" s="635"/>
      <c r="AB62" s="635"/>
      <c r="AC62" s="639"/>
      <c r="AD62" s="635"/>
      <c r="AE62" s="632"/>
      <c r="AF62" s="632"/>
      <c r="AG62" s="632"/>
      <c r="AH62" s="632"/>
      <c r="AI62" s="632"/>
      <c r="AJ62" s="632"/>
      <c r="AK62" s="632"/>
      <c r="AL62" s="632"/>
      <c r="AM62" s="632"/>
      <c r="AN62" s="632"/>
      <c r="AO62" s="632"/>
      <c r="AP62" s="640"/>
      <c r="AQ62" s="632"/>
    </row>
    <row r="63" spans="1:43" ht="20.25" customHeight="1" x14ac:dyDescent="0.25">
      <c r="A63" s="622"/>
      <c r="B63" s="277" t="s">
        <v>865</v>
      </c>
      <c r="C63" s="277"/>
      <c r="D63" s="622" t="e">
        <f>'Chi tiet'!#REF!</f>
        <v>#REF!</v>
      </c>
      <c r="E63" s="629"/>
      <c r="F63" s="630"/>
      <c r="G63" s="629"/>
      <c r="H63" s="630"/>
      <c r="I63" s="629"/>
      <c r="J63" s="630"/>
      <c r="K63" s="629"/>
      <c r="L63" s="629"/>
      <c r="M63" s="629"/>
      <c r="N63" s="629"/>
      <c r="O63" s="629"/>
      <c r="P63" s="638"/>
      <c r="Q63" s="629"/>
      <c r="R63" s="635">
        <v>1</v>
      </c>
      <c r="S63" s="636">
        <f>R63/$D61</f>
        <v>0.1</v>
      </c>
      <c r="T63" s="635">
        <v>1</v>
      </c>
      <c r="U63" s="636">
        <f>T63/$D61</f>
        <v>0.1</v>
      </c>
      <c r="V63" s="635"/>
      <c r="W63" s="636"/>
      <c r="X63" s="635"/>
      <c r="Y63" s="635"/>
      <c r="Z63" s="635"/>
      <c r="AA63" s="635"/>
      <c r="AB63" s="635"/>
      <c r="AC63" s="639"/>
      <c r="AD63" s="635"/>
      <c r="AE63" s="632">
        <v>1</v>
      </c>
      <c r="AF63" s="633">
        <f>AE63/$D61</f>
        <v>0.1</v>
      </c>
      <c r="AG63" s="632">
        <v>1</v>
      </c>
      <c r="AH63" s="633">
        <f>AG63/$D61</f>
        <v>0.1</v>
      </c>
      <c r="AI63" s="632"/>
      <c r="AJ63" s="633"/>
      <c r="AK63" s="632"/>
      <c r="AL63" s="632"/>
      <c r="AM63" s="632"/>
      <c r="AN63" s="632"/>
      <c r="AO63" s="632"/>
      <c r="AP63" s="640"/>
      <c r="AQ63" s="632"/>
    </row>
    <row r="64" spans="1:43" ht="20.25" customHeight="1" x14ac:dyDescent="0.25">
      <c r="A64" s="642">
        <v>21</v>
      </c>
      <c r="B64" s="643" t="s">
        <v>839</v>
      </c>
      <c r="C64" s="644" t="s">
        <v>889</v>
      </c>
      <c r="D64" s="642">
        <f>'Chi tiet'!$L$377</f>
        <v>3</v>
      </c>
      <c r="E64" s="642"/>
      <c r="F64" s="642"/>
      <c r="G64" s="642"/>
      <c r="H64" s="642"/>
      <c r="I64" s="642"/>
      <c r="J64" s="642"/>
      <c r="K64" s="642"/>
      <c r="L64" s="642">
        <f t="shared" si="3"/>
        <v>0</v>
      </c>
      <c r="M64" s="642"/>
      <c r="N64" s="642"/>
      <c r="O64" s="642"/>
      <c r="P64" s="645"/>
      <c r="Q64" s="642"/>
      <c r="R64" s="642"/>
      <c r="S64" s="642"/>
      <c r="T64" s="642"/>
      <c r="U64" s="642"/>
      <c r="V64" s="642"/>
      <c r="W64" s="642"/>
      <c r="X64" s="642"/>
      <c r="Y64" s="642">
        <f t="shared" si="4"/>
        <v>0</v>
      </c>
      <c r="Z64" s="642"/>
      <c r="AA64" s="642"/>
      <c r="AB64" s="642"/>
      <c r="AC64" s="645"/>
      <c r="AD64" s="642"/>
      <c r="AE64" s="642"/>
      <c r="AF64" s="642"/>
      <c r="AG64" s="642"/>
      <c r="AH64" s="642"/>
      <c r="AI64" s="642"/>
      <c r="AJ64" s="642"/>
      <c r="AK64" s="642"/>
      <c r="AL64" s="642">
        <f t="shared" si="5"/>
        <v>0</v>
      </c>
      <c r="AM64" s="642"/>
      <c r="AN64" s="642"/>
      <c r="AO64" s="642"/>
      <c r="AP64" s="645"/>
      <c r="AQ64" s="642"/>
    </row>
    <row r="65" spans="1:43" ht="20.25" customHeight="1" x14ac:dyDescent="0.25">
      <c r="A65" s="622"/>
      <c r="B65" s="277" t="s">
        <v>866</v>
      </c>
      <c r="C65" s="277"/>
      <c r="D65" s="622">
        <f>'Chi tiet'!AL380</f>
        <v>1</v>
      </c>
      <c r="E65" s="629"/>
      <c r="F65" s="629"/>
      <c r="G65" s="629"/>
      <c r="H65" s="629"/>
      <c r="I65" s="629"/>
      <c r="J65" s="629"/>
      <c r="K65" s="629"/>
      <c r="L65" s="629"/>
      <c r="M65" s="629"/>
      <c r="N65" s="629"/>
      <c r="O65" s="629"/>
      <c r="P65" s="638"/>
      <c r="Q65" s="629"/>
      <c r="R65" s="635"/>
      <c r="S65" s="635"/>
      <c r="T65" s="635"/>
      <c r="U65" s="635"/>
      <c r="V65" s="635"/>
      <c r="W65" s="635"/>
      <c r="X65" s="635"/>
      <c r="Y65" s="635"/>
      <c r="Z65" s="635"/>
      <c r="AA65" s="635"/>
      <c r="AB65" s="635"/>
      <c r="AC65" s="639"/>
      <c r="AD65" s="635"/>
      <c r="AE65" s="632"/>
      <c r="AF65" s="632"/>
      <c r="AG65" s="632"/>
      <c r="AH65" s="632"/>
      <c r="AI65" s="632"/>
      <c r="AJ65" s="632"/>
      <c r="AK65" s="632"/>
      <c r="AL65" s="632"/>
      <c r="AM65" s="632"/>
      <c r="AN65" s="632"/>
      <c r="AO65" s="632"/>
      <c r="AP65" s="640"/>
      <c r="AQ65" s="632"/>
    </row>
    <row r="66" spans="1:43" ht="20.25" customHeight="1" x14ac:dyDescent="0.25">
      <c r="A66" s="622"/>
      <c r="B66" s="277" t="s">
        <v>865</v>
      </c>
      <c r="C66" s="277"/>
      <c r="D66" s="622">
        <f>'Chi tiet'!AL381</f>
        <v>2</v>
      </c>
      <c r="E66" s="629"/>
      <c r="F66" s="630"/>
      <c r="G66" s="629"/>
      <c r="H66" s="630"/>
      <c r="I66" s="629"/>
      <c r="J66" s="630"/>
      <c r="K66" s="629"/>
      <c r="L66" s="629"/>
      <c r="M66" s="629"/>
      <c r="N66" s="629"/>
      <c r="O66" s="629"/>
      <c r="P66" s="638"/>
      <c r="Q66" s="629"/>
      <c r="R66" s="635">
        <v>1</v>
      </c>
      <c r="S66" s="636">
        <f>R66/$D64</f>
        <v>0.33333333333333331</v>
      </c>
      <c r="T66" s="635">
        <v>1</v>
      </c>
      <c r="U66" s="636">
        <f>T66/$D64</f>
        <v>0.33333333333333331</v>
      </c>
      <c r="V66" s="635"/>
      <c r="W66" s="636"/>
      <c r="X66" s="635"/>
      <c r="Y66" s="635"/>
      <c r="Z66" s="635"/>
      <c r="AA66" s="635"/>
      <c r="AB66" s="635"/>
      <c r="AC66" s="639"/>
      <c r="AD66" s="635"/>
      <c r="AE66" s="632">
        <v>1</v>
      </c>
      <c r="AF66" s="633">
        <f>AE66/$D64</f>
        <v>0.33333333333333331</v>
      </c>
      <c r="AG66" s="632">
        <v>1</v>
      </c>
      <c r="AH66" s="633">
        <f>AG66/$D64</f>
        <v>0.33333333333333331</v>
      </c>
      <c r="AI66" s="632"/>
      <c r="AJ66" s="633"/>
      <c r="AK66" s="632"/>
      <c r="AL66" s="632"/>
      <c r="AM66" s="632"/>
      <c r="AN66" s="632"/>
      <c r="AO66" s="632"/>
      <c r="AP66" s="640"/>
      <c r="AQ66" s="632"/>
    </row>
    <row r="67" spans="1:43" ht="20.25" customHeight="1" x14ac:dyDescent="0.25">
      <c r="A67" s="642">
        <v>22</v>
      </c>
      <c r="B67" s="643" t="s">
        <v>840</v>
      </c>
      <c r="C67" s="644" t="s">
        <v>890</v>
      </c>
      <c r="D67" s="642">
        <f>'Chi tiet'!$L$383</f>
        <v>2</v>
      </c>
      <c r="E67" s="642"/>
      <c r="F67" s="642"/>
      <c r="G67" s="642"/>
      <c r="H67" s="642"/>
      <c r="I67" s="642"/>
      <c r="J67" s="642"/>
      <c r="K67" s="642"/>
      <c r="L67" s="642">
        <f t="shared" si="3"/>
        <v>0</v>
      </c>
      <c r="M67" s="642"/>
      <c r="N67" s="642"/>
      <c r="O67" s="642"/>
      <c r="P67" s="645"/>
      <c r="Q67" s="642"/>
      <c r="R67" s="642"/>
      <c r="S67" s="642"/>
      <c r="T67" s="642"/>
      <c r="U67" s="642"/>
      <c r="V67" s="642"/>
      <c r="W67" s="642"/>
      <c r="X67" s="642"/>
      <c r="Y67" s="642">
        <f t="shared" si="4"/>
        <v>0</v>
      </c>
      <c r="Z67" s="642"/>
      <c r="AA67" s="642"/>
      <c r="AB67" s="642"/>
      <c r="AC67" s="645"/>
      <c r="AD67" s="642"/>
      <c r="AE67" s="642"/>
      <c r="AF67" s="642"/>
      <c r="AG67" s="642"/>
      <c r="AH67" s="642"/>
      <c r="AI67" s="642"/>
      <c r="AJ67" s="642"/>
      <c r="AK67" s="642"/>
      <c r="AL67" s="642">
        <f t="shared" si="5"/>
        <v>0</v>
      </c>
      <c r="AM67" s="642"/>
      <c r="AN67" s="642"/>
      <c r="AO67" s="642"/>
      <c r="AP67" s="645"/>
      <c r="AQ67" s="642"/>
    </row>
    <row r="68" spans="1:43" ht="20.25" customHeight="1" x14ac:dyDescent="0.25">
      <c r="A68" s="622"/>
      <c r="B68" s="277" t="s">
        <v>866</v>
      </c>
      <c r="C68" s="277"/>
      <c r="D68" s="622">
        <f>'Chi tiet'!AL386</f>
        <v>1</v>
      </c>
      <c r="E68" s="629"/>
      <c r="F68" s="629"/>
      <c r="G68" s="629"/>
      <c r="H68" s="629"/>
      <c r="I68" s="629"/>
      <c r="J68" s="629"/>
      <c r="K68" s="629"/>
      <c r="L68" s="629"/>
      <c r="M68" s="629"/>
      <c r="N68" s="629"/>
      <c r="O68" s="629"/>
      <c r="P68" s="638"/>
      <c r="Q68" s="629"/>
      <c r="R68" s="635"/>
      <c r="S68" s="635"/>
      <c r="T68" s="635"/>
      <c r="U68" s="635"/>
      <c r="V68" s="635"/>
      <c r="W68" s="635"/>
      <c r="X68" s="635"/>
      <c r="Y68" s="635"/>
      <c r="Z68" s="635"/>
      <c r="AA68" s="635"/>
      <c r="AB68" s="635"/>
      <c r="AC68" s="639"/>
      <c r="AD68" s="635"/>
      <c r="AE68" s="632"/>
      <c r="AF68" s="632"/>
      <c r="AG68" s="632"/>
      <c r="AH68" s="632"/>
      <c r="AI68" s="632"/>
      <c r="AJ68" s="632"/>
      <c r="AK68" s="632"/>
      <c r="AL68" s="632"/>
      <c r="AM68" s="632"/>
      <c r="AN68" s="632"/>
      <c r="AO68" s="632"/>
      <c r="AP68" s="640"/>
      <c r="AQ68" s="632"/>
    </row>
    <row r="69" spans="1:43" ht="20.25" customHeight="1" x14ac:dyDescent="0.25">
      <c r="A69" s="622"/>
      <c r="B69" s="277" t="s">
        <v>865</v>
      </c>
      <c r="C69" s="277"/>
      <c r="D69" s="622">
        <f>'Chi tiet'!AL387</f>
        <v>1</v>
      </c>
      <c r="E69" s="629"/>
      <c r="F69" s="630">
        <f>E69/$D67</f>
        <v>0</v>
      </c>
      <c r="G69" s="629"/>
      <c r="H69" s="630"/>
      <c r="I69" s="629"/>
      <c r="J69" s="630"/>
      <c r="K69" s="629"/>
      <c r="L69" s="629"/>
      <c r="M69" s="629"/>
      <c r="N69" s="629"/>
      <c r="O69" s="629"/>
      <c r="P69" s="638"/>
      <c r="Q69" s="629"/>
      <c r="R69" s="635"/>
      <c r="S69" s="636">
        <f>R69/$D67</f>
        <v>0</v>
      </c>
      <c r="T69" s="635">
        <v>1</v>
      </c>
      <c r="U69" s="636">
        <f>T69/$D67</f>
        <v>0.5</v>
      </c>
      <c r="V69" s="635"/>
      <c r="W69" s="636"/>
      <c r="X69" s="635"/>
      <c r="Y69" s="635"/>
      <c r="Z69" s="635"/>
      <c r="AA69" s="635"/>
      <c r="AB69" s="635"/>
      <c r="AC69" s="639"/>
      <c r="AD69" s="635"/>
      <c r="AE69" s="632"/>
      <c r="AF69" s="633">
        <f>AE69/$D67</f>
        <v>0</v>
      </c>
      <c r="AG69" s="632">
        <v>1</v>
      </c>
      <c r="AH69" s="633">
        <f>AG69/$D67</f>
        <v>0.5</v>
      </c>
      <c r="AI69" s="632"/>
      <c r="AJ69" s="633"/>
      <c r="AK69" s="632"/>
      <c r="AL69" s="632"/>
      <c r="AM69" s="632"/>
      <c r="AN69" s="632"/>
      <c r="AO69" s="632"/>
      <c r="AP69" s="640"/>
      <c r="AQ69" s="632"/>
    </row>
    <row r="70" spans="1:43" ht="20.25" customHeight="1" x14ac:dyDescent="0.25">
      <c r="A70" s="642">
        <v>23</v>
      </c>
      <c r="B70" s="643" t="s">
        <v>841</v>
      </c>
      <c r="C70" s="644" t="s">
        <v>894</v>
      </c>
      <c r="D70" s="642">
        <f>'Chi tiet'!$L$387</f>
        <v>7</v>
      </c>
      <c r="E70" s="642"/>
      <c r="F70" s="642"/>
      <c r="G70" s="642"/>
      <c r="H70" s="642"/>
      <c r="I70" s="642"/>
      <c r="J70" s="642"/>
      <c r="K70" s="642"/>
      <c r="L70" s="642">
        <f t="shared" si="3"/>
        <v>0</v>
      </c>
      <c r="M70" s="642"/>
      <c r="N70" s="642"/>
      <c r="O70" s="642"/>
      <c r="P70" s="645"/>
      <c r="Q70" s="642"/>
      <c r="R70" s="642"/>
      <c r="S70" s="642"/>
      <c r="T70" s="642"/>
      <c r="U70" s="642"/>
      <c r="V70" s="642"/>
      <c r="W70" s="642"/>
      <c r="X70" s="642"/>
      <c r="Y70" s="642">
        <f t="shared" si="4"/>
        <v>0</v>
      </c>
      <c r="Z70" s="642"/>
      <c r="AA70" s="642"/>
      <c r="AB70" s="642"/>
      <c r="AC70" s="645"/>
      <c r="AD70" s="642"/>
      <c r="AE70" s="642"/>
      <c r="AF70" s="642"/>
      <c r="AG70" s="642"/>
      <c r="AH70" s="642"/>
      <c r="AI70" s="642"/>
      <c r="AJ70" s="642"/>
      <c r="AK70" s="642"/>
      <c r="AL70" s="642">
        <f t="shared" si="5"/>
        <v>0</v>
      </c>
      <c r="AM70" s="642"/>
      <c r="AN70" s="642"/>
      <c r="AO70" s="642"/>
      <c r="AP70" s="645"/>
      <c r="AQ70" s="642"/>
    </row>
    <row r="71" spans="1:43" ht="20.25" customHeight="1" x14ac:dyDescent="0.25">
      <c r="A71" s="622"/>
      <c r="B71" s="277" t="s">
        <v>866</v>
      </c>
      <c r="C71" s="277"/>
      <c r="D71" s="622">
        <f>'Chi tiet'!AL393</f>
        <v>2</v>
      </c>
      <c r="E71" s="629"/>
      <c r="F71" s="629"/>
      <c r="G71" s="629"/>
      <c r="H71" s="629"/>
      <c r="I71" s="629"/>
      <c r="J71" s="629"/>
      <c r="K71" s="629"/>
      <c r="L71" s="629"/>
      <c r="M71" s="629"/>
      <c r="N71" s="629"/>
      <c r="O71" s="629"/>
      <c r="P71" s="638"/>
      <c r="Q71" s="629"/>
      <c r="R71" s="635"/>
      <c r="S71" s="635"/>
      <c r="T71" s="635"/>
      <c r="U71" s="635"/>
      <c r="V71" s="635"/>
      <c r="W71" s="635"/>
      <c r="X71" s="635"/>
      <c r="Y71" s="635"/>
      <c r="Z71" s="635"/>
      <c r="AA71" s="635"/>
      <c r="AB71" s="635"/>
      <c r="AC71" s="639"/>
      <c r="AD71" s="635"/>
      <c r="AE71" s="632"/>
      <c r="AF71" s="632"/>
      <c r="AG71" s="632"/>
      <c r="AH71" s="632"/>
      <c r="AI71" s="632"/>
      <c r="AJ71" s="632"/>
      <c r="AK71" s="632"/>
      <c r="AL71" s="632"/>
      <c r="AM71" s="632"/>
      <c r="AN71" s="632"/>
      <c r="AO71" s="632"/>
      <c r="AP71" s="640"/>
      <c r="AQ71" s="632"/>
    </row>
    <row r="72" spans="1:43" ht="20.25" customHeight="1" x14ac:dyDescent="0.25">
      <c r="A72" s="622"/>
      <c r="B72" s="277" t="s">
        <v>865</v>
      </c>
      <c r="C72" s="277"/>
      <c r="D72" s="622">
        <f>'Chi tiet'!AL394</f>
        <v>5</v>
      </c>
      <c r="E72" s="629"/>
      <c r="F72" s="630"/>
      <c r="G72" s="629"/>
      <c r="H72" s="630"/>
      <c r="I72" s="629"/>
      <c r="J72" s="630">
        <f>I72/$D70</f>
        <v>0</v>
      </c>
      <c r="K72" s="629"/>
      <c r="L72" s="629"/>
      <c r="M72" s="629"/>
      <c r="N72" s="629"/>
      <c r="O72" s="629"/>
      <c r="P72" s="638"/>
      <c r="Q72" s="629"/>
      <c r="R72" s="635">
        <v>1</v>
      </c>
      <c r="S72" s="636">
        <f>R72/$D70</f>
        <v>0.14285714285714285</v>
      </c>
      <c r="T72" s="635">
        <v>1</v>
      </c>
      <c r="U72" s="636">
        <f>T72/$D70</f>
        <v>0.14285714285714285</v>
      </c>
      <c r="V72" s="635"/>
      <c r="W72" s="636">
        <f>V72/$D70</f>
        <v>0</v>
      </c>
      <c r="X72" s="635"/>
      <c r="Y72" s="635"/>
      <c r="Z72" s="635"/>
      <c r="AA72" s="635"/>
      <c r="AB72" s="635"/>
      <c r="AC72" s="639"/>
      <c r="AD72" s="635"/>
      <c r="AE72" s="632">
        <v>1</v>
      </c>
      <c r="AF72" s="633">
        <f>AE72/$D70</f>
        <v>0.14285714285714285</v>
      </c>
      <c r="AG72" s="632">
        <v>1</v>
      </c>
      <c r="AH72" s="633">
        <f>AG72/$D70</f>
        <v>0.14285714285714285</v>
      </c>
      <c r="AI72" s="632"/>
      <c r="AJ72" s="633">
        <f>AI72/$D70</f>
        <v>0</v>
      </c>
      <c r="AK72" s="632"/>
      <c r="AL72" s="632"/>
      <c r="AM72" s="632"/>
      <c r="AN72" s="632"/>
      <c r="AO72" s="632"/>
      <c r="AP72" s="640"/>
      <c r="AQ72" s="632"/>
    </row>
    <row r="73" spans="1:43" ht="26.25" customHeight="1" x14ac:dyDescent="0.25">
      <c r="A73" s="624"/>
      <c r="B73" s="625" t="s">
        <v>895</v>
      </c>
      <c r="C73" s="625"/>
      <c r="D73" s="626">
        <f>D6+D7+D10+D13+D16+D19+D22+D25+D28+D31+D34+D37+D40+D43+D46+D49+D52+D55+D58+D61+D64+D67+D70</f>
        <v>318</v>
      </c>
      <c r="E73" s="626">
        <f>SUM(E6:E70)</f>
        <v>31</v>
      </c>
      <c r="F73" s="626"/>
      <c r="G73" s="626">
        <f>SUM(G6:G70)</f>
        <v>58</v>
      </c>
      <c r="H73" s="626"/>
      <c r="I73" s="626">
        <f>SUM(I6:I70)</f>
        <v>50</v>
      </c>
      <c r="J73" s="626"/>
      <c r="K73" s="626">
        <f>SUM(K6:K70)</f>
        <v>75</v>
      </c>
      <c r="L73" s="626">
        <f>SUM(L7:L70)</f>
        <v>0</v>
      </c>
      <c r="M73" s="626"/>
      <c r="N73" s="626"/>
      <c r="O73" s="626"/>
      <c r="P73" s="641"/>
      <c r="Q73" s="626"/>
      <c r="R73" s="626">
        <f>SUM(R6:R70)</f>
        <v>79</v>
      </c>
      <c r="S73" s="626"/>
      <c r="T73" s="626">
        <f>SUM(T6:T70)</f>
        <v>76</v>
      </c>
      <c r="U73" s="626"/>
      <c r="V73" s="626">
        <f>SUM(V6:V70)</f>
        <v>0</v>
      </c>
      <c r="W73" s="626"/>
      <c r="X73" s="626">
        <f>SUM(X6:X70)</f>
        <v>0</v>
      </c>
      <c r="Y73" s="626">
        <f>SUM(Y7:Y70)</f>
        <v>0</v>
      </c>
      <c r="Z73" s="626"/>
      <c r="AA73" s="626"/>
      <c r="AB73" s="626"/>
      <c r="AC73" s="641"/>
      <c r="AD73" s="626"/>
      <c r="AE73" s="626">
        <f>SUM(AE6:AE70)</f>
        <v>80</v>
      </c>
      <c r="AF73" s="626"/>
      <c r="AG73" s="626">
        <f>SUM(AG6:AG70)</f>
        <v>76</v>
      </c>
      <c r="AH73" s="626"/>
      <c r="AI73" s="626">
        <f>SUM(AI6:AI70)</f>
        <v>0</v>
      </c>
      <c r="AJ73" s="626"/>
      <c r="AK73" s="626">
        <f>SUM(AK6:AK70)</f>
        <v>0</v>
      </c>
      <c r="AL73" s="626">
        <f>SUM(AL7:AL70)</f>
        <v>0</v>
      </c>
      <c r="AM73" s="626"/>
      <c r="AN73" s="626"/>
      <c r="AO73" s="626"/>
      <c r="AP73" s="641"/>
      <c r="AQ73" s="626"/>
    </row>
    <row r="76" spans="1:43" ht="36.75" customHeight="1" x14ac:dyDescent="0.25">
      <c r="B76" s="1308" t="s">
        <v>946</v>
      </c>
      <c r="C76" s="649"/>
      <c r="D76" s="649"/>
      <c r="E76" s="1305" t="s">
        <v>941</v>
      </c>
      <c r="F76" s="1307"/>
      <c r="G76" s="1305" t="s">
        <v>943</v>
      </c>
      <c r="H76" s="1307"/>
      <c r="I76" s="1305" t="s">
        <v>944</v>
      </c>
      <c r="J76" s="1306"/>
      <c r="K76" s="1307"/>
      <c r="L76" s="650"/>
      <c r="R76" s="622" t="s">
        <v>864</v>
      </c>
      <c r="S76" s="622" t="s">
        <v>844</v>
      </c>
      <c r="T76" s="622" t="s">
        <v>865</v>
      </c>
      <c r="U76" s="622" t="s">
        <v>844</v>
      </c>
      <c r="AE76" s="622" t="s">
        <v>864</v>
      </c>
      <c r="AF76" s="622" t="s">
        <v>844</v>
      </c>
      <c r="AG76" s="622" t="s">
        <v>865</v>
      </c>
      <c r="AH76" s="622" t="s">
        <v>844</v>
      </c>
    </row>
    <row r="77" spans="1:43" ht="24.75" customHeight="1" x14ac:dyDescent="0.25">
      <c r="B77" s="1309"/>
      <c r="C77" s="648"/>
      <c r="D77" s="648"/>
      <c r="E77" s="648" t="s">
        <v>896</v>
      </c>
      <c r="F77" s="648" t="s">
        <v>844</v>
      </c>
      <c r="G77" s="648" t="s">
        <v>896</v>
      </c>
      <c r="H77" s="648" t="s">
        <v>844</v>
      </c>
      <c r="I77" s="648" t="s">
        <v>896</v>
      </c>
      <c r="J77" s="648" t="s">
        <v>844</v>
      </c>
      <c r="K77" s="648" t="s">
        <v>844</v>
      </c>
      <c r="L77" s="648"/>
      <c r="R77" s="648"/>
      <c r="S77" s="648"/>
      <c r="T77" s="648"/>
      <c r="U77" s="648"/>
      <c r="AE77" s="648"/>
      <c r="AF77" s="648"/>
      <c r="AG77" s="648"/>
      <c r="AH77" s="648"/>
    </row>
    <row r="78" spans="1:43" ht="27" customHeight="1" x14ac:dyDescent="0.25">
      <c r="B78" s="277" t="s">
        <v>897</v>
      </c>
      <c r="C78" s="627"/>
      <c r="D78" s="623"/>
      <c r="E78" s="521">
        <f>$E73</f>
        <v>31</v>
      </c>
      <c r="F78" s="623">
        <f>E78/$D$73</f>
        <v>9.7484276729559755E-2</v>
      </c>
      <c r="G78" s="521">
        <f>R73</f>
        <v>79</v>
      </c>
      <c r="H78" s="623">
        <f>G78/$D$73</f>
        <v>0.24842767295597484</v>
      </c>
      <c r="I78" s="521"/>
      <c r="J78" s="623"/>
      <c r="K78" s="521"/>
      <c r="L78" s="623"/>
      <c r="R78" s="521">
        <f>R6+R8+R11+R14+R17+R20+R23+R26+R29+R32+R35+R38+R41+R44+R47+R50+R53+R56+R59+R62+R65+R68+R71</f>
        <v>4</v>
      </c>
      <c r="S78" s="623">
        <f>R78/$D$73</f>
        <v>1.2578616352201259E-2</v>
      </c>
      <c r="T78" s="521">
        <f>R9+R12+R15+R18+R21+R24+R27+R30+R33+R36+R39+R42+R45+R48+R51+R54+R57+R60+R63+R66+R69+R72</f>
        <v>76</v>
      </c>
      <c r="U78" s="623" t="e">
        <f>T78/Q73</f>
        <v>#DIV/0!</v>
      </c>
      <c r="AE78" s="521">
        <f>AE6+AE8+AE11+AE14+AE17+AE20+AE23+AE26+AE29+AE32+AE35+AE38+AE41+AE44+AE47+AE50+AE53+AE56+AE59+AE62+AE65+AE68+AE71</f>
        <v>5</v>
      </c>
      <c r="AF78" s="623">
        <f>AE78/$D$73</f>
        <v>1.5723270440251572E-2</v>
      </c>
      <c r="AG78" s="521">
        <f>AE9+AE12+AE15+AE18+AE21+AE24+AE27+AE30+AE33+AE36+AE39+AE42+AE45+AE48+AE51+AE54+AE57+AE60+AE63+AE66+AE69+AE72</f>
        <v>76</v>
      </c>
      <c r="AH78" s="623" t="e">
        <f>AG78/AD73</f>
        <v>#DIV/0!</v>
      </c>
    </row>
    <row r="79" spans="1:43" ht="27" customHeight="1" x14ac:dyDescent="0.25">
      <c r="B79" s="277" t="s">
        <v>898</v>
      </c>
      <c r="C79" s="627"/>
      <c r="D79" s="623"/>
      <c r="E79" s="521">
        <f>G73</f>
        <v>58</v>
      </c>
      <c r="F79" s="623">
        <f t="shared" ref="F79:F87" si="14">E79/$D$73</f>
        <v>0.18238993710691823</v>
      </c>
      <c r="G79" s="521">
        <f>T73</f>
        <v>76</v>
      </c>
      <c r="H79" s="623">
        <f t="shared" ref="H79:H87" si="15">G79/$D$73</f>
        <v>0.2389937106918239</v>
      </c>
      <c r="I79" s="628"/>
      <c r="J79" s="623"/>
      <c r="K79" s="628"/>
      <c r="L79" s="623"/>
      <c r="R79" s="521"/>
      <c r="S79" s="623"/>
      <c r="T79" s="628"/>
      <c r="U79" s="623"/>
      <c r="AE79" s="521"/>
      <c r="AF79" s="623"/>
      <c r="AG79" s="628"/>
      <c r="AH79" s="623"/>
    </row>
    <row r="80" spans="1:43" ht="27" customHeight="1" x14ac:dyDescent="0.25">
      <c r="B80" s="277" t="s">
        <v>899</v>
      </c>
      <c r="C80" s="627"/>
      <c r="D80" s="623"/>
      <c r="E80" s="521">
        <f>I73</f>
        <v>50</v>
      </c>
      <c r="F80" s="623">
        <f t="shared" si="14"/>
        <v>0.15723270440251572</v>
      </c>
      <c r="G80" s="521">
        <f>V73</f>
        <v>0</v>
      </c>
      <c r="H80" s="623">
        <f t="shared" si="15"/>
        <v>0</v>
      </c>
      <c r="I80" s="628"/>
      <c r="J80" s="623"/>
      <c r="K80" s="628"/>
      <c r="L80" s="623"/>
      <c r="R80" s="628"/>
      <c r="S80" s="623"/>
      <c r="T80" s="628"/>
      <c r="U80" s="623"/>
      <c r="AE80" s="628"/>
      <c r="AF80" s="623"/>
      <c r="AG80" s="628"/>
      <c r="AH80" s="623"/>
    </row>
    <row r="81" spans="2:34" ht="27" customHeight="1" x14ac:dyDescent="0.25">
      <c r="B81" s="277" t="s">
        <v>900</v>
      </c>
      <c r="C81" s="627"/>
      <c r="D81" s="623"/>
      <c r="E81" s="521">
        <f>K73</f>
        <v>75</v>
      </c>
      <c r="F81" s="623">
        <f t="shared" si="14"/>
        <v>0.23584905660377359</v>
      </c>
      <c r="G81" s="521">
        <f>X73</f>
        <v>0</v>
      </c>
      <c r="H81" s="623">
        <f t="shared" si="15"/>
        <v>0</v>
      </c>
      <c r="I81" s="628"/>
      <c r="J81" s="623"/>
      <c r="K81" s="628"/>
      <c r="L81" s="623"/>
      <c r="R81" s="628"/>
      <c r="S81" s="623"/>
      <c r="T81" s="628"/>
      <c r="U81" s="623"/>
      <c r="AE81" s="628"/>
      <c r="AF81" s="623"/>
      <c r="AG81" s="628"/>
      <c r="AH81" s="623"/>
    </row>
    <row r="82" spans="2:34" ht="27" customHeight="1" x14ac:dyDescent="0.25">
      <c r="B82" s="277" t="s">
        <v>902</v>
      </c>
      <c r="C82" s="627"/>
      <c r="D82" s="623"/>
      <c r="E82" s="521">
        <f>M73</f>
        <v>0</v>
      </c>
      <c r="F82" s="623">
        <f t="shared" si="14"/>
        <v>0</v>
      </c>
      <c r="G82" s="521">
        <f>Z73</f>
        <v>0</v>
      </c>
      <c r="H82" s="623">
        <f t="shared" si="15"/>
        <v>0</v>
      </c>
      <c r="I82" s="521"/>
      <c r="J82" s="623"/>
      <c r="K82" s="521"/>
      <c r="L82" s="623"/>
      <c r="R82" s="521">
        <f>R10+R12+R15+R18+R21+R24+R27+R30+R33+R36+R39+R42+R45+R48+R51+R54+R57+R60+R63+R66+R69+R72+R75</f>
        <v>74</v>
      </c>
      <c r="S82" s="623">
        <f>R82/$D$73</f>
        <v>0.23270440251572327</v>
      </c>
      <c r="T82" s="521" t="e">
        <f>R13+R16+R19+R22+R25+R28+R31+R34+R37+R40+R43+R46+R49+R52+R55+R58+R61+R64+R67+R70+R73+R76</f>
        <v>#VALUE!</v>
      </c>
      <c r="U82" s="623" t="e">
        <f>T82/Q78</f>
        <v>#VALUE!</v>
      </c>
      <c r="AE82" s="521">
        <f>AE10+AE12+AE15+AE18+AE21+AE24+AE27+AE30+AE33+AE36+AE39+AE42+AE45+AE48+AE51+AE54+AE57+AE60+AE63+AE66+AE69+AE72+AE75</f>
        <v>74</v>
      </c>
      <c r="AF82" s="623">
        <f>AE82/$D$73</f>
        <v>0.23270440251572327</v>
      </c>
      <c r="AG82" s="521" t="e">
        <f>AE13+AE16+AE19+AE22+AE25+AE28+AE31+AE34+AE37+AE40+AE43+AE46+AE49+AE52+AE55+AE58+AE61+AE64+AE67+AE70+AE73+AE76</f>
        <v>#VALUE!</v>
      </c>
      <c r="AH82" s="623" t="e">
        <f>AG82/AD78</f>
        <v>#VALUE!</v>
      </c>
    </row>
    <row r="83" spans="2:34" ht="27" customHeight="1" x14ac:dyDescent="0.25">
      <c r="B83" s="277" t="s">
        <v>903</v>
      </c>
      <c r="C83" s="627"/>
      <c r="D83" s="623"/>
      <c r="E83" s="521">
        <f>N73</f>
        <v>0</v>
      </c>
      <c r="F83" s="623">
        <f t="shared" si="14"/>
        <v>0</v>
      </c>
      <c r="G83" s="521">
        <f>AA73</f>
        <v>0</v>
      </c>
      <c r="H83" s="623">
        <f t="shared" si="15"/>
        <v>0</v>
      </c>
      <c r="I83" s="628"/>
      <c r="J83" s="623"/>
      <c r="K83" s="628"/>
      <c r="L83" s="623"/>
      <c r="R83" s="521"/>
      <c r="S83" s="623"/>
      <c r="T83" s="628"/>
      <c r="U83" s="623"/>
      <c r="AE83" s="521"/>
      <c r="AF83" s="623"/>
      <c r="AG83" s="628"/>
      <c r="AH83" s="623"/>
    </row>
    <row r="84" spans="2:34" ht="27" customHeight="1" x14ac:dyDescent="0.25">
      <c r="B84" s="277" t="s">
        <v>904</v>
      </c>
      <c r="C84" s="627"/>
      <c r="D84" s="623"/>
      <c r="E84" s="521">
        <f>O73</f>
        <v>0</v>
      </c>
      <c r="F84" s="623">
        <f t="shared" si="14"/>
        <v>0</v>
      </c>
      <c r="G84" s="521">
        <f>AB73</f>
        <v>0</v>
      </c>
      <c r="H84" s="623">
        <f t="shared" si="15"/>
        <v>0</v>
      </c>
      <c r="I84" s="628"/>
      <c r="J84" s="623"/>
      <c r="K84" s="628"/>
      <c r="L84" s="623"/>
      <c r="R84" s="628"/>
      <c r="S84" s="623"/>
      <c r="T84" s="628"/>
      <c r="U84" s="623"/>
      <c r="AE84" s="628"/>
      <c r="AF84" s="623"/>
      <c r="AG84" s="628"/>
      <c r="AH84" s="623"/>
    </row>
    <row r="85" spans="2:34" ht="27" customHeight="1" x14ac:dyDescent="0.25">
      <c r="B85" s="277" t="s">
        <v>905</v>
      </c>
      <c r="C85" s="627"/>
      <c r="D85" s="623"/>
      <c r="E85" s="521">
        <f>P73</f>
        <v>0</v>
      </c>
      <c r="F85" s="623">
        <f t="shared" si="14"/>
        <v>0</v>
      </c>
      <c r="G85" s="521">
        <f>AC73</f>
        <v>0</v>
      </c>
      <c r="H85" s="623">
        <f t="shared" si="15"/>
        <v>0</v>
      </c>
      <c r="I85" s="628"/>
      <c r="J85" s="623"/>
      <c r="K85" s="628"/>
      <c r="L85" s="623"/>
      <c r="R85" s="628"/>
      <c r="S85" s="623"/>
      <c r="T85" s="628"/>
      <c r="U85" s="623"/>
      <c r="AE85" s="628"/>
      <c r="AF85" s="623"/>
      <c r="AG85" s="628"/>
      <c r="AH85" s="623"/>
    </row>
    <row r="86" spans="2:34" ht="27" customHeight="1" x14ac:dyDescent="0.25">
      <c r="B86" s="277" t="s">
        <v>942</v>
      </c>
      <c r="C86" s="627"/>
      <c r="D86" s="623"/>
      <c r="E86" s="521">
        <f>Q73</f>
        <v>0</v>
      </c>
      <c r="F86" s="623">
        <f t="shared" si="14"/>
        <v>0</v>
      </c>
      <c r="G86" s="521">
        <f>AD73</f>
        <v>0</v>
      </c>
      <c r="H86" s="623">
        <f t="shared" si="15"/>
        <v>0</v>
      </c>
      <c r="I86" s="628"/>
      <c r="J86" s="623"/>
      <c r="K86" s="628"/>
      <c r="L86" s="623"/>
      <c r="R86" s="628"/>
      <c r="S86" s="623"/>
      <c r="T86" s="628"/>
      <c r="U86" s="623"/>
      <c r="AE86" s="628"/>
      <c r="AF86" s="623"/>
      <c r="AG86" s="628"/>
      <c r="AH86" s="623"/>
    </row>
    <row r="87" spans="2:34" ht="27" customHeight="1" x14ac:dyDescent="0.25">
      <c r="B87" s="277" t="s">
        <v>945</v>
      </c>
      <c r="C87" s="627"/>
      <c r="D87" s="623"/>
      <c r="E87" s="521"/>
      <c r="F87" s="623">
        <f t="shared" si="14"/>
        <v>0</v>
      </c>
      <c r="G87" s="521"/>
      <c r="H87" s="623">
        <f t="shared" si="15"/>
        <v>0</v>
      </c>
      <c r="I87" s="628"/>
      <c r="J87" s="623"/>
      <c r="K87" s="628"/>
      <c r="L87" s="623"/>
      <c r="R87" s="628"/>
      <c r="S87" s="623"/>
      <c r="T87" s="628"/>
      <c r="U87" s="623"/>
      <c r="AE87" s="628"/>
      <c r="AF87" s="623"/>
      <c r="AG87" s="628"/>
      <c r="AH87" s="623"/>
    </row>
  </sheetData>
  <mergeCells count="29">
    <mergeCell ref="I76:K76"/>
    <mergeCell ref="B76:B77"/>
    <mergeCell ref="E76:F76"/>
    <mergeCell ref="G76:H76"/>
    <mergeCell ref="AE1:AF1"/>
    <mergeCell ref="R1:S1"/>
    <mergeCell ref="T1:U1"/>
    <mergeCell ref="E1:F1"/>
    <mergeCell ref="G1:H1"/>
    <mergeCell ref="AG1:AH1"/>
    <mergeCell ref="AE3:AQ3"/>
    <mergeCell ref="AE4:AF4"/>
    <mergeCell ref="AG4:AH4"/>
    <mergeCell ref="AI4:AJ4"/>
    <mergeCell ref="AK4:AL4"/>
    <mergeCell ref="A3:A5"/>
    <mergeCell ref="B3:B5"/>
    <mergeCell ref="D3:D5"/>
    <mergeCell ref="R3:AD3"/>
    <mergeCell ref="R4:S4"/>
    <mergeCell ref="T4:U4"/>
    <mergeCell ref="V4:W4"/>
    <mergeCell ref="X4:Y4"/>
    <mergeCell ref="C3:C5"/>
    <mergeCell ref="G4:H4"/>
    <mergeCell ref="I4:J4"/>
    <mergeCell ref="K4:L4"/>
    <mergeCell ref="E4:F4"/>
    <mergeCell ref="E3:Q3"/>
  </mergeCells>
  <conditionalFormatting sqref="F9">
    <cfRule type="cellIs" dxfId="404" priority="9" operator="greaterThan">
      <formula>0.2</formula>
    </cfRule>
    <cfRule type="cellIs" dxfId="403" priority="34" operator="greaterThan">
      <formula>0.2</formula>
    </cfRule>
    <cfRule type="cellIs" dxfId="402" priority="40" operator="greaterThan">
      <formula>0.2</formula>
    </cfRule>
  </conditionalFormatting>
  <conditionalFormatting sqref="F12">
    <cfRule type="cellIs" dxfId="401" priority="7" operator="greaterThan">
      <formula>0.2</formula>
    </cfRule>
    <cfRule type="cellIs" dxfId="400" priority="37" operator="greaterThan">
      <formula>0.2</formula>
    </cfRule>
  </conditionalFormatting>
  <conditionalFormatting sqref="H9">
    <cfRule type="cellIs" dxfId="399" priority="8" operator="greaterThan">
      <formula>0.3</formula>
    </cfRule>
    <cfRule type="cellIs" dxfId="398" priority="31" operator="greaterThan">
      <formula>0.3</formula>
    </cfRule>
    <cfRule type="cellIs" dxfId="397" priority="32" operator="greaterThan">
      <formula>0.2</formula>
    </cfRule>
    <cfRule type="cellIs" dxfId="396" priority="33" operator="greaterThan">
      <formula>0.2</formula>
    </cfRule>
  </conditionalFormatting>
  <conditionalFormatting sqref="H12">
    <cfRule type="cellIs" dxfId="395" priority="6" operator="greaterThan">
      <formula>0.3</formula>
    </cfRule>
    <cfRule type="cellIs" dxfId="394" priority="28" operator="greaterThan">
      <formula>0.3</formula>
    </cfRule>
    <cfRule type="cellIs" dxfId="393" priority="29" operator="greaterThan">
      <formula>0.2</formula>
    </cfRule>
    <cfRule type="cellIs" dxfId="392" priority="30" operator="greaterThan">
      <formula>0.2</formula>
    </cfRule>
  </conditionalFormatting>
  <conditionalFormatting sqref="F15">
    <cfRule type="cellIs" dxfId="391" priority="27" operator="greaterThan">
      <formula>0.2</formula>
    </cfRule>
  </conditionalFormatting>
  <conditionalFormatting sqref="H15">
    <cfRule type="cellIs" dxfId="390" priority="17" operator="greaterThan">
      <formula>0.3</formula>
    </cfRule>
    <cfRule type="cellIs" dxfId="389" priority="24" operator="greaterThan">
      <formula>0.3</formula>
    </cfRule>
    <cfRule type="cellIs" dxfId="388" priority="25" operator="greaterThan">
      <formula>0.2</formula>
    </cfRule>
    <cfRule type="cellIs" dxfId="387" priority="26" operator="greaterThan">
      <formula>0.2</formula>
    </cfRule>
  </conditionalFormatting>
  <conditionalFormatting sqref="F18">
    <cfRule type="cellIs" dxfId="386" priority="23" operator="greaterThan">
      <formula>0.2</formula>
    </cfRule>
  </conditionalFormatting>
  <conditionalFormatting sqref="H18">
    <cfRule type="cellIs" dxfId="385" priority="18" operator="greaterThan">
      <formula>0.3</formula>
    </cfRule>
    <cfRule type="cellIs" dxfId="384" priority="19" operator="greaterThan">
      <formula>0.3</formula>
    </cfRule>
    <cfRule type="cellIs" dxfId="383" priority="20" operator="greaterThan">
      <formula>0.3</formula>
    </cfRule>
    <cfRule type="cellIs" dxfId="382" priority="21" operator="greaterThan">
      <formula>0.2</formula>
    </cfRule>
    <cfRule type="cellIs" dxfId="381" priority="22" operator="greaterThan">
      <formula>0.2</formula>
    </cfRule>
  </conditionalFormatting>
  <conditionalFormatting sqref="F21">
    <cfRule type="cellIs" dxfId="380" priority="5" operator="greaterThan">
      <formula>0.2</formula>
    </cfRule>
    <cfRule type="cellIs" dxfId="379" priority="16" operator="greaterThan">
      <formula>0.2</formula>
    </cfRule>
  </conditionalFormatting>
  <conditionalFormatting sqref="H21">
    <cfRule type="cellIs" dxfId="378" priority="4" operator="greaterThan">
      <formula>0.3</formula>
    </cfRule>
    <cfRule type="cellIs" dxfId="377" priority="11" operator="greaterThan">
      <formula>0.3</formula>
    </cfRule>
    <cfRule type="cellIs" dxfId="376" priority="12" operator="greaterThan">
      <formula>0.3</formula>
    </cfRule>
    <cfRule type="cellIs" dxfId="375" priority="13" operator="greaterThan">
      <formula>0.3</formula>
    </cfRule>
    <cfRule type="cellIs" dxfId="374" priority="14" operator="greaterThan">
      <formula>0.2</formula>
    </cfRule>
    <cfRule type="cellIs" dxfId="373" priority="15" operator="greaterThan">
      <formula>0.2</formula>
    </cfRule>
  </conditionalFormatting>
  <conditionalFormatting sqref="F24">
    <cfRule type="cellIs" dxfId="372" priority="10" operator="greaterThan">
      <formula>0.2</formula>
    </cfRule>
  </conditionalFormatting>
  <conditionalFormatting sqref="F27">
    <cfRule type="cellIs" dxfId="371" priority="3" operator="greaterThan">
      <formula>0.2</formula>
    </cfRule>
  </conditionalFormatting>
  <conditionalFormatting sqref="F30">
    <cfRule type="cellIs" dxfId="370" priority="1" operator="greaterThan">
      <formula>0.2</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29"/>
  <sheetViews>
    <sheetView showZeros="0" topLeftCell="A16" zoomScaleNormal="100" workbookViewId="0">
      <selection activeCell="D22" sqref="D22"/>
    </sheetView>
  </sheetViews>
  <sheetFormatPr defaultRowHeight="15.75" x14ac:dyDescent="0.25"/>
  <cols>
    <col min="1" max="1" width="4.85546875" style="543" customWidth="1"/>
    <col min="2" max="2" width="28.28515625" style="544" customWidth="1"/>
    <col min="3" max="3" width="11" style="543" customWidth="1"/>
    <col min="4" max="5" width="14.7109375" style="543" customWidth="1"/>
    <col min="6" max="13" width="9.28515625" style="543" customWidth="1"/>
    <col min="14" max="14" width="13.140625" style="543" customWidth="1"/>
    <col min="15" max="15" width="11.28515625" style="545" customWidth="1"/>
    <col min="16" max="263" width="9.140625" style="543"/>
    <col min="264" max="264" width="4.85546875" style="543" customWidth="1"/>
    <col min="265" max="265" width="29.5703125" style="543" customWidth="1"/>
    <col min="266" max="266" width="8.140625" style="543" customWidth="1"/>
    <col min="267" max="270" width="13.140625" style="543" customWidth="1"/>
    <col min="271" max="271" width="13.7109375" style="543" customWidth="1"/>
    <col min="272" max="519" width="9.140625" style="543"/>
    <col min="520" max="520" width="4.85546875" style="543" customWidth="1"/>
    <col min="521" max="521" width="29.5703125" style="543" customWidth="1"/>
    <col min="522" max="522" width="8.140625" style="543" customWidth="1"/>
    <col min="523" max="526" width="13.140625" style="543" customWidth="1"/>
    <col min="527" max="527" width="13.7109375" style="543" customWidth="1"/>
    <col min="528" max="775" width="9.140625" style="543"/>
    <col min="776" max="776" width="4.85546875" style="543" customWidth="1"/>
    <col min="777" max="777" width="29.5703125" style="543" customWidth="1"/>
    <col min="778" max="778" width="8.140625" style="543" customWidth="1"/>
    <col min="779" max="782" width="13.140625" style="543" customWidth="1"/>
    <col min="783" max="783" width="13.7109375" style="543" customWidth="1"/>
    <col min="784" max="1031" width="9.140625" style="543"/>
    <col min="1032" max="1032" width="4.85546875" style="543" customWidth="1"/>
    <col min="1033" max="1033" width="29.5703125" style="543" customWidth="1"/>
    <col min="1034" max="1034" width="8.140625" style="543" customWidth="1"/>
    <col min="1035" max="1038" width="13.140625" style="543" customWidth="1"/>
    <col min="1039" max="1039" width="13.7109375" style="543" customWidth="1"/>
    <col min="1040" max="1287" width="9.140625" style="543"/>
    <col min="1288" max="1288" width="4.85546875" style="543" customWidth="1"/>
    <col min="1289" max="1289" width="29.5703125" style="543" customWidth="1"/>
    <col min="1290" max="1290" width="8.140625" style="543" customWidth="1"/>
    <col min="1291" max="1294" width="13.140625" style="543" customWidth="1"/>
    <col min="1295" max="1295" width="13.7109375" style="543" customWidth="1"/>
    <col min="1296" max="1543" width="9.140625" style="543"/>
    <col min="1544" max="1544" width="4.85546875" style="543" customWidth="1"/>
    <col min="1545" max="1545" width="29.5703125" style="543" customWidth="1"/>
    <col min="1546" max="1546" width="8.140625" style="543" customWidth="1"/>
    <col min="1547" max="1550" width="13.140625" style="543" customWidth="1"/>
    <col min="1551" max="1551" width="13.7109375" style="543" customWidth="1"/>
    <col min="1552" max="1799" width="9.140625" style="543"/>
    <col min="1800" max="1800" width="4.85546875" style="543" customWidth="1"/>
    <col min="1801" max="1801" width="29.5703125" style="543" customWidth="1"/>
    <col min="1802" max="1802" width="8.140625" style="543" customWidth="1"/>
    <col min="1803" max="1806" width="13.140625" style="543" customWidth="1"/>
    <col min="1807" max="1807" width="13.7109375" style="543" customWidth="1"/>
    <col min="1808" max="2055" width="9.140625" style="543"/>
    <col min="2056" max="2056" width="4.85546875" style="543" customWidth="1"/>
    <col min="2057" max="2057" width="29.5703125" style="543" customWidth="1"/>
    <col min="2058" max="2058" width="8.140625" style="543" customWidth="1"/>
    <col min="2059" max="2062" width="13.140625" style="543" customWidth="1"/>
    <col min="2063" max="2063" width="13.7109375" style="543" customWidth="1"/>
    <col min="2064" max="2311" width="9.140625" style="543"/>
    <col min="2312" max="2312" width="4.85546875" style="543" customWidth="1"/>
    <col min="2313" max="2313" width="29.5703125" style="543" customWidth="1"/>
    <col min="2314" max="2314" width="8.140625" style="543" customWidth="1"/>
    <col min="2315" max="2318" width="13.140625" style="543" customWidth="1"/>
    <col min="2319" max="2319" width="13.7109375" style="543" customWidth="1"/>
    <col min="2320" max="2567" width="9.140625" style="543"/>
    <col min="2568" max="2568" width="4.85546875" style="543" customWidth="1"/>
    <col min="2569" max="2569" width="29.5703125" style="543" customWidth="1"/>
    <col min="2570" max="2570" width="8.140625" style="543" customWidth="1"/>
    <col min="2571" max="2574" width="13.140625" style="543" customWidth="1"/>
    <col min="2575" max="2575" width="13.7109375" style="543" customWidth="1"/>
    <col min="2576" max="2823" width="9.140625" style="543"/>
    <col min="2824" max="2824" width="4.85546875" style="543" customWidth="1"/>
    <col min="2825" max="2825" width="29.5703125" style="543" customWidth="1"/>
    <col min="2826" max="2826" width="8.140625" style="543" customWidth="1"/>
    <col min="2827" max="2830" width="13.140625" style="543" customWidth="1"/>
    <col min="2831" max="2831" width="13.7109375" style="543" customWidth="1"/>
    <col min="2832" max="3079" width="9.140625" style="543"/>
    <col min="3080" max="3080" width="4.85546875" style="543" customWidth="1"/>
    <col min="3081" max="3081" width="29.5703125" style="543" customWidth="1"/>
    <col min="3082" max="3082" width="8.140625" style="543" customWidth="1"/>
    <col min="3083" max="3086" width="13.140625" style="543" customWidth="1"/>
    <col min="3087" max="3087" width="13.7109375" style="543" customWidth="1"/>
    <col min="3088" max="3335" width="9.140625" style="543"/>
    <col min="3336" max="3336" width="4.85546875" style="543" customWidth="1"/>
    <col min="3337" max="3337" width="29.5703125" style="543" customWidth="1"/>
    <col min="3338" max="3338" width="8.140625" style="543" customWidth="1"/>
    <col min="3339" max="3342" width="13.140625" style="543" customWidth="1"/>
    <col min="3343" max="3343" width="13.7109375" style="543" customWidth="1"/>
    <col min="3344" max="3591" width="9.140625" style="543"/>
    <col min="3592" max="3592" width="4.85546875" style="543" customWidth="1"/>
    <col min="3593" max="3593" width="29.5703125" style="543" customWidth="1"/>
    <col min="3594" max="3594" width="8.140625" style="543" customWidth="1"/>
    <col min="3595" max="3598" width="13.140625" style="543" customWidth="1"/>
    <col min="3599" max="3599" width="13.7109375" style="543" customWidth="1"/>
    <col min="3600" max="3847" width="9.140625" style="543"/>
    <col min="3848" max="3848" width="4.85546875" style="543" customWidth="1"/>
    <col min="3849" max="3849" width="29.5703125" style="543" customWidth="1"/>
    <col min="3850" max="3850" width="8.140625" style="543" customWidth="1"/>
    <col min="3851" max="3854" width="13.140625" style="543" customWidth="1"/>
    <col min="3855" max="3855" width="13.7109375" style="543" customWidth="1"/>
    <col min="3856" max="4103" width="9.140625" style="543"/>
    <col min="4104" max="4104" width="4.85546875" style="543" customWidth="1"/>
    <col min="4105" max="4105" width="29.5703125" style="543" customWidth="1"/>
    <col min="4106" max="4106" width="8.140625" style="543" customWidth="1"/>
    <col min="4107" max="4110" width="13.140625" style="543" customWidth="1"/>
    <col min="4111" max="4111" width="13.7109375" style="543" customWidth="1"/>
    <col min="4112" max="4359" width="9.140625" style="543"/>
    <col min="4360" max="4360" width="4.85546875" style="543" customWidth="1"/>
    <col min="4361" max="4361" width="29.5703125" style="543" customWidth="1"/>
    <col min="4362" max="4362" width="8.140625" style="543" customWidth="1"/>
    <col min="4363" max="4366" width="13.140625" style="543" customWidth="1"/>
    <col min="4367" max="4367" width="13.7109375" style="543" customWidth="1"/>
    <col min="4368" max="4615" width="9.140625" style="543"/>
    <col min="4616" max="4616" width="4.85546875" style="543" customWidth="1"/>
    <col min="4617" max="4617" width="29.5703125" style="543" customWidth="1"/>
    <col min="4618" max="4618" width="8.140625" style="543" customWidth="1"/>
    <col min="4619" max="4622" width="13.140625" style="543" customWidth="1"/>
    <col min="4623" max="4623" width="13.7109375" style="543" customWidth="1"/>
    <col min="4624" max="4871" width="9.140625" style="543"/>
    <col min="4872" max="4872" width="4.85546875" style="543" customWidth="1"/>
    <col min="4873" max="4873" width="29.5703125" style="543" customWidth="1"/>
    <col min="4874" max="4874" width="8.140625" style="543" customWidth="1"/>
    <col min="4875" max="4878" width="13.140625" style="543" customWidth="1"/>
    <col min="4879" max="4879" width="13.7109375" style="543" customWidth="1"/>
    <col min="4880" max="5127" width="9.140625" style="543"/>
    <col min="5128" max="5128" width="4.85546875" style="543" customWidth="1"/>
    <col min="5129" max="5129" width="29.5703125" style="543" customWidth="1"/>
    <col min="5130" max="5130" width="8.140625" style="543" customWidth="1"/>
    <col min="5131" max="5134" width="13.140625" style="543" customWidth="1"/>
    <col min="5135" max="5135" width="13.7109375" style="543" customWidth="1"/>
    <col min="5136" max="5383" width="9.140625" style="543"/>
    <col min="5384" max="5384" width="4.85546875" style="543" customWidth="1"/>
    <col min="5385" max="5385" width="29.5703125" style="543" customWidth="1"/>
    <col min="5386" max="5386" width="8.140625" style="543" customWidth="1"/>
    <col min="5387" max="5390" width="13.140625" style="543" customWidth="1"/>
    <col min="5391" max="5391" width="13.7109375" style="543" customWidth="1"/>
    <col min="5392" max="5639" width="9.140625" style="543"/>
    <col min="5640" max="5640" width="4.85546875" style="543" customWidth="1"/>
    <col min="5641" max="5641" width="29.5703125" style="543" customWidth="1"/>
    <col min="5642" max="5642" width="8.140625" style="543" customWidth="1"/>
    <col min="5643" max="5646" width="13.140625" style="543" customWidth="1"/>
    <col min="5647" max="5647" width="13.7109375" style="543" customWidth="1"/>
    <col min="5648" max="5895" width="9.140625" style="543"/>
    <col min="5896" max="5896" width="4.85546875" style="543" customWidth="1"/>
    <col min="5897" max="5897" width="29.5703125" style="543" customWidth="1"/>
    <col min="5898" max="5898" width="8.140625" style="543" customWidth="1"/>
    <col min="5899" max="5902" width="13.140625" style="543" customWidth="1"/>
    <col min="5903" max="5903" width="13.7109375" style="543" customWidth="1"/>
    <col min="5904" max="6151" width="9.140625" style="543"/>
    <col min="6152" max="6152" width="4.85546875" style="543" customWidth="1"/>
    <col min="6153" max="6153" width="29.5703125" style="543" customWidth="1"/>
    <col min="6154" max="6154" width="8.140625" style="543" customWidth="1"/>
    <col min="6155" max="6158" width="13.140625" style="543" customWidth="1"/>
    <col min="6159" max="6159" width="13.7109375" style="543" customWidth="1"/>
    <col min="6160" max="6407" width="9.140625" style="543"/>
    <col min="6408" max="6408" width="4.85546875" style="543" customWidth="1"/>
    <col min="6409" max="6409" width="29.5703125" style="543" customWidth="1"/>
    <col min="6410" max="6410" width="8.140625" style="543" customWidth="1"/>
    <col min="6411" max="6414" width="13.140625" style="543" customWidth="1"/>
    <col min="6415" max="6415" width="13.7109375" style="543" customWidth="1"/>
    <col min="6416" max="6663" width="9.140625" style="543"/>
    <col min="6664" max="6664" width="4.85546875" style="543" customWidth="1"/>
    <col min="6665" max="6665" width="29.5703125" style="543" customWidth="1"/>
    <col min="6666" max="6666" width="8.140625" style="543" customWidth="1"/>
    <col min="6667" max="6670" width="13.140625" style="543" customWidth="1"/>
    <col min="6671" max="6671" width="13.7109375" style="543" customWidth="1"/>
    <col min="6672" max="6919" width="9.140625" style="543"/>
    <col min="6920" max="6920" width="4.85546875" style="543" customWidth="1"/>
    <col min="6921" max="6921" width="29.5703125" style="543" customWidth="1"/>
    <col min="6922" max="6922" width="8.140625" style="543" customWidth="1"/>
    <col min="6923" max="6926" width="13.140625" style="543" customWidth="1"/>
    <col min="6927" max="6927" width="13.7109375" style="543" customWidth="1"/>
    <col min="6928" max="7175" width="9.140625" style="543"/>
    <col min="7176" max="7176" width="4.85546875" style="543" customWidth="1"/>
    <col min="7177" max="7177" width="29.5703125" style="543" customWidth="1"/>
    <col min="7178" max="7178" width="8.140625" style="543" customWidth="1"/>
    <col min="7179" max="7182" width="13.140625" style="543" customWidth="1"/>
    <col min="7183" max="7183" width="13.7109375" style="543" customWidth="1"/>
    <col min="7184" max="7431" width="9.140625" style="543"/>
    <col min="7432" max="7432" width="4.85546875" style="543" customWidth="1"/>
    <col min="7433" max="7433" width="29.5703125" style="543" customWidth="1"/>
    <col min="7434" max="7434" width="8.140625" style="543" customWidth="1"/>
    <col min="7435" max="7438" width="13.140625" style="543" customWidth="1"/>
    <col min="7439" max="7439" width="13.7109375" style="543" customWidth="1"/>
    <col min="7440" max="7687" width="9.140625" style="543"/>
    <col min="7688" max="7688" width="4.85546875" style="543" customWidth="1"/>
    <col min="7689" max="7689" width="29.5703125" style="543" customWidth="1"/>
    <col min="7690" max="7690" width="8.140625" style="543" customWidth="1"/>
    <col min="7691" max="7694" width="13.140625" style="543" customWidth="1"/>
    <col min="7695" max="7695" width="13.7109375" style="543" customWidth="1"/>
    <col min="7696" max="7943" width="9.140625" style="543"/>
    <col min="7944" max="7944" width="4.85546875" style="543" customWidth="1"/>
    <col min="7945" max="7945" width="29.5703125" style="543" customWidth="1"/>
    <col min="7946" max="7946" width="8.140625" style="543" customWidth="1"/>
    <col min="7947" max="7950" width="13.140625" style="543" customWidth="1"/>
    <col min="7951" max="7951" width="13.7109375" style="543" customWidth="1"/>
    <col min="7952" max="8199" width="9.140625" style="543"/>
    <col min="8200" max="8200" width="4.85546875" style="543" customWidth="1"/>
    <col min="8201" max="8201" width="29.5703125" style="543" customWidth="1"/>
    <col min="8202" max="8202" width="8.140625" style="543" customWidth="1"/>
    <col min="8203" max="8206" width="13.140625" style="543" customWidth="1"/>
    <col min="8207" max="8207" width="13.7109375" style="543" customWidth="1"/>
    <col min="8208" max="8455" width="9.140625" style="543"/>
    <col min="8456" max="8456" width="4.85546875" style="543" customWidth="1"/>
    <col min="8457" max="8457" width="29.5703125" style="543" customWidth="1"/>
    <col min="8458" max="8458" width="8.140625" style="543" customWidth="1"/>
    <col min="8459" max="8462" width="13.140625" style="543" customWidth="1"/>
    <col min="8463" max="8463" width="13.7109375" style="543" customWidth="1"/>
    <col min="8464" max="8711" width="9.140625" style="543"/>
    <col min="8712" max="8712" width="4.85546875" style="543" customWidth="1"/>
    <col min="8713" max="8713" width="29.5703125" style="543" customWidth="1"/>
    <col min="8714" max="8714" width="8.140625" style="543" customWidth="1"/>
    <col min="8715" max="8718" width="13.140625" style="543" customWidth="1"/>
    <col min="8719" max="8719" width="13.7109375" style="543" customWidth="1"/>
    <col min="8720" max="8967" width="9.140625" style="543"/>
    <col min="8968" max="8968" width="4.85546875" style="543" customWidth="1"/>
    <col min="8969" max="8969" width="29.5703125" style="543" customWidth="1"/>
    <col min="8970" max="8970" width="8.140625" style="543" customWidth="1"/>
    <col min="8971" max="8974" width="13.140625" style="543" customWidth="1"/>
    <col min="8975" max="8975" width="13.7109375" style="543" customWidth="1"/>
    <col min="8976" max="9223" width="9.140625" style="543"/>
    <col min="9224" max="9224" width="4.85546875" style="543" customWidth="1"/>
    <col min="9225" max="9225" width="29.5703125" style="543" customWidth="1"/>
    <col min="9226" max="9226" width="8.140625" style="543" customWidth="1"/>
    <col min="9227" max="9230" width="13.140625" style="543" customWidth="1"/>
    <col min="9231" max="9231" width="13.7109375" style="543" customWidth="1"/>
    <col min="9232" max="9479" width="9.140625" style="543"/>
    <col min="9480" max="9480" width="4.85546875" style="543" customWidth="1"/>
    <col min="9481" max="9481" width="29.5703125" style="543" customWidth="1"/>
    <col min="9482" max="9482" width="8.140625" style="543" customWidth="1"/>
    <col min="9483" max="9486" width="13.140625" style="543" customWidth="1"/>
    <col min="9487" max="9487" width="13.7109375" style="543" customWidth="1"/>
    <col min="9488" max="9735" width="9.140625" style="543"/>
    <col min="9736" max="9736" width="4.85546875" style="543" customWidth="1"/>
    <col min="9737" max="9737" width="29.5703125" style="543" customWidth="1"/>
    <col min="9738" max="9738" width="8.140625" style="543" customWidth="1"/>
    <col min="9739" max="9742" width="13.140625" style="543" customWidth="1"/>
    <col min="9743" max="9743" width="13.7109375" style="543" customWidth="1"/>
    <col min="9744" max="9991" width="9.140625" style="543"/>
    <col min="9992" max="9992" width="4.85546875" style="543" customWidth="1"/>
    <col min="9993" max="9993" width="29.5703125" style="543" customWidth="1"/>
    <col min="9994" max="9994" width="8.140625" style="543" customWidth="1"/>
    <col min="9995" max="9998" width="13.140625" style="543" customWidth="1"/>
    <col min="9999" max="9999" width="13.7109375" style="543" customWidth="1"/>
    <col min="10000" max="10247" width="9.140625" style="543"/>
    <col min="10248" max="10248" width="4.85546875" style="543" customWidth="1"/>
    <col min="10249" max="10249" width="29.5703125" style="543" customWidth="1"/>
    <col min="10250" max="10250" width="8.140625" style="543" customWidth="1"/>
    <col min="10251" max="10254" width="13.140625" style="543" customWidth="1"/>
    <col min="10255" max="10255" width="13.7109375" style="543" customWidth="1"/>
    <col min="10256" max="10503" width="9.140625" style="543"/>
    <col min="10504" max="10504" width="4.85546875" style="543" customWidth="1"/>
    <col min="10505" max="10505" width="29.5703125" style="543" customWidth="1"/>
    <col min="10506" max="10506" width="8.140625" style="543" customWidth="1"/>
    <col min="10507" max="10510" width="13.140625" style="543" customWidth="1"/>
    <col min="10511" max="10511" width="13.7109375" style="543" customWidth="1"/>
    <col min="10512" max="10759" width="9.140625" style="543"/>
    <col min="10760" max="10760" width="4.85546875" style="543" customWidth="1"/>
    <col min="10761" max="10761" width="29.5703125" style="543" customWidth="1"/>
    <col min="10762" max="10762" width="8.140625" style="543" customWidth="1"/>
    <col min="10763" max="10766" width="13.140625" style="543" customWidth="1"/>
    <col min="10767" max="10767" width="13.7109375" style="543" customWidth="1"/>
    <col min="10768" max="11015" width="9.140625" style="543"/>
    <col min="11016" max="11016" width="4.85546875" style="543" customWidth="1"/>
    <col min="11017" max="11017" width="29.5703125" style="543" customWidth="1"/>
    <col min="11018" max="11018" width="8.140625" style="543" customWidth="1"/>
    <col min="11019" max="11022" width="13.140625" style="543" customWidth="1"/>
    <col min="11023" max="11023" width="13.7109375" style="543" customWidth="1"/>
    <col min="11024" max="11271" width="9.140625" style="543"/>
    <col min="11272" max="11272" width="4.85546875" style="543" customWidth="1"/>
    <col min="11273" max="11273" width="29.5703125" style="543" customWidth="1"/>
    <col min="11274" max="11274" width="8.140625" style="543" customWidth="1"/>
    <col min="11275" max="11278" width="13.140625" style="543" customWidth="1"/>
    <col min="11279" max="11279" width="13.7109375" style="543" customWidth="1"/>
    <col min="11280" max="11527" width="9.140625" style="543"/>
    <col min="11528" max="11528" width="4.85546875" style="543" customWidth="1"/>
    <col min="11529" max="11529" width="29.5703125" style="543" customWidth="1"/>
    <col min="11530" max="11530" width="8.140625" style="543" customWidth="1"/>
    <col min="11531" max="11534" width="13.140625" style="543" customWidth="1"/>
    <col min="11535" max="11535" width="13.7109375" style="543" customWidth="1"/>
    <col min="11536" max="11783" width="9.140625" style="543"/>
    <col min="11784" max="11784" width="4.85546875" style="543" customWidth="1"/>
    <col min="11785" max="11785" width="29.5703125" style="543" customWidth="1"/>
    <col min="11786" max="11786" width="8.140625" style="543" customWidth="1"/>
    <col min="11787" max="11790" width="13.140625" style="543" customWidth="1"/>
    <col min="11791" max="11791" width="13.7109375" style="543" customWidth="1"/>
    <col min="11792" max="12039" width="9.140625" style="543"/>
    <col min="12040" max="12040" width="4.85546875" style="543" customWidth="1"/>
    <col min="12041" max="12041" width="29.5703125" style="543" customWidth="1"/>
    <col min="12042" max="12042" width="8.140625" style="543" customWidth="1"/>
    <col min="12043" max="12046" width="13.140625" style="543" customWidth="1"/>
    <col min="12047" max="12047" width="13.7109375" style="543" customWidth="1"/>
    <col min="12048" max="12295" width="9.140625" style="543"/>
    <col min="12296" max="12296" width="4.85546875" style="543" customWidth="1"/>
    <col min="12297" max="12297" width="29.5703125" style="543" customWidth="1"/>
    <col min="12298" max="12298" width="8.140625" style="543" customWidth="1"/>
    <col min="12299" max="12302" width="13.140625" style="543" customWidth="1"/>
    <col min="12303" max="12303" width="13.7109375" style="543" customWidth="1"/>
    <col min="12304" max="12551" width="9.140625" style="543"/>
    <col min="12552" max="12552" width="4.85546875" style="543" customWidth="1"/>
    <col min="12553" max="12553" width="29.5703125" style="543" customWidth="1"/>
    <col min="12554" max="12554" width="8.140625" style="543" customWidth="1"/>
    <col min="12555" max="12558" width="13.140625" style="543" customWidth="1"/>
    <col min="12559" max="12559" width="13.7109375" style="543" customWidth="1"/>
    <col min="12560" max="12807" width="9.140625" style="543"/>
    <col min="12808" max="12808" width="4.85546875" style="543" customWidth="1"/>
    <col min="12809" max="12809" width="29.5703125" style="543" customWidth="1"/>
    <col min="12810" max="12810" width="8.140625" style="543" customWidth="1"/>
    <col min="12811" max="12814" width="13.140625" style="543" customWidth="1"/>
    <col min="12815" max="12815" width="13.7109375" style="543" customWidth="1"/>
    <col min="12816" max="13063" width="9.140625" style="543"/>
    <col min="13064" max="13064" width="4.85546875" style="543" customWidth="1"/>
    <col min="13065" max="13065" width="29.5703125" style="543" customWidth="1"/>
    <col min="13066" max="13066" width="8.140625" style="543" customWidth="1"/>
    <col min="13067" max="13070" width="13.140625" style="543" customWidth="1"/>
    <col min="13071" max="13071" width="13.7109375" style="543" customWidth="1"/>
    <col min="13072" max="13319" width="9.140625" style="543"/>
    <col min="13320" max="13320" width="4.85546875" style="543" customWidth="1"/>
    <col min="13321" max="13321" width="29.5703125" style="543" customWidth="1"/>
    <col min="13322" max="13322" width="8.140625" style="543" customWidth="1"/>
    <col min="13323" max="13326" width="13.140625" style="543" customWidth="1"/>
    <col min="13327" max="13327" width="13.7109375" style="543" customWidth="1"/>
    <col min="13328" max="13575" width="9.140625" style="543"/>
    <col min="13576" max="13576" width="4.85546875" style="543" customWidth="1"/>
    <col min="13577" max="13577" width="29.5703125" style="543" customWidth="1"/>
    <col min="13578" max="13578" width="8.140625" style="543" customWidth="1"/>
    <col min="13579" max="13582" width="13.140625" style="543" customWidth="1"/>
    <col min="13583" max="13583" width="13.7109375" style="543" customWidth="1"/>
    <col min="13584" max="13831" width="9.140625" style="543"/>
    <col min="13832" max="13832" width="4.85546875" style="543" customWidth="1"/>
    <col min="13833" max="13833" width="29.5703125" style="543" customWidth="1"/>
    <col min="13834" max="13834" width="8.140625" style="543" customWidth="1"/>
    <col min="13835" max="13838" width="13.140625" style="543" customWidth="1"/>
    <col min="13839" max="13839" width="13.7109375" style="543" customWidth="1"/>
    <col min="13840" max="14087" width="9.140625" style="543"/>
    <col min="14088" max="14088" width="4.85546875" style="543" customWidth="1"/>
    <col min="14089" max="14089" width="29.5703125" style="543" customWidth="1"/>
    <col min="14090" max="14090" width="8.140625" style="543" customWidth="1"/>
    <col min="14091" max="14094" width="13.140625" style="543" customWidth="1"/>
    <col min="14095" max="14095" width="13.7109375" style="543" customWidth="1"/>
    <col min="14096" max="14343" width="9.140625" style="543"/>
    <col min="14344" max="14344" width="4.85546875" style="543" customWidth="1"/>
    <col min="14345" max="14345" width="29.5703125" style="543" customWidth="1"/>
    <col min="14346" max="14346" width="8.140625" style="543" customWidth="1"/>
    <col min="14347" max="14350" width="13.140625" style="543" customWidth="1"/>
    <col min="14351" max="14351" width="13.7109375" style="543" customWidth="1"/>
    <col min="14352" max="14599" width="9.140625" style="543"/>
    <col min="14600" max="14600" width="4.85546875" style="543" customWidth="1"/>
    <col min="14601" max="14601" width="29.5703125" style="543" customWidth="1"/>
    <col min="14602" max="14602" width="8.140625" style="543" customWidth="1"/>
    <col min="14603" max="14606" width="13.140625" style="543" customWidth="1"/>
    <col min="14607" max="14607" width="13.7109375" style="543" customWidth="1"/>
    <col min="14608" max="14855" width="9.140625" style="543"/>
    <col min="14856" max="14856" width="4.85546875" style="543" customWidth="1"/>
    <col min="14857" max="14857" width="29.5703125" style="543" customWidth="1"/>
    <col min="14858" max="14858" width="8.140625" style="543" customWidth="1"/>
    <col min="14859" max="14862" width="13.140625" style="543" customWidth="1"/>
    <col min="14863" max="14863" width="13.7109375" style="543" customWidth="1"/>
    <col min="14864" max="15111" width="9.140625" style="543"/>
    <col min="15112" max="15112" width="4.85546875" style="543" customWidth="1"/>
    <col min="15113" max="15113" width="29.5703125" style="543" customWidth="1"/>
    <col min="15114" max="15114" width="8.140625" style="543" customWidth="1"/>
    <col min="15115" max="15118" width="13.140625" style="543" customWidth="1"/>
    <col min="15119" max="15119" width="13.7109375" style="543" customWidth="1"/>
    <col min="15120" max="15367" width="9.140625" style="543"/>
    <col min="15368" max="15368" width="4.85546875" style="543" customWidth="1"/>
    <col min="15369" max="15369" width="29.5703125" style="543" customWidth="1"/>
    <col min="15370" max="15370" width="8.140625" style="543" customWidth="1"/>
    <col min="15371" max="15374" width="13.140625" style="543" customWidth="1"/>
    <col min="15375" max="15375" width="13.7109375" style="543" customWidth="1"/>
    <col min="15376" max="15623" width="9.140625" style="543"/>
    <col min="15624" max="15624" width="4.85546875" style="543" customWidth="1"/>
    <col min="15625" max="15625" width="29.5703125" style="543" customWidth="1"/>
    <col min="15626" max="15626" width="8.140625" style="543" customWidth="1"/>
    <col min="15627" max="15630" width="13.140625" style="543" customWidth="1"/>
    <col min="15631" max="15631" width="13.7109375" style="543" customWidth="1"/>
    <col min="15632" max="15879" width="9.140625" style="543"/>
    <col min="15880" max="15880" width="4.85546875" style="543" customWidth="1"/>
    <col min="15881" max="15881" width="29.5703125" style="543" customWidth="1"/>
    <col min="15882" max="15882" width="8.140625" style="543" customWidth="1"/>
    <col min="15883" max="15886" width="13.140625" style="543" customWidth="1"/>
    <col min="15887" max="15887" width="13.7109375" style="543" customWidth="1"/>
    <col min="15888" max="16135" width="9.140625" style="543"/>
    <col min="16136" max="16136" width="4.85546875" style="543" customWidth="1"/>
    <col min="16137" max="16137" width="29.5703125" style="543" customWidth="1"/>
    <col min="16138" max="16138" width="8.140625" style="543" customWidth="1"/>
    <col min="16139" max="16142" width="13.140625" style="543" customWidth="1"/>
    <col min="16143" max="16143" width="13.7109375" style="543" customWidth="1"/>
    <col min="16144" max="16384" width="9.140625" style="543"/>
  </cols>
  <sheetData>
    <row r="1" spans="1:15" ht="16.5" x14ac:dyDescent="0.25">
      <c r="D1" s="548">
        <v>0.2</v>
      </c>
      <c r="E1" s="549">
        <v>0.3</v>
      </c>
      <c r="G1" s="545">
        <f>8*20/100</f>
        <v>1.6</v>
      </c>
      <c r="I1" s="545"/>
      <c r="K1" s="545"/>
      <c r="M1" s="545"/>
    </row>
    <row r="2" spans="1:15" x14ac:dyDescent="0.25">
      <c r="E2" s="578"/>
    </row>
    <row r="3" spans="1:15" ht="29.25" customHeight="1" x14ac:dyDescent="0.25">
      <c r="A3" s="1310" t="s">
        <v>0</v>
      </c>
      <c r="B3" s="1310" t="s">
        <v>820</v>
      </c>
      <c r="C3" s="1310" t="s">
        <v>842</v>
      </c>
      <c r="D3" s="1317" t="s">
        <v>851</v>
      </c>
      <c r="E3" s="1319" t="s">
        <v>1103</v>
      </c>
      <c r="F3" s="1314" t="s">
        <v>1102</v>
      </c>
      <c r="G3" s="1315"/>
      <c r="H3" s="1315"/>
      <c r="I3" s="1316"/>
      <c r="J3" s="1314" t="s">
        <v>1104</v>
      </c>
      <c r="K3" s="1315"/>
      <c r="L3" s="1315"/>
      <c r="M3" s="1316"/>
      <c r="N3" s="1310" t="s">
        <v>847</v>
      </c>
      <c r="O3" s="1312"/>
    </row>
    <row r="4" spans="1:15" ht="26.25" customHeight="1" x14ac:dyDescent="0.25">
      <c r="A4" s="1311"/>
      <c r="B4" s="1311"/>
      <c r="C4" s="1311"/>
      <c r="D4" s="1318"/>
      <c r="E4" s="1320"/>
      <c r="F4" s="549" t="s">
        <v>82</v>
      </c>
      <c r="G4" s="549" t="s">
        <v>844</v>
      </c>
      <c r="H4" s="550" t="s">
        <v>84</v>
      </c>
      <c r="I4" s="550" t="s">
        <v>844</v>
      </c>
      <c r="J4" s="549" t="s">
        <v>82</v>
      </c>
      <c r="K4" s="549" t="s">
        <v>844</v>
      </c>
      <c r="L4" s="550" t="s">
        <v>84</v>
      </c>
      <c r="M4" s="550" t="s">
        <v>844</v>
      </c>
      <c r="N4" s="1311"/>
      <c r="O4" s="1313"/>
    </row>
    <row r="5" spans="1:15" ht="35.1" customHeight="1" x14ac:dyDescent="0.25">
      <c r="A5" s="547">
        <v>1</v>
      </c>
      <c r="B5" s="447" t="s">
        <v>843</v>
      </c>
      <c r="C5" s="547">
        <f>'Chi tiet'!$L$7</f>
        <v>4</v>
      </c>
      <c r="D5" s="577"/>
      <c r="E5" s="579"/>
      <c r="F5" s="546"/>
      <c r="G5" s="546"/>
      <c r="H5" s="546"/>
      <c r="I5" s="546"/>
      <c r="J5" s="546"/>
      <c r="K5" s="546"/>
      <c r="L5" s="546"/>
      <c r="M5" s="546"/>
      <c r="N5" s="546"/>
      <c r="O5" s="141"/>
    </row>
    <row r="6" spans="1:15" ht="35.1" customHeight="1" x14ac:dyDescent="0.25">
      <c r="A6" s="546">
        <v>2</v>
      </c>
      <c r="B6" s="447" t="s">
        <v>821</v>
      </c>
      <c r="C6" s="546">
        <f>'Chi tiet'!$L$12</f>
        <v>9</v>
      </c>
      <c r="D6" s="548">
        <f>ROUND(($C6-1)*$D$1,1)</f>
        <v>1.6</v>
      </c>
      <c r="E6" s="549">
        <f>ROUND(($C6-1)*$E$1,1)</f>
        <v>2.4</v>
      </c>
      <c r="F6" s="546">
        <f>'Chi tiet'!$E$13</f>
        <v>2</v>
      </c>
      <c r="G6" s="557">
        <f>'Chi tiet'!$E$14</f>
        <v>0.25</v>
      </c>
      <c r="H6" s="546">
        <f>'Chi tiet'!$F$13</f>
        <v>5</v>
      </c>
      <c r="I6" s="557">
        <f>'Chi tiet'!$F$14</f>
        <v>0.625</v>
      </c>
      <c r="J6" s="546">
        <f>'Chi tiet'!$S$13</f>
        <v>6</v>
      </c>
      <c r="K6" s="557">
        <f>'Chi tiet'!$S$14</f>
        <v>0.75</v>
      </c>
      <c r="L6" s="546">
        <f>'Chi tiet'!$T$13</f>
        <v>1</v>
      </c>
      <c r="M6" s="557">
        <f>'Chi tiet'!$T$14</f>
        <v>0.125</v>
      </c>
      <c r="N6" s="558">
        <f>G6+I6</f>
        <v>0.875</v>
      </c>
      <c r="O6" s="540" t="e">
        <f>IF($N6&lt;=#REF!,TRUE,FALSE)</f>
        <v>#REF!</v>
      </c>
    </row>
    <row r="7" spans="1:15" ht="35.1" customHeight="1" x14ac:dyDescent="0.25">
      <c r="A7" s="547">
        <v>3</v>
      </c>
      <c r="B7" s="447" t="s">
        <v>822</v>
      </c>
      <c r="C7" s="546">
        <f>'Chi tiet'!$L$24</f>
        <v>16</v>
      </c>
      <c r="D7" s="548">
        <f>ROUND(($C7-3)*$D$1,1)</f>
        <v>2.6</v>
      </c>
      <c r="E7" s="549">
        <f>ROUND(($C7-3)*$E$1,1)</f>
        <v>3.9</v>
      </c>
      <c r="F7" s="546">
        <f>'Chi tiet'!$E$26</f>
        <v>0</v>
      </c>
      <c r="G7" s="557">
        <f>'Chi tiet'!$E$27</f>
        <v>0</v>
      </c>
      <c r="H7" s="546">
        <f>'Chi tiet'!$F$26</f>
        <v>9</v>
      </c>
      <c r="I7" s="557">
        <f>'Chi tiet'!$F$27</f>
        <v>0.6428571428571429</v>
      </c>
      <c r="J7" s="546">
        <f>'Chi tiet'!$S$26</f>
        <v>4</v>
      </c>
      <c r="K7" s="557">
        <f>'Chi tiet'!$S$27</f>
        <v>0.2857142857142857</v>
      </c>
      <c r="L7" s="546">
        <f>'Chi tiet'!$T$26</f>
        <v>5</v>
      </c>
      <c r="M7" s="557">
        <f>'Chi tiet'!$T$27</f>
        <v>0.35714285714285715</v>
      </c>
      <c r="N7" s="558">
        <f t="shared" ref="N7:N28" si="0">G7+I7</f>
        <v>0.6428571428571429</v>
      </c>
      <c r="O7" s="540" t="e">
        <f>IF($N7&lt;=#REF!,TRUE,FALSE)</f>
        <v>#REF!</v>
      </c>
    </row>
    <row r="8" spans="1:15" ht="35.1" customHeight="1" x14ac:dyDescent="0.25">
      <c r="A8" s="546">
        <v>4</v>
      </c>
      <c r="B8" s="447" t="s">
        <v>823</v>
      </c>
      <c r="C8" s="546">
        <f>'Chi tiet'!$L$43</f>
        <v>27</v>
      </c>
      <c r="D8" s="548">
        <f>ROUND(($C8-3)*$D$1,1)</f>
        <v>4.8</v>
      </c>
      <c r="E8" s="549">
        <f>ROUND(($C8-3)*$E$1,1)</f>
        <v>7.2</v>
      </c>
      <c r="F8" s="546">
        <f>'Chi tiet'!$E$44</f>
        <v>1</v>
      </c>
      <c r="G8" s="557">
        <f>'Chi tiet'!$E$45</f>
        <v>4.1666666666666664E-2</v>
      </c>
      <c r="H8" s="546">
        <f>'Chi tiet'!$F$44</f>
        <v>5</v>
      </c>
      <c r="I8" s="557">
        <f>'Chi tiet'!$F$45</f>
        <v>0.20833333333333334</v>
      </c>
      <c r="J8" s="546">
        <f>'Chi tiet'!$S$44</f>
        <v>2</v>
      </c>
      <c r="K8" s="557">
        <f>'Chi tiet'!$S$45</f>
        <v>8.3333333333333329E-2</v>
      </c>
      <c r="L8" s="546">
        <f>'Chi tiet'!$T$44</f>
        <v>8</v>
      </c>
      <c r="M8" s="557">
        <f>'Chi tiet'!$T$45</f>
        <v>0.33333333333333331</v>
      </c>
      <c r="N8" s="558">
        <f t="shared" si="0"/>
        <v>0.25</v>
      </c>
      <c r="O8" s="540" t="e">
        <f>IF($N8&lt;=#REF!,TRUE,FALSE)</f>
        <v>#REF!</v>
      </c>
    </row>
    <row r="9" spans="1:15" ht="35.1" customHeight="1" x14ac:dyDescent="0.25">
      <c r="A9" s="547">
        <v>5</v>
      </c>
      <c r="B9" s="447" t="s">
        <v>824</v>
      </c>
      <c r="C9" s="546">
        <f>'Chi tiet'!$L$73</f>
        <v>15</v>
      </c>
      <c r="D9" s="548">
        <f>ROUND(($C9-2)*$D$1,1)</f>
        <v>2.6</v>
      </c>
      <c r="E9" s="549">
        <f>ROUND(($C9-2)*$E$1,1)</f>
        <v>3.9</v>
      </c>
      <c r="F9" s="546">
        <f>'Chi tiet'!$E$75</f>
        <v>0</v>
      </c>
      <c r="G9" s="557">
        <f>'Chi tiet'!$E$76</f>
        <v>0</v>
      </c>
      <c r="H9" s="546">
        <f>'Chi tiet'!$F$75</f>
        <v>3</v>
      </c>
      <c r="I9" s="557">
        <f>'Chi tiet'!$F$76</f>
        <v>0.23076923076923078</v>
      </c>
      <c r="J9" s="546">
        <f>'Chi tiet'!$S$75</f>
        <v>0</v>
      </c>
      <c r="K9" s="557">
        <f>'Chi tiet'!$S$76</f>
        <v>0</v>
      </c>
      <c r="L9" s="546">
        <f>'Chi tiet'!$T$75</f>
        <v>3</v>
      </c>
      <c r="M9" s="557">
        <f>'Chi tiet'!$T$76</f>
        <v>0.23076923076923078</v>
      </c>
      <c r="N9" s="558">
        <f t="shared" si="0"/>
        <v>0.23076923076923078</v>
      </c>
      <c r="O9" s="540" t="e">
        <f>IF($N9&lt;=#REF!,TRUE,FALSE)</f>
        <v>#REF!</v>
      </c>
    </row>
    <row r="10" spans="1:15" ht="35.1" customHeight="1" x14ac:dyDescent="0.25">
      <c r="A10" s="546">
        <v>6</v>
      </c>
      <c r="B10" s="447" t="s">
        <v>825</v>
      </c>
      <c r="C10" s="546">
        <f>'Chi tiet'!$L$91</f>
        <v>7</v>
      </c>
      <c r="D10" s="548">
        <f>ROUND(($C10-3)*$D$1,1)</f>
        <v>0.8</v>
      </c>
      <c r="E10" s="549">
        <f>ROUND(($C10-3)*$E$1,1)</f>
        <v>1.2</v>
      </c>
      <c r="F10" s="546">
        <f>'Chi tiet'!$E$93</f>
        <v>0</v>
      </c>
      <c r="G10" s="557">
        <f>'Chi tiet'!$E$94</f>
        <v>0</v>
      </c>
      <c r="H10" s="546">
        <f>'Chi tiet'!$F$93</f>
        <v>2</v>
      </c>
      <c r="I10" s="557">
        <f>'Chi tiet'!$F$94</f>
        <v>0.4</v>
      </c>
      <c r="J10" s="546">
        <f>'Chi tiet'!$S$93</f>
        <v>1</v>
      </c>
      <c r="K10" s="557">
        <f>'Chi tiet'!$S$94</f>
        <v>0.2</v>
      </c>
      <c r="L10" s="546">
        <f>'Chi tiet'!$T$93</f>
        <v>1</v>
      </c>
      <c r="M10" s="557">
        <f>'Chi tiet'!$T$94</f>
        <v>0.2</v>
      </c>
      <c r="N10" s="558">
        <f t="shared" si="0"/>
        <v>0.4</v>
      </c>
      <c r="O10" s="540" t="e">
        <f>IF($N10&lt;=#REF!,TRUE,FALSE)</f>
        <v>#REF!</v>
      </c>
    </row>
    <row r="11" spans="1:15" ht="35.1" customHeight="1" x14ac:dyDescent="0.25">
      <c r="A11" s="547">
        <v>7</v>
      </c>
      <c r="B11" s="447" t="s">
        <v>826</v>
      </c>
      <c r="C11" s="546">
        <f>'Chi tiet'!$L$101</f>
        <v>3</v>
      </c>
      <c r="D11" s="548">
        <f>ROUND(($C11-1)*$D$1,1)</f>
        <v>0.4</v>
      </c>
      <c r="E11" s="549">
        <f>ROUND(($C11-1)*$E$1,1)</f>
        <v>0.6</v>
      </c>
      <c r="F11" s="546">
        <f>'Chi tiet'!$E$102</f>
        <v>1</v>
      </c>
      <c r="G11" s="557">
        <f>'Chi tiet'!$E$103</f>
        <v>0.5</v>
      </c>
      <c r="H11" s="546">
        <f>'Chi tiet'!$F$102</f>
        <v>0</v>
      </c>
      <c r="I11" s="557">
        <f>'Chi tiet'!$F$103</f>
        <v>0</v>
      </c>
      <c r="J11" s="546">
        <f>'Chi tiet'!$S$102</f>
        <v>2</v>
      </c>
      <c r="K11" s="557">
        <f>'Chi tiet'!$S$103</f>
        <v>1</v>
      </c>
      <c r="L11" s="546">
        <f>'Chi tiet'!$T$102</f>
        <v>0</v>
      </c>
      <c r="M11" s="557">
        <f>'Chi tiet'!$T$103</f>
        <v>0</v>
      </c>
      <c r="N11" s="558">
        <f t="shared" si="0"/>
        <v>0.5</v>
      </c>
      <c r="O11" s="540" t="e">
        <f>IF($N11&lt;=#REF!,TRUE,FALSE)</f>
        <v>#REF!</v>
      </c>
    </row>
    <row r="12" spans="1:15" ht="35.1" customHeight="1" x14ac:dyDescent="0.25">
      <c r="A12" s="546">
        <v>8</v>
      </c>
      <c r="B12" s="447" t="s">
        <v>827</v>
      </c>
      <c r="C12" s="546">
        <f>'Chi tiet'!$L$107</f>
        <v>27</v>
      </c>
      <c r="D12" s="548">
        <f>ROUND(($C12-2)*$D$1,1)</f>
        <v>5</v>
      </c>
      <c r="E12" s="549">
        <f>ROUND(($C12-2)*$E$1,1)</f>
        <v>7.5</v>
      </c>
      <c r="F12" s="546">
        <f>'Chi tiet'!$E$109</f>
        <v>0</v>
      </c>
      <c r="G12" s="557">
        <f>'Chi tiet'!$E$110</f>
        <v>0</v>
      </c>
      <c r="H12" s="546">
        <f>'Chi tiet'!$F$109</f>
        <v>5</v>
      </c>
      <c r="I12" s="557">
        <f>'Chi tiet'!$F$110</f>
        <v>0.20833333333333334</v>
      </c>
      <c r="J12" s="546">
        <f>'Chi tiet'!$S$109</f>
        <v>5</v>
      </c>
      <c r="K12" s="557">
        <f>'Chi tiet'!$S$110</f>
        <v>0.20833333333333334</v>
      </c>
      <c r="L12" s="546">
        <f>'Chi tiet'!$T$109</f>
        <v>3</v>
      </c>
      <c r="M12" s="557">
        <f>'Chi tiet'!$T$110</f>
        <v>0.125</v>
      </c>
      <c r="N12" s="558">
        <f t="shared" si="0"/>
        <v>0.20833333333333334</v>
      </c>
      <c r="O12" s="540" t="e">
        <f>IF($N12&lt;=#REF!,TRUE,FALSE)</f>
        <v>#REF!</v>
      </c>
    </row>
    <row r="13" spans="1:15" ht="35.1" customHeight="1" x14ac:dyDescent="0.25">
      <c r="A13" s="547">
        <v>9</v>
      </c>
      <c r="B13" s="447" t="s">
        <v>828</v>
      </c>
      <c r="C13" s="546">
        <f>'Chi tiet'!$L$137</f>
        <v>21</v>
      </c>
      <c r="D13" s="548">
        <f>ROUND(($C13-2)*$D$1,1)</f>
        <v>3.8</v>
      </c>
      <c r="E13" s="549">
        <f>ROUND(($C13-2)*$E$1,1)</f>
        <v>5.7</v>
      </c>
      <c r="F13" s="546">
        <f>'Chi tiet'!$E$140</f>
        <v>2</v>
      </c>
      <c r="G13" s="557">
        <f>'Chi tiet'!$E$141</f>
        <v>0.10526315789473684</v>
      </c>
      <c r="H13" s="546">
        <f>'Chi tiet'!$F$140</f>
        <v>3</v>
      </c>
      <c r="I13" s="557">
        <f>'Chi tiet'!$F$141</f>
        <v>0.15789473684210525</v>
      </c>
      <c r="J13" s="546">
        <f>'Chi tiet'!$S$140</f>
        <v>3</v>
      </c>
      <c r="K13" s="557">
        <f>'Chi tiet'!$S$141</f>
        <v>0.15789473684210525</v>
      </c>
      <c r="L13" s="546">
        <f>'Chi tiet'!$T$140</f>
        <v>6</v>
      </c>
      <c r="M13" s="557">
        <f>'Chi tiet'!$T$141</f>
        <v>0.31578947368421051</v>
      </c>
      <c r="N13" s="558">
        <f t="shared" si="0"/>
        <v>0.26315789473684209</v>
      </c>
      <c r="O13" s="540" t="e">
        <f>IF($N13&lt;=#REF!,TRUE,FALSE)</f>
        <v>#REF!</v>
      </c>
    </row>
    <row r="14" spans="1:15" ht="35.1" customHeight="1" x14ac:dyDescent="0.25">
      <c r="A14" s="546">
        <v>10</v>
      </c>
      <c r="B14" s="961" t="s">
        <v>1098</v>
      </c>
      <c r="C14" s="962">
        <f>'Chi tiet'!$G$160</f>
        <v>13</v>
      </c>
      <c r="D14" s="548">
        <f>ROUND(($C14-1)*$D$1,1)</f>
        <v>2.4</v>
      </c>
      <c r="E14" s="549">
        <f>ROUND(($C14-1)*$E$1,1)</f>
        <v>3.6</v>
      </c>
      <c r="F14" s="546">
        <f>'Chi tiet'!$E$161</f>
        <v>0</v>
      </c>
      <c r="G14" s="557">
        <f>'Chi tiet'!$E$162</f>
        <v>0</v>
      </c>
      <c r="H14" s="546">
        <f>'Chi tiet'!$F$161</f>
        <v>0</v>
      </c>
      <c r="I14" s="557">
        <f>'Chi tiet'!$F$162</f>
        <v>0</v>
      </c>
      <c r="J14" s="546">
        <f>'Chi tiet'!$S$161</f>
        <v>0</v>
      </c>
      <c r="K14" s="557">
        <f>'Chi tiet'!$S$162</f>
        <v>0</v>
      </c>
      <c r="L14" s="546">
        <f>'Chi tiet'!$T$161</f>
        <v>2</v>
      </c>
      <c r="M14" s="557">
        <f>'Chi tiet'!$T$162</f>
        <v>0.16666666666666666</v>
      </c>
      <c r="N14" s="558">
        <f t="shared" si="0"/>
        <v>0</v>
      </c>
      <c r="O14" s="540" t="e">
        <f>IF($N14&lt;=#REF!,TRUE,FALSE)</f>
        <v>#REF!</v>
      </c>
    </row>
    <row r="15" spans="1:15" ht="35.1" customHeight="1" x14ac:dyDescent="0.25">
      <c r="A15" s="547">
        <v>11</v>
      </c>
      <c r="B15" s="447" t="s">
        <v>829</v>
      </c>
      <c r="C15" s="546">
        <f>'Chi tiet'!$L$175</f>
        <v>15</v>
      </c>
      <c r="D15" s="548">
        <f>ROUND(($C15-2)*$D$1,1)</f>
        <v>2.6</v>
      </c>
      <c r="E15" s="549">
        <f>ROUND(($C15-2)*$E$1,1)</f>
        <v>3.9</v>
      </c>
      <c r="F15" s="546">
        <f>'Chi tiet'!$E$177</f>
        <v>1</v>
      </c>
      <c r="G15" s="557">
        <f>'Chi tiet'!$E$178</f>
        <v>7.6923076923076927E-2</v>
      </c>
      <c r="H15" s="546">
        <f>'Chi tiet'!$F$177</f>
        <v>0</v>
      </c>
      <c r="I15" s="557">
        <f>'Chi tiet'!$F$178</f>
        <v>0</v>
      </c>
      <c r="J15" s="546">
        <f>'Chi tiet'!$S$177</f>
        <v>1</v>
      </c>
      <c r="K15" s="557">
        <f>'Chi tiet'!$S$178</f>
        <v>7.6923076923076927E-2</v>
      </c>
      <c r="L15" s="546">
        <f>'Chi tiet'!$T$177</f>
        <v>0</v>
      </c>
      <c r="M15" s="557">
        <f>'Chi tiet'!$T$178</f>
        <v>0</v>
      </c>
      <c r="N15" s="558">
        <f t="shared" si="0"/>
        <v>7.6923076923076927E-2</v>
      </c>
      <c r="O15" s="540" t="e">
        <f>IF($N15&lt;=#REF!,TRUE,FALSE)</f>
        <v>#REF!</v>
      </c>
    </row>
    <row r="16" spans="1:15" ht="35.1" customHeight="1" x14ac:dyDescent="0.25">
      <c r="A16" s="546">
        <v>12</v>
      </c>
      <c r="B16" s="447" t="s">
        <v>830</v>
      </c>
      <c r="C16" s="546">
        <f>'Chi tiet'!$L$192</f>
        <v>28</v>
      </c>
      <c r="D16" s="548">
        <f>ROUND(($C16-2)*$D$1,1)</f>
        <v>5.2</v>
      </c>
      <c r="E16" s="549">
        <f>ROUND(($C16-2)*$E$1,1)</f>
        <v>7.8</v>
      </c>
      <c r="F16" s="546">
        <f>'Chi tiet'!$E$194</f>
        <v>2</v>
      </c>
      <c r="G16" s="557">
        <f>'Chi tiet'!$E$195</f>
        <v>7.6923076923076927E-2</v>
      </c>
      <c r="H16" s="546">
        <f>'Chi tiet'!$F$194</f>
        <v>4</v>
      </c>
      <c r="I16" s="557">
        <f>'Chi tiet'!$F$195</f>
        <v>0.15384615384615385</v>
      </c>
      <c r="J16" s="546">
        <f>'Chi tiet'!$S$194</f>
        <v>2</v>
      </c>
      <c r="K16" s="557">
        <f>'Chi tiet'!$S$195</f>
        <v>7.6923076923076927E-2</v>
      </c>
      <c r="L16" s="546">
        <f>'Chi tiet'!$T$194</f>
        <v>4</v>
      </c>
      <c r="M16" s="557">
        <f>'Chi tiet'!$T$195</f>
        <v>0.15384615384615385</v>
      </c>
      <c r="N16" s="558">
        <f t="shared" si="0"/>
        <v>0.23076923076923078</v>
      </c>
      <c r="O16" s="540" t="e">
        <f>IF($N16&lt;=#REF!,TRUE,FALSE)</f>
        <v>#REF!</v>
      </c>
    </row>
    <row r="17" spans="1:15" ht="35.1" customHeight="1" x14ac:dyDescent="0.25">
      <c r="A17" s="547">
        <v>13</v>
      </c>
      <c r="B17" s="447" t="s">
        <v>831</v>
      </c>
      <c r="C17" s="546">
        <f>'Chi tiet'!$L$222</f>
        <v>21</v>
      </c>
      <c r="D17" s="548">
        <f>ROUND(($C17-2)*$D$1,1)</f>
        <v>3.8</v>
      </c>
      <c r="E17" s="549">
        <f>ROUND(($C17-2)*$E$1,1)</f>
        <v>5.7</v>
      </c>
      <c r="F17" s="546">
        <f>'Chi tiet'!$E$224</f>
        <v>0</v>
      </c>
      <c r="G17" s="557">
        <f>'Chi tiet'!$E$225</f>
        <v>0</v>
      </c>
      <c r="H17" s="546">
        <f>'Chi tiet'!$F$224</f>
        <v>0</v>
      </c>
      <c r="I17" s="557">
        <f>'Chi tiet'!$F$225</f>
        <v>0</v>
      </c>
      <c r="J17" s="546">
        <f>'Chi tiet'!$S$224</f>
        <v>0</v>
      </c>
      <c r="K17" s="557">
        <f>'Chi tiet'!$S$225</f>
        <v>0</v>
      </c>
      <c r="L17" s="546">
        <f>'Chi tiet'!$T$224</f>
        <v>1</v>
      </c>
      <c r="M17" s="557">
        <f>'Chi tiet'!$T$225</f>
        <v>5.2631578947368418E-2</v>
      </c>
      <c r="N17" s="558">
        <f t="shared" si="0"/>
        <v>0</v>
      </c>
      <c r="O17" s="540" t="e">
        <f>IF($N17&lt;=#REF!,TRUE,FALSE)</f>
        <v>#REF!</v>
      </c>
    </row>
    <row r="18" spans="1:15" ht="35.1" customHeight="1" x14ac:dyDescent="0.25">
      <c r="A18" s="546">
        <v>14</v>
      </c>
      <c r="B18" s="447" t="s">
        <v>817</v>
      </c>
      <c r="C18" s="546">
        <f>'Chi tiet'!$L$245</f>
        <v>27</v>
      </c>
      <c r="D18" s="548">
        <f>ROUND(($C18-2)*$D$1,1)</f>
        <v>5</v>
      </c>
      <c r="E18" s="549">
        <f>ROUND(($C18-2)*$E$1,1)</f>
        <v>7.5</v>
      </c>
      <c r="F18" s="546">
        <f>'Chi tiet'!$E$248</f>
        <v>1</v>
      </c>
      <c r="G18" s="557">
        <f>'Chi tiet'!$E$249</f>
        <v>0.04</v>
      </c>
      <c r="H18" s="546">
        <f>'Chi tiet'!$F$248</f>
        <v>0</v>
      </c>
      <c r="I18" s="557">
        <f>'Chi tiet'!$F$249</f>
        <v>0</v>
      </c>
      <c r="J18" s="546">
        <f>'Chi tiet'!$S$248</f>
        <v>1</v>
      </c>
      <c r="K18" s="557">
        <f>'Chi tiet'!$S$249</f>
        <v>0.04</v>
      </c>
      <c r="L18" s="546">
        <f>'Chi tiet'!$T$248</f>
        <v>0</v>
      </c>
      <c r="M18" s="557">
        <f>'Chi tiet'!$T$249</f>
        <v>0</v>
      </c>
      <c r="N18" s="558">
        <f t="shared" si="0"/>
        <v>0.04</v>
      </c>
      <c r="O18" s="540" t="e">
        <f>IF($N18&lt;=#REF!,TRUE,FALSE)</f>
        <v>#REF!</v>
      </c>
    </row>
    <row r="19" spans="1:15" ht="35.1" customHeight="1" x14ac:dyDescent="0.25">
      <c r="A19" s="547">
        <v>15</v>
      </c>
      <c r="B19" s="447" t="s">
        <v>832</v>
      </c>
      <c r="C19" s="546">
        <f>'Chi tiet'!$L$275</f>
        <v>30</v>
      </c>
      <c r="D19" s="548">
        <f>ROUND(($C19-3)*$D$1,1)</f>
        <v>5.4</v>
      </c>
      <c r="E19" s="549">
        <f>ROUND(($C19-3)*$E$1,1)</f>
        <v>8.1</v>
      </c>
      <c r="F19" s="546">
        <f>'Chi tiet'!$E$277</f>
        <v>5</v>
      </c>
      <c r="G19" s="557">
        <f>'Chi tiet'!$E$278</f>
        <v>0.18518518518518517</v>
      </c>
      <c r="H19" s="546">
        <f>'Chi tiet'!$F$277</f>
        <v>2</v>
      </c>
      <c r="I19" s="557">
        <f>'Chi tiet'!$F$278</f>
        <v>7.407407407407407E-2</v>
      </c>
      <c r="J19" s="546">
        <f>'Chi tiet'!$S$277</f>
        <v>5</v>
      </c>
      <c r="K19" s="557">
        <f>'Chi tiet'!$S$278</f>
        <v>0.18518518518518517</v>
      </c>
      <c r="L19" s="546">
        <f>'Chi tiet'!$T$277</f>
        <v>2</v>
      </c>
      <c r="M19" s="557">
        <f>'Chi tiet'!$T$278</f>
        <v>7.407407407407407E-2</v>
      </c>
      <c r="N19" s="558">
        <f t="shared" si="0"/>
        <v>0.25925925925925924</v>
      </c>
      <c r="O19" s="540" t="e">
        <f>IF($N19&lt;=#REF!,TRUE,FALSE)</f>
        <v>#REF!</v>
      </c>
    </row>
    <row r="20" spans="1:15" ht="35.1" customHeight="1" x14ac:dyDescent="0.25">
      <c r="A20" s="546">
        <v>16</v>
      </c>
      <c r="B20" s="447" t="s">
        <v>833</v>
      </c>
      <c r="C20" s="546">
        <f>'Chi tiet'!$L$307</f>
        <v>9</v>
      </c>
      <c r="D20" s="548">
        <f>ROUND(($C20-1)*$D$1,1)</f>
        <v>1.6</v>
      </c>
      <c r="E20" s="549">
        <f>ROUND(($C20-1)*$E$1,1)</f>
        <v>2.4</v>
      </c>
      <c r="F20" s="546">
        <f>'Chi tiet'!$E$309</f>
        <v>0</v>
      </c>
      <c r="G20" s="557">
        <f>'Chi tiet'!$E$310</f>
        <v>0</v>
      </c>
      <c r="H20" s="546">
        <f>'Chi tiet'!$F$309</f>
        <v>0</v>
      </c>
      <c r="I20" s="557">
        <f>'Chi tiet'!$F$310</f>
        <v>0</v>
      </c>
      <c r="J20" s="546">
        <f>'Chi tiet'!$S$309</f>
        <v>0</v>
      </c>
      <c r="K20" s="557">
        <f>'Chi tiet'!$S$310</f>
        <v>0</v>
      </c>
      <c r="L20" s="546">
        <f>'Chi tiet'!$T$309</f>
        <v>0</v>
      </c>
      <c r="M20" s="557">
        <f>'Chi tiet'!$T$310</f>
        <v>0</v>
      </c>
      <c r="N20" s="558">
        <f t="shared" si="0"/>
        <v>0</v>
      </c>
      <c r="O20" s="540" t="e">
        <f>IF($N20&lt;=#REF!,TRUE,FALSE)</f>
        <v>#REF!</v>
      </c>
    </row>
    <row r="21" spans="1:15" ht="35.1" customHeight="1" x14ac:dyDescent="0.25">
      <c r="A21" s="547">
        <v>17</v>
      </c>
      <c r="B21" s="447" t="s">
        <v>834</v>
      </c>
      <c r="C21" s="546">
        <f>'Chi tiet'!$L$318</f>
        <v>9</v>
      </c>
      <c r="D21" s="548">
        <f>ROUND(($C21-2)*$D$1,1)</f>
        <v>1.4</v>
      </c>
      <c r="E21" s="549">
        <f>ROUND(($C21-2)*$E$1,1)</f>
        <v>2.1</v>
      </c>
      <c r="F21" s="546">
        <f>'Chi tiet'!$E$320</f>
        <v>0</v>
      </c>
      <c r="G21" s="557">
        <f>'Chi tiet'!$E$321</f>
        <v>0</v>
      </c>
      <c r="H21" s="546">
        <f>'Chi tiet'!$F$320</f>
        <v>0</v>
      </c>
      <c r="I21" s="557">
        <f>'Chi tiet'!$F$321</f>
        <v>0</v>
      </c>
      <c r="J21" s="546">
        <f>'Chi tiet'!$S$320</f>
        <v>0</v>
      </c>
      <c r="K21" s="557">
        <f>'Chi tiet'!$S$321</f>
        <v>0</v>
      </c>
      <c r="L21" s="546">
        <f>'Chi tiet'!$T$320</f>
        <v>0</v>
      </c>
      <c r="M21" s="557">
        <f>'Chi tiet'!$T$321</f>
        <v>0</v>
      </c>
      <c r="N21" s="558">
        <f t="shared" si="0"/>
        <v>0</v>
      </c>
      <c r="O21" s="540" t="e">
        <f>IF($N21&lt;=#REF!,TRUE,FALSE)</f>
        <v>#REF!</v>
      </c>
    </row>
    <row r="22" spans="1:15" ht="35.1" customHeight="1" x14ac:dyDescent="0.25">
      <c r="A22" s="546">
        <v>18</v>
      </c>
      <c r="B22" s="447" t="s">
        <v>835</v>
      </c>
      <c r="C22" s="546">
        <f>'Chi tiet'!$L$329</f>
        <v>18</v>
      </c>
      <c r="D22" s="548">
        <f>ROUND(($C22-2)*$D$1,1)</f>
        <v>3.2</v>
      </c>
      <c r="E22" s="549">
        <f>ROUND(($C22-2)*$E$1,1)</f>
        <v>4.8</v>
      </c>
      <c r="F22" s="546">
        <f>'Chi tiet'!$E$332</f>
        <v>0</v>
      </c>
      <c r="G22" s="557">
        <f>'Chi tiet'!$E$333</f>
        <v>0</v>
      </c>
      <c r="H22" s="546">
        <f>'Chi tiet'!$F$332</f>
        <v>4</v>
      </c>
      <c r="I22" s="557">
        <f>'Chi tiet'!$F$333</f>
        <v>0.25</v>
      </c>
      <c r="J22" s="546">
        <f>'Chi tiet'!$S$332</f>
        <v>1</v>
      </c>
      <c r="K22" s="557">
        <f>'Chi tiet'!$S$333</f>
        <v>6.25E-2</v>
      </c>
      <c r="L22" s="546">
        <f>'Chi tiet'!$T$332</f>
        <v>1</v>
      </c>
      <c r="M22" s="557">
        <f>'Chi tiet'!$T$333</f>
        <v>6.25E-2</v>
      </c>
      <c r="N22" s="558">
        <f t="shared" si="0"/>
        <v>0.25</v>
      </c>
      <c r="O22" s="540" t="e">
        <f>IF($N22&lt;=#REF!,TRUE,FALSE)</f>
        <v>#REF!</v>
      </c>
    </row>
    <row r="23" spans="1:15" ht="35.1" customHeight="1" x14ac:dyDescent="0.25">
      <c r="A23" s="547">
        <v>19</v>
      </c>
      <c r="B23" s="447" t="s">
        <v>836</v>
      </c>
      <c r="C23" s="546">
        <f>'Chi tiet'!$L$349</f>
        <v>3</v>
      </c>
      <c r="D23" s="548">
        <f t="shared" ref="D23:D28" si="1">ROUND(($C23-1)*$D$1,1)</f>
        <v>0.4</v>
      </c>
      <c r="E23" s="549">
        <f t="shared" ref="E23:E28" si="2">ROUND(($C23-1)*$E$1,1)</f>
        <v>0.6</v>
      </c>
      <c r="F23" s="546">
        <f>'Chi tiet'!$E$351</f>
        <v>0</v>
      </c>
      <c r="G23" s="557">
        <f>'Chi tiet'!$E$352</f>
        <v>0</v>
      </c>
      <c r="H23" s="546">
        <f>'Chi tiet'!$F$351</f>
        <v>0</v>
      </c>
      <c r="I23" s="557">
        <f>'Chi tiet'!$F$352</f>
        <v>0</v>
      </c>
      <c r="J23" s="546">
        <f>'Chi tiet'!$S$351</f>
        <v>0</v>
      </c>
      <c r="K23" s="557">
        <f>'Chi tiet'!$S$352</f>
        <v>0</v>
      </c>
      <c r="L23" s="546">
        <f>'Chi tiet'!$T$351</f>
        <v>0</v>
      </c>
      <c r="M23" s="557">
        <f>'Chi tiet'!$T$352</f>
        <v>0</v>
      </c>
      <c r="N23" s="558">
        <f t="shared" si="0"/>
        <v>0</v>
      </c>
      <c r="O23" s="540" t="e">
        <f>IF($N23&lt;=#REF!,TRUE,FALSE)</f>
        <v>#REF!</v>
      </c>
    </row>
    <row r="24" spans="1:15" ht="35.1" customHeight="1" x14ac:dyDescent="0.25">
      <c r="A24" s="546">
        <v>20</v>
      </c>
      <c r="B24" s="447" t="s">
        <v>837</v>
      </c>
      <c r="C24" s="546">
        <f>'Chi tiet'!$L$354</f>
        <v>7</v>
      </c>
      <c r="D24" s="548">
        <f t="shared" si="1"/>
        <v>1.2</v>
      </c>
      <c r="E24" s="549">
        <f t="shared" si="2"/>
        <v>1.8</v>
      </c>
      <c r="F24" s="546">
        <f>'Chi tiet'!$E$356</f>
        <v>0</v>
      </c>
      <c r="G24" s="557">
        <f>'Chi tiet'!$E$357</f>
        <v>0</v>
      </c>
      <c r="H24" s="546">
        <f>'Chi tiet'!$F$356</f>
        <v>0</v>
      </c>
      <c r="I24" s="557">
        <f>'Chi tiet'!$F$357</f>
        <v>0</v>
      </c>
      <c r="J24" s="546">
        <f>'Chi tiet'!$S$356</f>
        <v>0</v>
      </c>
      <c r="K24" s="557">
        <f>'Chi tiet'!$S$357</f>
        <v>0</v>
      </c>
      <c r="L24" s="546">
        <f>'Chi tiet'!$T$356</f>
        <v>0</v>
      </c>
      <c r="M24" s="557">
        <f>'Chi tiet'!$T$357</f>
        <v>0</v>
      </c>
      <c r="N24" s="558">
        <f t="shared" si="0"/>
        <v>0</v>
      </c>
      <c r="O24" s="540" t="e">
        <f>IF($N24&lt;=#REF!,TRUE,FALSE)</f>
        <v>#REF!</v>
      </c>
    </row>
    <row r="25" spans="1:15" ht="35.1" customHeight="1" x14ac:dyDescent="0.25">
      <c r="A25" s="547">
        <v>21</v>
      </c>
      <c r="B25" s="447" t="s">
        <v>838</v>
      </c>
      <c r="C25" s="546">
        <f>'Chi tiet'!$L$364</f>
        <v>10</v>
      </c>
      <c r="D25" s="548">
        <f t="shared" si="1"/>
        <v>1.8</v>
      </c>
      <c r="E25" s="549">
        <f t="shared" si="2"/>
        <v>2.7</v>
      </c>
      <c r="F25" s="546">
        <f>'Chi tiet'!$E$368</f>
        <v>0</v>
      </c>
      <c r="G25" s="557">
        <f>'Chi tiet'!$E$372</f>
        <v>0</v>
      </c>
      <c r="H25" s="546">
        <f>'Chi tiet'!$F$368</f>
        <v>0.25</v>
      </c>
      <c r="I25" s="557">
        <f>'Chi tiet'!$F$372</f>
        <v>0</v>
      </c>
      <c r="J25" s="546">
        <f>'Chi tiet'!$S$368</f>
        <v>0.25</v>
      </c>
      <c r="K25" s="557">
        <f>'Chi tiet'!$S$372</f>
        <v>0</v>
      </c>
      <c r="L25" s="546">
        <f>'Chi tiet'!$T$368</f>
        <v>0.375</v>
      </c>
      <c r="M25" s="557">
        <f>'Chi tiet'!$T$372</f>
        <v>0</v>
      </c>
      <c r="N25" s="558">
        <f t="shared" si="0"/>
        <v>0</v>
      </c>
      <c r="O25" s="540" t="e">
        <f>IF($N25&lt;=#REF!,TRUE,FALSE)</f>
        <v>#REF!</v>
      </c>
    </row>
    <row r="26" spans="1:15" ht="35.1" customHeight="1" x14ac:dyDescent="0.25">
      <c r="A26" s="546">
        <v>22</v>
      </c>
      <c r="B26" s="447" t="s">
        <v>839</v>
      </c>
      <c r="C26" s="546">
        <f>'Chi tiet'!$L$377</f>
        <v>3</v>
      </c>
      <c r="D26" s="548">
        <f t="shared" si="1"/>
        <v>0.4</v>
      </c>
      <c r="E26" s="549">
        <f t="shared" si="2"/>
        <v>0.6</v>
      </c>
      <c r="F26" s="546">
        <f>'Chi tiet'!$E$379</f>
        <v>0</v>
      </c>
      <c r="G26" s="557">
        <f>'Chi tiet'!$E$380</f>
        <v>0</v>
      </c>
      <c r="H26" s="546">
        <f>'Chi tiet'!$F$379</f>
        <v>2</v>
      </c>
      <c r="I26" s="557">
        <f>'Chi tiet'!$F$380</f>
        <v>1</v>
      </c>
      <c r="J26" s="546">
        <f>'Chi tiet'!$S$379</f>
        <v>0</v>
      </c>
      <c r="K26" s="557">
        <f>'Chi tiet'!$S$380</f>
        <v>0</v>
      </c>
      <c r="L26" s="546">
        <f>'Chi tiet'!$T$379</f>
        <v>2</v>
      </c>
      <c r="M26" s="557">
        <f>'Chi tiet'!$T$380</f>
        <v>1</v>
      </c>
      <c r="N26" s="558">
        <f t="shared" si="0"/>
        <v>1</v>
      </c>
      <c r="O26" s="540" t="e">
        <f>IF($N26&lt;=#REF!,TRUE,FALSE)</f>
        <v>#REF!</v>
      </c>
    </row>
    <row r="27" spans="1:15" ht="35.1" customHeight="1" x14ac:dyDescent="0.25">
      <c r="A27" s="547">
        <v>23</v>
      </c>
      <c r="B27" s="447" t="s">
        <v>840</v>
      </c>
      <c r="C27" s="546">
        <f>'Chi tiet'!$L$383</f>
        <v>2</v>
      </c>
      <c r="D27" s="548">
        <f t="shared" si="1"/>
        <v>0.2</v>
      </c>
      <c r="E27" s="549">
        <f t="shared" si="2"/>
        <v>0.3</v>
      </c>
      <c r="F27" s="546">
        <f>'Chi tiet'!$E$385</f>
        <v>0</v>
      </c>
      <c r="G27" s="557">
        <f>'Chi tiet'!$E$386</f>
        <v>0</v>
      </c>
      <c r="H27" s="546">
        <f>'Chi tiet'!$F$385</f>
        <v>0</v>
      </c>
      <c r="I27" s="557">
        <f>'Chi tiet'!$F$386</f>
        <v>0</v>
      </c>
      <c r="J27" s="546">
        <f>'Chi tiet'!$S$385</f>
        <v>0</v>
      </c>
      <c r="K27" s="557">
        <f>'Chi tiet'!$S$386</f>
        <v>0</v>
      </c>
      <c r="L27" s="546">
        <f>'Chi tiet'!$T$385</f>
        <v>0</v>
      </c>
      <c r="M27" s="557">
        <f>'Chi tiet'!$T$386</f>
        <v>0</v>
      </c>
      <c r="N27" s="558">
        <f t="shared" si="0"/>
        <v>0</v>
      </c>
      <c r="O27" s="540" t="e">
        <f>IF($N27&lt;=#REF!,TRUE,FALSE)</f>
        <v>#REF!</v>
      </c>
    </row>
    <row r="28" spans="1:15" ht="35.1" customHeight="1" x14ac:dyDescent="0.25">
      <c r="A28" s="546">
        <v>24</v>
      </c>
      <c r="B28" s="447" t="s">
        <v>841</v>
      </c>
      <c r="C28" s="546">
        <f>'Chi tiet'!$L$387</f>
        <v>7</v>
      </c>
      <c r="D28" s="548">
        <f t="shared" si="1"/>
        <v>1.2</v>
      </c>
      <c r="E28" s="549">
        <f t="shared" si="2"/>
        <v>1.8</v>
      </c>
      <c r="F28" s="546">
        <f>'Chi tiet'!$E$391</f>
        <v>0</v>
      </c>
      <c r="G28" s="557">
        <f>'Chi tiet'!$E$392</f>
        <v>0</v>
      </c>
      <c r="H28" s="546">
        <f>'Chi tiet'!$F$391</f>
        <v>0.4</v>
      </c>
      <c r="I28" s="557">
        <f>'Chi tiet'!$F$392</f>
        <v>0</v>
      </c>
      <c r="J28" s="546">
        <f>'Chi tiet'!$S$391</f>
        <v>0.2</v>
      </c>
      <c r="K28" s="557">
        <f>'Chi tiet'!$S$392</f>
        <v>0</v>
      </c>
      <c r="L28" s="546">
        <f>'Chi tiet'!$T$391</f>
        <v>0.2</v>
      </c>
      <c r="M28" s="557">
        <f>'Chi tiet'!$T$392</f>
        <v>0</v>
      </c>
      <c r="N28" s="558">
        <f t="shared" si="0"/>
        <v>0</v>
      </c>
      <c r="O28" s="540" t="e">
        <f>IF($N28&lt;=#REF!,TRUE,FALSE)</f>
        <v>#REF!</v>
      </c>
    </row>
    <row r="29" spans="1:15" ht="35.1" customHeight="1" x14ac:dyDescent="0.25">
      <c r="A29" s="547"/>
      <c r="B29" s="1008" t="s">
        <v>1105</v>
      </c>
      <c r="C29" s="1007">
        <f>SUM(C5:C28)</f>
        <v>331</v>
      </c>
      <c r="D29" s="546"/>
      <c r="E29" s="546"/>
      <c r="F29" s="546"/>
      <c r="G29" s="557"/>
      <c r="H29" s="546"/>
      <c r="I29" s="557"/>
      <c r="J29" s="546"/>
      <c r="K29" s="557"/>
      <c r="L29" s="546"/>
      <c r="M29" s="557"/>
      <c r="N29" s="558"/>
      <c r="O29"/>
    </row>
  </sheetData>
  <mergeCells count="9">
    <mergeCell ref="A3:A4"/>
    <mergeCell ref="B3:B4"/>
    <mergeCell ref="C3:C4"/>
    <mergeCell ref="O3:O4"/>
    <mergeCell ref="F3:I3"/>
    <mergeCell ref="N3:N4"/>
    <mergeCell ref="D3:D4"/>
    <mergeCell ref="E3:E4"/>
    <mergeCell ref="J3:M3"/>
  </mergeCells>
  <conditionalFormatting sqref="O6:O28">
    <cfRule type="expression" dxfId="369" priority="5" stopIfTrue="1">
      <formula>$O6=FALSE</formula>
    </cfRule>
  </conditionalFormatting>
  <conditionalFormatting sqref="G6:G28">
    <cfRule type="cellIs" dxfId="368" priority="4" operator="greaterThan">
      <formula>0.2</formula>
    </cfRule>
  </conditionalFormatting>
  <conditionalFormatting sqref="I6:I28">
    <cfRule type="cellIs" dxfId="367" priority="3" operator="greaterThan">
      <formula>0.3</formula>
    </cfRule>
  </conditionalFormatting>
  <conditionalFormatting sqref="K6:K28">
    <cfRule type="cellIs" dxfId="366" priority="2" operator="greaterThan">
      <formula>0.2</formula>
    </cfRule>
  </conditionalFormatting>
  <conditionalFormatting sqref="M6:M28">
    <cfRule type="cellIs" dxfId="365" priority="1" operator="greaterThan">
      <formula>0.3</formula>
    </cfRule>
  </conditionalFormatting>
  <pageMargins left="0.44" right="0.28000000000000003" top="0.48" bottom="0.36"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0"/>
  <sheetViews>
    <sheetView showZeros="0" topLeftCell="A61" zoomScaleNormal="100" workbookViewId="0">
      <selection activeCell="H7" sqref="H7"/>
    </sheetView>
  </sheetViews>
  <sheetFormatPr defaultRowHeight="15.75" x14ac:dyDescent="0.25"/>
  <cols>
    <col min="1" max="1" width="8.42578125" style="971" customWidth="1"/>
    <col min="2" max="2" width="28.7109375" style="972" customWidth="1"/>
    <col min="3" max="3" width="12.7109375" style="972" customWidth="1"/>
    <col min="4" max="4" width="18.42578125" style="972" customWidth="1"/>
    <col min="5" max="7" width="18.140625" style="971" customWidth="1"/>
    <col min="8" max="8" width="14.7109375" style="971" customWidth="1"/>
    <col min="9" max="256" width="9.140625" style="971"/>
    <col min="257" max="257" width="4.85546875" style="971" customWidth="1"/>
    <col min="258" max="258" width="29.5703125" style="971" customWidth="1"/>
    <col min="259" max="259" width="8.140625" style="971" customWidth="1"/>
    <col min="260" max="263" width="13.140625" style="971" customWidth="1"/>
    <col min="264" max="264" width="13.7109375" style="971" customWidth="1"/>
    <col min="265" max="512" width="9.140625" style="971"/>
    <col min="513" max="513" width="4.85546875" style="971" customWidth="1"/>
    <col min="514" max="514" width="29.5703125" style="971" customWidth="1"/>
    <col min="515" max="515" width="8.140625" style="971" customWidth="1"/>
    <col min="516" max="519" width="13.140625" style="971" customWidth="1"/>
    <col min="520" max="520" width="13.7109375" style="971" customWidth="1"/>
    <col min="521" max="768" width="9.140625" style="971"/>
    <col min="769" max="769" width="4.85546875" style="971" customWidth="1"/>
    <col min="770" max="770" width="29.5703125" style="971" customWidth="1"/>
    <col min="771" max="771" width="8.140625" style="971" customWidth="1"/>
    <col min="772" max="775" width="13.140625" style="971" customWidth="1"/>
    <col min="776" max="776" width="13.7109375" style="971" customWidth="1"/>
    <col min="777" max="1024" width="9.140625" style="971"/>
    <col min="1025" max="1025" width="4.85546875" style="971" customWidth="1"/>
    <col min="1026" max="1026" width="29.5703125" style="971" customWidth="1"/>
    <col min="1027" max="1027" width="8.140625" style="971" customWidth="1"/>
    <col min="1028" max="1031" width="13.140625" style="971" customWidth="1"/>
    <col min="1032" max="1032" width="13.7109375" style="971" customWidth="1"/>
    <col min="1033" max="1280" width="9.140625" style="971"/>
    <col min="1281" max="1281" width="4.85546875" style="971" customWidth="1"/>
    <col min="1282" max="1282" width="29.5703125" style="971" customWidth="1"/>
    <col min="1283" max="1283" width="8.140625" style="971" customWidth="1"/>
    <col min="1284" max="1287" width="13.140625" style="971" customWidth="1"/>
    <col min="1288" max="1288" width="13.7109375" style="971" customWidth="1"/>
    <col min="1289" max="1536" width="9.140625" style="971"/>
    <col min="1537" max="1537" width="4.85546875" style="971" customWidth="1"/>
    <col min="1538" max="1538" width="29.5703125" style="971" customWidth="1"/>
    <col min="1539" max="1539" width="8.140625" style="971" customWidth="1"/>
    <col min="1540" max="1543" width="13.140625" style="971" customWidth="1"/>
    <col min="1544" max="1544" width="13.7109375" style="971" customWidth="1"/>
    <col min="1545" max="1792" width="9.140625" style="971"/>
    <col min="1793" max="1793" width="4.85546875" style="971" customWidth="1"/>
    <col min="1794" max="1794" width="29.5703125" style="971" customWidth="1"/>
    <col min="1795" max="1795" width="8.140625" style="971" customWidth="1"/>
    <col min="1796" max="1799" width="13.140625" style="971" customWidth="1"/>
    <col min="1800" max="1800" width="13.7109375" style="971" customWidth="1"/>
    <col min="1801" max="2048" width="9.140625" style="971"/>
    <col min="2049" max="2049" width="4.85546875" style="971" customWidth="1"/>
    <col min="2050" max="2050" width="29.5703125" style="971" customWidth="1"/>
    <col min="2051" max="2051" width="8.140625" style="971" customWidth="1"/>
    <col min="2052" max="2055" width="13.140625" style="971" customWidth="1"/>
    <col min="2056" max="2056" width="13.7109375" style="971" customWidth="1"/>
    <col min="2057" max="2304" width="9.140625" style="971"/>
    <col min="2305" max="2305" width="4.85546875" style="971" customWidth="1"/>
    <col min="2306" max="2306" width="29.5703125" style="971" customWidth="1"/>
    <col min="2307" max="2307" width="8.140625" style="971" customWidth="1"/>
    <col min="2308" max="2311" width="13.140625" style="971" customWidth="1"/>
    <col min="2312" max="2312" width="13.7109375" style="971" customWidth="1"/>
    <col min="2313" max="2560" width="9.140625" style="971"/>
    <col min="2561" max="2561" width="4.85546875" style="971" customWidth="1"/>
    <col min="2562" max="2562" width="29.5703125" style="971" customWidth="1"/>
    <col min="2563" max="2563" width="8.140625" style="971" customWidth="1"/>
    <col min="2564" max="2567" width="13.140625" style="971" customWidth="1"/>
    <col min="2568" max="2568" width="13.7109375" style="971" customWidth="1"/>
    <col min="2569" max="2816" width="9.140625" style="971"/>
    <col min="2817" max="2817" width="4.85546875" style="971" customWidth="1"/>
    <col min="2818" max="2818" width="29.5703125" style="971" customWidth="1"/>
    <col min="2819" max="2819" width="8.140625" style="971" customWidth="1"/>
    <col min="2820" max="2823" width="13.140625" style="971" customWidth="1"/>
    <col min="2824" max="2824" width="13.7109375" style="971" customWidth="1"/>
    <col min="2825" max="3072" width="9.140625" style="971"/>
    <col min="3073" max="3073" width="4.85546875" style="971" customWidth="1"/>
    <col min="3074" max="3074" width="29.5703125" style="971" customWidth="1"/>
    <col min="3075" max="3075" width="8.140625" style="971" customWidth="1"/>
    <col min="3076" max="3079" width="13.140625" style="971" customWidth="1"/>
    <col min="3080" max="3080" width="13.7109375" style="971" customWidth="1"/>
    <col min="3081" max="3328" width="9.140625" style="971"/>
    <col min="3329" max="3329" width="4.85546875" style="971" customWidth="1"/>
    <col min="3330" max="3330" width="29.5703125" style="971" customWidth="1"/>
    <col min="3331" max="3331" width="8.140625" style="971" customWidth="1"/>
    <col min="3332" max="3335" width="13.140625" style="971" customWidth="1"/>
    <col min="3336" max="3336" width="13.7109375" style="971" customWidth="1"/>
    <col min="3337" max="3584" width="9.140625" style="971"/>
    <col min="3585" max="3585" width="4.85546875" style="971" customWidth="1"/>
    <col min="3586" max="3586" width="29.5703125" style="971" customWidth="1"/>
    <col min="3587" max="3587" width="8.140625" style="971" customWidth="1"/>
    <col min="3588" max="3591" width="13.140625" style="971" customWidth="1"/>
    <col min="3592" max="3592" width="13.7109375" style="971" customWidth="1"/>
    <col min="3593" max="3840" width="9.140625" style="971"/>
    <col min="3841" max="3841" width="4.85546875" style="971" customWidth="1"/>
    <col min="3842" max="3842" width="29.5703125" style="971" customWidth="1"/>
    <col min="3843" max="3843" width="8.140625" style="971" customWidth="1"/>
    <col min="3844" max="3847" width="13.140625" style="971" customWidth="1"/>
    <col min="3848" max="3848" width="13.7109375" style="971" customWidth="1"/>
    <col min="3849" max="4096" width="9.140625" style="971"/>
    <col min="4097" max="4097" width="4.85546875" style="971" customWidth="1"/>
    <col min="4098" max="4098" width="29.5703125" style="971" customWidth="1"/>
    <col min="4099" max="4099" width="8.140625" style="971" customWidth="1"/>
    <col min="4100" max="4103" width="13.140625" style="971" customWidth="1"/>
    <col min="4104" max="4104" width="13.7109375" style="971" customWidth="1"/>
    <col min="4105" max="4352" width="9.140625" style="971"/>
    <col min="4353" max="4353" width="4.85546875" style="971" customWidth="1"/>
    <col min="4354" max="4354" width="29.5703125" style="971" customWidth="1"/>
    <col min="4355" max="4355" width="8.140625" style="971" customWidth="1"/>
    <col min="4356" max="4359" width="13.140625" style="971" customWidth="1"/>
    <col min="4360" max="4360" width="13.7109375" style="971" customWidth="1"/>
    <col min="4361" max="4608" width="9.140625" style="971"/>
    <col min="4609" max="4609" width="4.85546875" style="971" customWidth="1"/>
    <col min="4610" max="4610" width="29.5703125" style="971" customWidth="1"/>
    <col min="4611" max="4611" width="8.140625" style="971" customWidth="1"/>
    <col min="4612" max="4615" width="13.140625" style="971" customWidth="1"/>
    <col min="4616" max="4616" width="13.7109375" style="971" customWidth="1"/>
    <col min="4617" max="4864" width="9.140625" style="971"/>
    <col min="4865" max="4865" width="4.85546875" style="971" customWidth="1"/>
    <col min="4866" max="4866" width="29.5703125" style="971" customWidth="1"/>
    <col min="4867" max="4867" width="8.140625" style="971" customWidth="1"/>
    <col min="4868" max="4871" width="13.140625" style="971" customWidth="1"/>
    <col min="4872" max="4872" width="13.7109375" style="971" customWidth="1"/>
    <col min="4873" max="5120" width="9.140625" style="971"/>
    <col min="5121" max="5121" width="4.85546875" style="971" customWidth="1"/>
    <col min="5122" max="5122" width="29.5703125" style="971" customWidth="1"/>
    <col min="5123" max="5123" width="8.140625" style="971" customWidth="1"/>
    <col min="5124" max="5127" width="13.140625" style="971" customWidth="1"/>
    <col min="5128" max="5128" width="13.7109375" style="971" customWidth="1"/>
    <col min="5129" max="5376" width="9.140625" style="971"/>
    <col min="5377" max="5377" width="4.85546875" style="971" customWidth="1"/>
    <col min="5378" max="5378" width="29.5703125" style="971" customWidth="1"/>
    <col min="5379" max="5379" width="8.140625" style="971" customWidth="1"/>
    <col min="5380" max="5383" width="13.140625" style="971" customWidth="1"/>
    <col min="5384" max="5384" width="13.7109375" style="971" customWidth="1"/>
    <col min="5385" max="5632" width="9.140625" style="971"/>
    <col min="5633" max="5633" width="4.85546875" style="971" customWidth="1"/>
    <col min="5634" max="5634" width="29.5703125" style="971" customWidth="1"/>
    <col min="5635" max="5635" width="8.140625" style="971" customWidth="1"/>
    <col min="5636" max="5639" width="13.140625" style="971" customWidth="1"/>
    <col min="5640" max="5640" width="13.7109375" style="971" customWidth="1"/>
    <col min="5641" max="5888" width="9.140625" style="971"/>
    <col min="5889" max="5889" width="4.85546875" style="971" customWidth="1"/>
    <col min="5890" max="5890" width="29.5703125" style="971" customWidth="1"/>
    <col min="5891" max="5891" width="8.140625" style="971" customWidth="1"/>
    <col min="5892" max="5895" width="13.140625" style="971" customWidth="1"/>
    <col min="5896" max="5896" width="13.7109375" style="971" customWidth="1"/>
    <col min="5897" max="6144" width="9.140625" style="971"/>
    <col min="6145" max="6145" width="4.85546875" style="971" customWidth="1"/>
    <col min="6146" max="6146" width="29.5703125" style="971" customWidth="1"/>
    <col min="6147" max="6147" width="8.140625" style="971" customWidth="1"/>
    <col min="6148" max="6151" width="13.140625" style="971" customWidth="1"/>
    <col min="6152" max="6152" width="13.7109375" style="971" customWidth="1"/>
    <col min="6153" max="6400" width="9.140625" style="971"/>
    <col min="6401" max="6401" width="4.85546875" style="971" customWidth="1"/>
    <col min="6402" max="6402" width="29.5703125" style="971" customWidth="1"/>
    <col min="6403" max="6403" width="8.140625" style="971" customWidth="1"/>
    <col min="6404" max="6407" width="13.140625" style="971" customWidth="1"/>
    <col min="6408" max="6408" width="13.7109375" style="971" customWidth="1"/>
    <col min="6409" max="6656" width="9.140625" style="971"/>
    <col min="6657" max="6657" width="4.85546875" style="971" customWidth="1"/>
    <col min="6658" max="6658" width="29.5703125" style="971" customWidth="1"/>
    <col min="6659" max="6659" width="8.140625" style="971" customWidth="1"/>
    <col min="6660" max="6663" width="13.140625" style="971" customWidth="1"/>
    <col min="6664" max="6664" width="13.7109375" style="971" customWidth="1"/>
    <col min="6665" max="6912" width="9.140625" style="971"/>
    <col min="6913" max="6913" width="4.85546875" style="971" customWidth="1"/>
    <col min="6914" max="6914" width="29.5703125" style="971" customWidth="1"/>
    <col min="6915" max="6915" width="8.140625" style="971" customWidth="1"/>
    <col min="6916" max="6919" width="13.140625" style="971" customWidth="1"/>
    <col min="6920" max="6920" width="13.7109375" style="971" customWidth="1"/>
    <col min="6921" max="7168" width="9.140625" style="971"/>
    <col min="7169" max="7169" width="4.85546875" style="971" customWidth="1"/>
    <col min="7170" max="7170" width="29.5703125" style="971" customWidth="1"/>
    <col min="7171" max="7171" width="8.140625" style="971" customWidth="1"/>
    <col min="7172" max="7175" width="13.140625" style="971" customWidth="1"/>
    <col min="7176" max="7176" width="13.7109375" style="971" customWidth="1"/>
    <col min="7177" max="7424" width="9.140625" style="971"/>
    <col min="7425" max="7425" width="4.85546875" style="971" customWidth="1"/>
    <col min="7426" max="7426" width="29.5703125" style="971" customWidth="1"/>
    <col min="7427" max="7427" width="8.140625" style="971" customWidth="1"/>
    <col min="7428" max="7431" width="13.140625" style="971" customWidth="1"/>
    <col min="7432" max="7432" width="13.7109375" style="971" customWidth="1"/>
    <col min="7433" max="7680" width="9.140625" style="971"/>
    <col min="7681" max="7681" width="4.85546875" style="971" customWidth="1"/>
    <col min="7682" max="7682" width="29.5703125" style="971" customWidth="1"/>
    <col min="7683" max="7683" width="8.140625" style="971" customWidth="1"/>
    <col min="7684" max="7687" width="13.140625" style="971" customWidth="1"/>
    <col min="7688" max="7688" width="13.7109375" style="971" customWidth="1"/>
    <col min="7689" max="7936" width="9.140625" style="971"/>
    <col min="7937" max="7937" width="4.85546875" style="971" customWidth="1"/>
    <col min="7938" max="7938" width="29.5703125" style="971" customWidth="1"/>
    <col min="7939" max="7939" width="8.140625" style="971" customWidth="1"/>
    <col min="7940" max="7943" width="13.140625" style="971" customWidth="1"/>
    <col min="7944" max="7944" width="13.7109375" style="971" customWidth="1"/>
    <col min="7945" max="8192" width="9.140625" style="971"/>
    <col min="8193" max="8193" width="4.85546875" style="971" customWidth="1"/>
    <col min="8194" max="8194" width="29.5703125" style="971" customWidth="1"/>
    <col min="8195" max="8195" width="8.140625" style="971" customWidth="1"/>
    <col min="8196" max="8199" width="13.140625" style="971" customWidth="1"/>
    <col min="8200" max="8200" width="13.7109375" style="971" customWidth="1"/>
    <col min="8201" max="8448" width="9.140625" style="971"/>
    <col min="8449" max="8449" width="4.85546875" style="971" customWidth="1"/>
    <col min="8450" max="8450" width="29.5703125" style="971" customWidth="1"/>
    <col min="8451" max="8451" width="8.140625" style="971" customWidth="1"/>
    <col min="8452" max="8455" width="13.140625" style="971" customWidth="1"/>
    <col min="8456" max="8456" width="13.7109375" style="971" customWidth="1"/>
    <col min="8457" max="8704" width="9.140625" style="971"/>
    <col min="8705" max="8705" width="4.85546875" style="971" customWidth="1"/>
    <col min="8706" max="8706" width="29.5703125" style="971" customWidth="1"/>
    <col min="8707" max="8707" width="8.140625" style="971" customWidth="1"/>
    <col min="8708" max="8711" width="13.140625" style="971" customWidth="1"/>
    <col min="8712" max="8712" width="13.7109375" style="971" customWidth="1"/>
    <col min="8713" max="8960" width="9.140625" style="971"/>
    <col min="8961" max="8961" width="4.85546875" style="971" customWidth="1"/>
    <col min="8962" max="8962" width="29.5703125" style="971" customWidth="1"/>
    <col min="8963" max="8963" width="8.140625" style="971" customWidth="1"/>
    <col min="8964" max="8967" width="13.140625" style="971" customWidth="1"/>
    <col min="8968" max="8968" width="13.7109375" style="971" customWidth="1"/>
    <col min="8969" max="9216" width="9.140625" style="971"/>
    <col min="9217" max="9217" width="4.85546875" style="971" customWidth="1"/>
    <col min="9218" max="9218" width="29.5703125" style="971" customWidth="1"/>
    <col min="9219" max="9219" width="8.140625" style="971" customWidth="1"/>
    <col min="9220" max="9223" width="13.140625" style="971" customWidth="1"/>
    <col min="9224" max="9224" width="13.7109375" style="971" customWidth="1"/>
    <col min="9225" max="9472" width="9.140625" style="971"/>
    <col min="9473" max="9473" width="4.85546875" style="971" customWidth="1"/>
    <col min="9474" max="9474" width="29.5703125" style="971" customWidth="1"/>
    <col min="9475" max="9475" width="8.140625" style="971" customWidth="1"/>
    <col min="9476" max="9479" width="13.140625" style="971" customWidth="1"/>
    <col min="9480" max="9480" width="13.7109375" style="971" customWidth="1"/>
    <col min="9481" max="9728" width="9.140625" style="971"/>
    <col min="9729" max="9729" width="4.85546875" style="971" customWidth="1"/>
    <col min="9730" max="9730" width="29.5703125" style="971" customWidth="1"/>
    <col min="9731" max="9731" width="8.140625" style="971" customWidth="1"/>
    <col min="9732" max="9735" width="13.140625" style="971" customWidth="1"/>
    <col min="9736" max="9736" width="13.7109375" style="971" customWidth="1"/>
    <col min="9737" max="9984" width="9.140625" style="971"/>
    <col min="9985" max="9985" width="4.85546875" style="971" customWidth="1"/>
    <col min="9986" max="9986" width="29.5703125" style="971" customWidth="1"/>
    <col min="9987" max="9987" width="8.140625" style="971" customWidth="1"/>
    <col min="9988" max="9991" width="13.140625" style="971" customWidth="1"/>
    <col min="9992" max="9992" width="13.7109375" style="971" customWidth="1"/>
    <col min="9993" max="10240" width="9.140625" style="971"/>
    <col min="10241" max="10241" width="4.85546875" style="971" customWidth="1"/>
    <col min="10242" max="10242" width="29.5703125" style="971" customWidth="1"/>
    <col min="10243" max="10243" width="8.140625" style="971" customWidth="1"/>
    <col min="10244" max="10247" width="13.140625" style="971" customWidth="1"/>
    <col min="10248" max="10248" width="13.7109375" style="971" customWidth="1"/>
    <col min="10249" max="10496" width="9.140625" style="971"/>
    <col min="10497" max="10497" width="4.85546875" style="971" customWidth="1"/>
    <col min="10498" max="10498" width="29.5703125" style="971" customWidth="1"/>
    <col min="10499" max="10499" width="8.140625" style="971" customWidth="1"/>
    <col min="10500" max="10503" width="13.140625" style="971" customWidth="1"/>
    <col min="10504" max="10504" width="13.7109375" style="971" customWidth="1"/>
    <col min="10505" max="10752" width="9.140625" style="971"/>
    <col min="10753" max="10753" width="4.85546875" style="971" customWidth="1"/>
    <col min="10754" max="10754" width="29.5703125" style="971" customWidth="1"/>
    <col min="10755" max="10755" width="8.140625" style="971" customWidth="1"/>
    <col min="10756" max="10759" width="13.140625" style="971" customWidth="1"/>
    <col min="10760" max="10760" width="13.7109375" style="971" customWidth="1"/>
    <col min="10761" max="11008" width="9.140625" style="971"/>
    <col min="11009" max="11009" width="4.85546875" style="971" customWidth="1"/>
    <col min="11010" max="11010" width="29.5703125" style="971" customWidth="1"/>
    <col min="11011" max="11011" width="8.140625" style="971" customWidth="1"/>
    <col min="11012" max="11015" width="13.140625" style="971" customWidth="1"/>
    <col min="11016" max="11016" width="13.7109375" style="971" customWidth="1"/>
    <col min="11017" max="11264" width="9.140625" style="971"/>
    <col min="11265" max="11265" width="4.85546875" style="971" customWidth="1"/>
    <col min="11266" max="11266" width="29.5703125" style="971" customWidth="1"/>
    <col min="11267" max="11267" width="8.140625" style="971" customWidth="1"/>
    <col min="11268" max="11271" width="13.140625" style="971" customWidth="1"/>
    <col min="11272" max="11272" width="13.7109375" style="971" customWidth="1"/>
    <col min="11273" max="11520" width="9.140625" style="971"/>
    <col min="11521" max="11521" width="4.85546875" style="971" customWidth="1"/>
    <col min="11522" max="11522" width="29.5703125" style="971" customWidth="1"/>
    <col min="11523" max="11523" width="8.140625" style="971" customWidth="1"/>
    <col min="11524" max="11527" width="13.140625" style="971" customWidth="1"/>
    <col min="11528" max="11528" width="13.7109375" style="971" customWidth="1"/>
    <col min="11529" max="11776" width="9.140625" style="971"/>
    <col min="11777" max="11777" width="4.85546875" style="971" customWidth="1"/>
    <col min="11778" max="11778" width="29.5703125" style="971" customWidth="1"/>
    <col min="11779" max="11779" width="8.140625" style="971" customWidth="1"/>
    <col min="11780" max="11783" width="13.140625" style="971" customWidth="1"/>
    <col min="11784" max="11784" width="13.7109375" style="971" customWidth="1"/>
    <col min="11785" max="12032" width="9.140625" style="971"/>
    <col min="12033" max="12033" width="4.85546875" style="971" customWidth="1"/>
    <col min="12034" max="12034" width="29.5703125" style="971" customWidth="1"/>
    <col min="12035" max="12035" width="8.140625" style="971" customWidth="1"/>
    <col min="12036" max="12039" width="13.140625" style="971" customWidth="1"/>
    <col min="12040" max="12040" width="13.7109375" style="971" customWidth="1"/>
    <col min="12041" max="12288" width="9.140625" style="971"/>
    <col min="12289" max="12289" width="4.85546875" style="971" customWidth="1"/>
    <col min="12290" max="12290" width="29.5703125" style="971" customWidth="1"/>
    <col min="12291" max="12291" width="8.140625" style="971" customWidth="1"/>
    <col min="12292" max="12295" width="13.140625" style="971" customWidth="1"/>
    <col min="12296" max="12296" width="13.7109375" style="971" customWidth="1"/>
    <col min="12297" max="12544" width="9.140625" style="971"/>
    <col min="12545" max="12545" width="4.85546875" style="971" customWidth="1"/>
    <col min="12546" max="12546" width="29.5703125" style="971" customWidth="1"/>
    <col min="12547" max="12547" width="8.140625" style="971" customWidth="1"/>
    <col min="12548" max="12551" width="13.140625" style="971" customWidth="1"/>
    <col min="12552" max="12552" width="13.7109375" style="971" customWidth="1"/>
    <col min="12553" max="12800" width="9.140625" style="971"/>
    <col min="12801" max="12801" width="4.85546875" style="971" customWidth="1"/>
    <col min="12802" max="12802" width="29.5703125" style="971" customWidth="1"/>
    <col min="12803" max="12803" width="8.140625" style="971" customWidth="1"/>
    <col min="12804" max="12807" width="13.140625" style="971" customWidth="1"/>
    <col min="12808" max="12808" width="13.7109375" style="971" customWidth="1"/>
    <col min="12809" max="13056" width="9.140625" style="971"/>
    <col min="13057" max="13057" width="4.85546875" style="971" customWidth="1"/>
    <col min="13058" max="13058" width="29.5703125" style="971" customWidth="1"/>
    <col min="13059" max="13059" width="8.140625" style="971" customWidth="1"/>
    <col min="13060" max="13063" width="13.140625" style="971" customWidth="1"/>
    <col min="13064" max="13064" width="13.7109375" style="971" customWidth="1"/>
    <col min="13065" max="13312" width="9.140625" style="971"/>
    <col min="13313" max="13313" width="4.85546875" style="971" customWidth="1"/>
    <col min="13314" max="13314" width="29.5703125" style="971" customWidth="1"/>
    <col min="13315" max="13315" width="8.140625" style="971" customWidth="1"/>
    <col min="13316" max="13319" width="13.140625" style="971" customWidth="1"/>
    <col min="13320" max="13320" width="13.7109375" style="971" customWidth="1"/>
    <col min="13321" max="13568" width="9.140625" style="971"/>
    <col min="13569" max="13569" width="4.85546875" style="971" customWidth="1"/>
    <col min="13570" max="13570" width="29.5703125" style="971" customWidth="1"/>
    <col min="13571" max="13571" width="8.140625" style="971" customWidth="1"/>
    <col min="13572" max="13575" width="13.140625" style="971" customWidth="1"/>
    <col min="13576" max="13576" width="13.7109375" style="971" customWidth="1"/>
    <col min="13577" max="13824" width="9.140625" style="971"/>
    <col min="13825" max="13825" width="4.85546875" style="971" customWidth="1"/>
    <col min="13826" max="13826" width="29.5703125" style="971" customWidth="1"/>
    <col min="13827" max="13827" width="8.140625" style="971" customWidth="1"/>
    <col min="13828" max="13831" width="13.140625" style="971" customWidth="1"/>
    <col min="13832" max="13832" width="13.7109375" style="971" customWidth="1"/>
    <col min="13833" max="14080" width="9.140625" style="971"/>
    <col min="14081" max="14081" width="4.85546875" style="971" customWidth="1"/>
    <col min="14082" max="14082" width="29.5703125" style="971" customWidth="1"/>
    <col min="14083" max="14083" width="8.140625" style="971" customWidth="1"/>
    <col min="14084" max="14087" width="13.140625" style="971" customWidth="1"/>
    <col min="14088" max="14088" width="13.7109375" style="971" customWidth="1"/>
    <col min="14089" max="14336" width="9.140625" style="971"/>
    <col min="14337" max="14337" width="4.85546875" style="971" customWidth="1"/>
    <col min="14338" max="14338" width="29.5703125" style="971" customWidth="1"/>
    <col min="14339" max="14339" width="8.140625" style="971" customWidth="1"/>
    <col min="14340" max="14343" width="13.140625" style="971" customWidth="1"/>
    <col min="14344" max="14344" width="13.7109375" style="971" customWidth="1"/>
    <col min="14345" max="14592" width="9.140625" style="971"/>
    <col min="14593" max="14593" width="4.85546875" style="971" customWidth="1"/>
    <col min="14594" max="14594" width="29.5703125" style="971" customWidth="1"/>
    <col min="14595" max="14595" width="8.140625" style="971" customWidth="1"/>
    <col min="14596" max="14599" width="13.140625" style="971" customWidth="1"/>
    <col min="14600" max="14600" width="13.7109375" style="971" customWidth="1"/>
    <col min="14601" max="14848" width="9.140625" style="971"/>
    <col min="14849" max="14849" width="4.85546875" style="971" customWidth="1"/>
    <col min="14850" max="14850" width="29.5703125" style="971" customWidth="1"/>
    <col min="14851" max="14851" width="8.140625" style="971" customWidth="1"/>
    <col min="14852" max="14855" width="13.140625" style="971" customWidth="1"/>
    <col min="14856" max="14856" width="13.7109375" style="971" customWidth="1"/>
    <col min="14857" max="15104" width="9.140625" style="971"/>
    <col min="15105" max="15105" width="4.85546875" style="971" customWidth="1"/>
    <col min="15106" max="15106" width="29.5703125" style="971" customWidth="1"/>
    <col min="15107" max="15107" width="8.140625" style="971" customWidth="1"/>
    <col min="15108" max="15111" width="13.140625" style="971" customWidth="1"/>
    <col min="15112" max="15112" width="13.7109375" style="971" customWidth="1"/>
    <col min="15113" max="15360" width="9.140625" style="971"/>
    <col min="15361" max="15361" width="4.85546875" style="971" customWidth="1"/>
    <col min="15362" max="15362" width="29.5703125" style="971" customWidth="1"/>
    <col min="15363" max="15363" width="8.140625" style="971" customWidth="1"/>
    <col min="15364" max="15367" width="13.140625" style="971" customWidth="1"/>
    <col min="15368" max="15368" width="13.7109375" style="971" customWidth="1"/>
    <col min="15369" max="15616" width="9.140625" style="971"/>
    <col min="15617" max="15617" width="4.85546875" style="971" customWidth="1"/>
    <col min="15618" max="15618" width="29.5703125" style="971" customWidth="1"/>
    <col min="15619" max="15619" width="8.140625" style="971" customWidth="1"/>
    <col min="15620" max="15623" width="13.140625" style="971" customWidth="1"/>
    <col min="15624" max="15624" width="13.7109375" style="971" customWidth="1"/>
    <col min="15625" max="15872" width="9.140625" style="971"/>
    <col min="15873" max="15873" width="4.85546875" style="971" customWidth="1"/>
    <col min="15874" max="15874" width="29.5703125" style="971" customWidth="1"/>
    <col min="15875" max="15875" width="8.140625" style="971" customWidth="1"/>
    <col min="15876" max="15879" width="13.140625" style="971" customWidth="1"/>
    <col min="15880" max="15880" width="13.7109375" style="971" customWidth="1"/>
    <col min="15881" max="16128" width="9.140625" style="971"/>
    <col min="16129" max="16129" width="4.85546875" style="971" customWidth="1"/>
    <col min="16130" max="16130" width="29.5703125" style="971" customWidth="1"/>
    <col min="16131" max="16131" width="8.140625" style="971" customWidth="1"/>
    <col min="16132" max="16135" width="13.140625" style="971" customWidth="1"/>
    <col min="16136" max="16136" width="13.7109375" style="971" customWidth="1"/>
    <col min="16137" max="16384" width="9.140625" style="971"/>
  </cols>
  <sheetData>
    <row r="1" spans="1:8" ht="20.25" customHeight="1" x14ac:dyDescent="0.25">
      <c r="A1" s="1321" t="s">
        <v>1113</v>
      </c>
      <c r="B1" s="1321"/>
      <c r="C1" s="1321"/>
      <c r="D1" s="1321"/>
      <c r="E1" s="1321"/>
      <c r="F1" s="1321"/>
      <c r="G1" s="1321"/>
      <c r="H1" s="1321"/>
    </row>
    <row r="2" spans="1:8" ht="7.5" customHeight="1" x14ac:dyDescent="0.25"/>
    <row r="3" spans="1:8" ht="33" customHeight="1" x14ac:dyDescent="0.25">
      <c r="A3" s="967" t="s">
        <v>0</v>
      </c>
      <c r="B3" s="960" t="s">
        <v>820</v>
      </c>
      <c r="C3" s="966" t="s">
        <v>62</v>
      </c>
      <c r="D3" s="968" t="s">
        <v>787</v>
      </c>
      <c r="E3" s="967" t="s">
        <v>1102</v>
      </c>
      <c r="F3" s="973" t="s">
        <v>943</v>
      </c>
      <c r="G3" s="974" t="s">
        <v>1104</v>
      </c>
      <c r="H3" s="967" t="s">
        <v>4</v>
      </c>
    </row>
    <row r="4" spans="1:8" ht="23.1" customHeight="1" x14ac:dyDescent="0.25">
      <c r="A4" s="975" t="s">
        <v>721</v>
      </c>
      <c r="B4" s="976" t="s">
        <v>843</v>
      </c>
      <c r="C4" s="977"/>
      <c r="D4" s="969"/>
      <c r="E4" s="546"/>
      <c r="F4" s="978"/>
      <c r="G4" s="979"/>
      <c r="H4" s="965"/>
    </row>
    <row r="5" spans="1:8" ht="23.1" customHeight="1" x14ac:dyDescent="0.25">
      <c r="A5" s="1104">
        <v>1</v>
      </c>
      <c r="B5" s="982" t="s">
        <v>394</v>
      </c>
      <c r="C5" s="63" t="s">
        <v>711</v>
      </c>
      <c r="D5" s="1100"/>
      <c r="E5" s="1101"/>
      <c r="F5" s="1102"/>
      <c r="G5" s="979" t="str">
        <f>VLOOKUP($C5,'Chi tiet'!$D$8:$AC$396,18,0)</f>
        <v>A1</v>
      </c>
      <c r="H5" s="1103"/>
    </row>
    <row r="6" spans="1:8" ht="23.1" customHeight="1" x14ac:dyDescent="0.25">
      <c r="A6" s="1104">
        <f>A5+1</f>
        <v>2</v>
      </c>
      <c r="B6" s="982" t="s">
        <v>395</v>
      </c>
      <c r="C6" s="63" t="s">
        <v>712</v>
      </c>
      <c r="D6" s="1100"/>
      <c r="E6" s="1101"/>
      <c r="F6" s="1102"/>
      <c r="G6" s="979" t="str">
        <f>VLOOKUP($C6,'Chi tiet'!$D$8:$AC$396,18,0)</f>
        <v>A1</v>
      </c>
      <c r="H6" s="1103"/>
    </row>
    <row r="7" spans="1:8" ht="23.1" customHeight="1" x14ac:dyDescent="0.25">
      <c r="A7" s="1104">
        <f t="shared" ref="A7:A8" si="0">A6+1</f>
        <v>3</v>
      </c>
      <c r="B7" s="982" t="s">
        <v>396</v>
      </c>
      <c r="C7" s="63" t="s">
        <v>713</v>
      </c>
      <c r="D7" s="1100"/>
      <c r="E7" s="1101"/>
      <c r="F7" s="1102"/>
      <c r="G7" s="979" t="str">
        <f>VLOOKUP($C7,'Chi tiet'!$D$8:$AC$396,18,0)</f>
        <v>A1</v>
      </c>
      <c r="H7" s="1103"/>
    </row>
    <row r="8" spans="1:8" ht="23.1" customHeight="1" x14ac:dyDescent="0.25">
      <c r="A8" s="1104">
        <f t="shared" si="0"/>
        <v>4</v>
      </c>
      <c r="B8" s="982" t="s">
        <v>397</v>
      </c>
      <c r="C8" s="63" t="s">
        <v>714</v>
      </c>
      <c r="D8" s="1100"/>
      <c r="E8" s="1101"/>
      <c r="F8" s="1102"/>
      <c r="G8" s="979" t="str">
        <f>VLOOKUP($C8,'Chi tiet'!$D$8:$AC$396,18,0)</f>
        <v>A1</v>
      </c>
      <c r="H8" s="1103"/>
    </row>
    <row r="9" spans="1:8" ht="23.1" customHeight="1" x14ac:dyDescent="0.25">
      <c r="A9" s="980" t="s">
        <v>722</v>
      </c>
      <c r="B9" s="976" t="s">
        <v>821</v>
      </c>
      <c r="C9" s="977"/>
      <c r="D9" s="969"/>
      <c r="E9" s="546"/>
      <c r="F9" s="978"/>
      <c r="G9" s="979"/>
      <c r="H9" s="965"/>
    </row>
    <row r="10" spans="1:8" ht="23.1" customHeight="1" x14ac:dyDescent="0.25">
      <c r="A10" s="981">
        <f>A8+1</f>
        <v>5</v>
      </c>
      <c r="B10" s="982" t="s">
        <v>452</v>
      </c>
      <c r="C10" s="983" t="s">
        <v>575</v>
      </c>
      <c r="D10" s="970" t="str">
        <f>VLOOKUP($C10,'Chi tiet'!$D$8:$AC$396,4,0)</f>
        <v>A1</v>
      </c>
      <c r="E10" s="964" t="str">
        <f>VLOOKUP($C10,'Chi tiet'!$D$8:$AC$396,9,0)</f>
        <v>A1</v>
      </c>
      <c r="F10" s="978" t="str">
        <f>VLOOKUP($C10,'Chi tiet'!$D$8:$AC$396,14,0)</f>
        <v>A1</v>
      </c>
      <c r="G10" s="979" t="str">
        <f>VLOOKUP($C10,'Chi tiet'!$D$8:$AC$396,18,0)</f>
        <v>A1</v>
      </c>
      <c r="H10" s="965"/>
    </row>
    <row r="11" spans="1:8" ht="23.1" customHeight="1" x14ac:dyDescent="0.25">
      <c r="A11" s="975" t="s">
        <v>723</v>
      </c>
      <c r="B11" s="976" t="s">
        <v>822</v>
      </c>
      <c r="C11" s="977"/>
      <c r="D11" s="969"/>
      <c r="E11" s="546"/>
      <c r="F11" s="978"/>
      <c r="G11" s="979"/>
      <c r="H11" s="965"/>
    </row>
    <row r="12" spans="1:8" ht="23.1" customHeight="1" x14ac:dyDescent="0.25">
      <c r="A12" s="981">
        <f>A10+1</f>
        <v>6</v>
      </c>
      <c r="B12" s="984" t="s">
        <v>251</v>
      </c>
      <c r="C12" s="985" t="s">
        <v>252</v>
      </c>
      <c r="D12" s="970" t="str">
        <f>VLOOKUP($C12,'Chi tiet'!$D$8:$AC$396,4,0)</f>
        <v>A1</v>
      </c>
      <c r="E12" s="964" t="str">
        <f>VLOOKUP($C12,'Chi tiet'!$D$8:$AC$396,9,0)</f>
        <v>A1</v>
      </c>
      <c r="F12" s="978" t="str">
        <f>VLOOKUP($C12,'Chi tiet'!$D$8:$AC$396,14,0)</f>
        <v>A2</v>
      </c>
      <c r="G12" s="979" t="str">
        <f>VLOOKUP($C12,'Chi tiet'!$D$8:$AC$396,18,0)</f>
        <v>A2</v>
      </c>
      <c r="H12" s="965"/>
    </row>
    <row r="13" spans="1:8" ht="23.1" customHeight="1" x14ac:dyDescent="0.25">
      <c r="A13" s="981">
        <f>A12+1</f>
        <v>7</v>
      </c>
      <c r="B13" s="986" t="s">
        <v>506</v>
      </c>
      <c r="C13" s="987" t="s">
        <v>115</v>
      </c>
      <c r="D13" s="970" t="str">
        <f>VLOOKUP($C13,'Chi tiet'!$D$8:$AC$396,4,0)</f>
        <v>A1</v>
      </c>
      <c r="E13" s="964" t="str">
        <f>VLOOKUP($C13,'Chi tiet'!$D$8:$AC$396,9,0)</f>
        <v>A1</v>
      </c>
      <c r="F13" s="978" t="str">
        <f>VLOOKUP($C13,'Chi tiet'!$D$8:$AC$396,14,0)</f>
        <v>A2</v>
      </c>
      <c r="G13" s="979" t="str">
        <f>VLOOKUP($C13,'Chi tiet'!$D$8:$AC$396,18,0)</f>
        <v>A2</v>
      </c>
      <c r="H13" s="965"/>
    </row>
    <row r="14" spans="1:8" ht="23.1" customHeight="1" x14ac:dyDescent="0.25">
      <c r="A14" s="981">
        <f>A13+1</f>
        <v>8</v>
      </c>
      <c r="B14" s="986" t="s">
        <v>156</v>
      </c>
      <c r="C14" s="988" t="s">
        <v>100</v>
      </c>
      <c r="D14" s="970" t="e">
        <f>VLOOKUP($C14,'Chi tiet'!$D$8:$AC$396,4,0)</f>
        <v>#N/A</v>
      </c>
      <c r="E14" s="964" t="e">
        <f>VLOOKUP($C14,'Chi tiet'!$D$8:$AC$396,9,0)</f>
        <v>#N/A</v>
      </c>
      <c r="F14" s="978" t="e">
        <f>VLOOKUP($C14,'Chi tiet'!$D$8:$AC$396,14,0)</f>
        <v>#N/A</v>
      </c>
      <c r="G14" s="979" t="e">
        <f>VLOOKUP($C14,'Chi tiet'!$D$8:$AC$396,18,0)</f>
        <v>#N/A</v>
      </c>
      <c r="H14" s="965"/>
    </row>
    <row r="15" spans="1:8" ht="23.1" customHeight="1" x14ac:dyDescent="0.25">
      <c r="A15" s="975" t="s">
        <v>724</v>
      </c>
      <c r="B15" s="976" t="s">
        <v>823</v>
      </c>
      <c r="C15" s="977"/>
      <c r="D15" s="969"/>
      <c r="E15" s="546"/>
      <c r="F15" s="978"/>
      <c r="G15" s="979"/>
      <c r="H15" s="965"/>
    </row>
    <row r="16" spans="1:8" ht="23.1" customHeight="1" x14ac:dyDescent="0.25">
      <c r="A16" s="981">
        <f>A14+1</f>
        <v>9</v>
      </c>
      <c r="B16" s="982" t="s">
        <v>371</v>
      </c>
      <c r="C16" s="989" t="s">
        <v>710</v>
      </c>
      <c r="D16" s="970" t="str">
        <f>VLOOKUP($C16,'Chi tiet'!$D$8:$AC$396,4,0)</f>
        <v>A1</v>
      </c>
      <c r="E16" s="964" t="str">
        <f>VLOOKUP($C16,'Chi tiet'!$D$8:$AC$396,9,0)</f>
        <v>A1</v>
      </c>
      <c r="F16" s="978" t="str">
        <f>VLOOKUP($C16,'Chi tiet'!$D$8:$AC$396,14,0)</f>
        <v>A1</v>
      </c>
      <c r="G16" s="979" t="str">
        <f>VLOOKUP($C16,'Chi tiet'!$D$8:$AC$396,18,0)</f>
        <v>A1</v>
      </c>
      <c r="H16" s="965"/>
    </row>
    <row r="17" spans="1:8" ht="23.1" customHeight="1" x14ac:dyDescent="0.25">
      <c r="A17" s="981">
        <f>A16+1</f>
        <v>10</v>
      </c>
      <c r="B17" s="990" t="s">
        <v>377</v>
      </c>
      <c r="C17" s="478" t="s">
        <v>681</v>
      </c>
      <c r="D17" s="970" t="str">
        <f>VLOOKUP($C17,'Chi tiet'!$D$8:$AC$396,4,0)</f>
        <v>A1</v>
      </c>
      <c r="E17" s="964" t="str">
        <f>VLOOKUP($C17,'Chi tiet'!$D$8:$AC$396,9,0)</f>
        <v>A1</v>
      </c>
      <c r="F17" s="978" t="str">
        <f>VLOOKUP($C17,'Chi tiet'!$D$8:$AC$396,14,0)</f>
        <v>A1</v>
      </c>
      <c r="G17" s="979" t="str">
        <f>VLOOKUP($C17,'Chi tiet'!$D$8:$AC$396,18,0)</f>
        <v>A1</v>
      </c>
      <c r="H17" s="965"/>
    </row>
    <row r="18" spans="1:8" ht="23.1" customHeight="1" x14ac:dyDescent="0.25">
      <c r="A18" s="981">
        <f>A17+1</f>
        <v>11</v>
      </c>
      <c r="B18" s="990" t="s">
        <v>478</v>
      </c>
      <c r="C18" s="991" t="s">
        <v>695</v>
      </c>
      <c r="D18" s="970" t="str">
        <f>VLOOKUP($C18,'Chi tiet'!$D$8:$AC$396,4,0)</f>
        <v>A1</v>
      </c>
      <c r="E18" s="964" t="str">
        <f>VLOOKUP($C18,'Chi tiet'!$D$8:$AC$396,9,0)</f>
        <v>A1</v>
      </c>
      <c r="F18" s="978" t="str">
        <f>VLOOKUP($C18,'Chi tiet'!$D$8:$AC$396,14,0)</f>
        <v>A1</v>
      </c>
      <c r="G18" s="979" t="str">
        <f>VLOOKUP($C18,'Chi tiet'!$D$8:$AC$396,18,0)</f>
        <v>A1</v>
      </c>
      <c r="H18" s="965"/>
    </row>
    <row r="19" spans="1:8" ht="21.95" customHeight="1" x14ac:dyDescent="0.25">
      <c r="A19" s="992" t="s">
        <v>725</v>
      </c>
      <c r="B19" s="976" t="s">
        <v>824</v>
      </c>
      <c r="C19" s="977"/>
      <c r="D19" s="969"/>
      <c r="E19" s="546"/>
      <c r="F19" s="978"/>
      <c r="G19" s="979"/>
      <c r="H19" s="965"/>
    </row>
    <row r="20" spans="1:8" ht="21.95" customHeight="1" x14ac:dyDescent="0.25">
      <c r="A20" s="963">
        <f>A18+1</f>
        <v>12</v>
      </c>
      <c r="B20" s="993" t="s">
        <v>142</v>
      </c>
      <c r="C20" s="994" t="s">
        <v>86</v>
      </c>
      <c r="D20" s="970" t="str">
        <f>VLOOKUP($C20,'Chi tiet'!$D$8:$AC$396,4,0)</f>
        <v>A2</v>
      </c>
      <c r="E20" s="964" t="str">
        <f>VLOOKUP($C20,'Chi tiet'!$D$8:$AC$396,9,0)</f>
        <v>A4</v>
      </c>
      <c r="F20" s="978" t="str">
        <f>VLOOKUP($C20,'Chi tiet'!$D$8:$AC$396,14,0)</f>
        <v>A3</v>
      </c>
      <c r="G20" s="979" t="str">
        <f>VLOOKUP($C20,'Chi tiet'!$D$8:$AC$396,18,0)</f>
        <v>A3</v>
      </c>
      <c r="H20" s="965"/>
    </row>
    <row r="21" spans="1:8" ht="21.95" customHeight="1" x14ac:dyDescent="0.25">
      <c r="A21" s="963">
        <f>A20+1</f>
        <v>13</v>
      </c>
      <c r="B21" s="993" t="s">
        <v>143</v>
      </c>
      <c r="C21" s="994" t="s">
        <v>87</v>
      </c>
      <c r="D21" s="970" t="str">
        <f>VLOOKUP($C21,'Chi tiet'!$D$8:$AC$396,4,0)</f>
        <v>A2</v>
      </c>
      <c r="E21" s="964" t="str">
        <f>VLOOKUP($C21,'Chi tiet'!$D$8:$AC$396,9,0)</f>
        <v>A1</v>
      </c>
      <c r="F21" s="978" t="str">
        <f>VLOOKUP($C21,'Chi tiet'!$D$8:$AC$396,14,0)</f>
        <v>A1</v>
      </c>
      <c r="G21" s="979" t="str">
        <f>VLOOKUP($C21,'Chi tiet'!$D$8:$AC$396,18,0)</f>
        <v>A1</v>
      </c>
      <c r="H21" s="965"/>
    </row>
    <row r="22" spans="1:8" ht="21.95" customHeight="1" x14ac:dyDescent="0.25">
      <c r="A22" s="980" t="s">
        <v>726</v>
      </c>
      <c r="B22" s="976" t="s">
        <v>825</v>
      </c>
      <c r="C22" s="977"/>
      <c r="D22" s="969"/>
      <c r="E22" s="546"/>
      <c r="F22" s="978"/>
      <c r="G22" s="979"/>
      <c r="H22" s="965"/>
    </row>
    <row r="23" spans="1:8" ht="21.95" customHeight="1" x14ac:dyDescent="0.25">
      <c r="A23" s="963">
        <f>A21+1</f>
        <v>14</v>
      </c>
      <c r="B23" s="986" t="s">
        <v>155</v>
      </c>
      <c r="C23" s="988" t="s">
        <v>99</v>
      </c>
      <c r="D23" s="970" t="str">
        <f>VLOOKUP($C23,'Chi tiet'!$D$8:$AC$396,4,0)</f>
        <v>A2</v>
      </c>
      <c r="E23" s="964" t="str">
        <f>VLOOKUP($C23,'Chi tiet'!$D$8:$AC$396,9,0)</f>
        <v>A4</v>
      </c>
      <c r="F23" s="978" t="str">
        <f>VLOOKUP($C23,'Chi tiet'!$D$8:$AC$396,14,0)</f>
        <v>A3</v>
      </c>
      <c r="G23" s="979" t="str">
        <f>VLOOKUP($C23,'Chi tiet'!$D$8:$AC$396,18,0)</f>
        <v>A3</v>
      </c>
      <c r="H23" s="965"/>
    </row>
    <row r="24" spans="1:8" ht="21.95" customHeight="1" x14ac:dyDescent="0.25">
      <c r="A24" s="963">
        <f>A23+1</f>
        <v>15</v>
      </c>
      <c r="B24" s="982" t="s">
        <v>453</v>
      </c>
      <c r="C24" s="995" t="s">
        <v>72</v>
      </c>
      <c r="D24" s="970" t="str">
        <f>VLOOKUP($C24,'Chi tiet'!$D$8:$AC$396,4,0)</f>
        <v>A2</v>
      </c>
      <c r="E24" s="964" t="str">
        <f>VLOOKUP($C24,'Chi tiet'!$D$8:$AC$396,9,0)</f>
        <v>A4</v>
      </c>
      <c r="F24" s="978" t="str">
        <f>VLOOKUP($C24,'Chi tiet'!$D$8:$AC$396,14,0)</f>
        <v>A3</v>
      </c>
      <c r="G24" s="979" t="str">
        <f>VLOOKUP($C24,'Chi tiet'!$D$8:$AC$396,18,0)</f>
        <v>A3</v>
      </c>
      <c r="H24" s="965"/>
    </row>
    <row r="25" spans="1:8" ht="21.95" customHeight="1" x14ac:dyDescent="0.25">
      <c r="A25" s="992" t="s">
        <v>727</v>
      </c>
      <c r="B25" s="976" t="s">
        <v>826</v>
      </c>
      <c r="C25" s="977"/>
      <c r="D25" s="969"/>
      <c r="E25" s="546"/>
      <c r="F25" s="978"/>
      <c r="G25" s="979"/>
      <c r="H25" s="965"/>
    </row>
    <row r="26" spans="1:8" ht="21.95" customHeight="1" x14ac:dyDescent="0.25">
      <c r="A26" s="963">
        <f>A24+1</f>
        <v>16</v>
      </c>
      <c r="B26" s="188" t="s">
        <v>540</v>
      </c>
      <c r="C26" s="996" t="s">
        <v>416</v>
      </c>
      <c r="D26" s="970" t="str">
        <f>VLOOKUP($C26,'Chi tiet'!$D$8:$AC$396,4,0)</f>
        <v>A2</v>
      </c>
      <c r="E26" s="964" t="str">
        <f>VLOOKUP($C26,'Chi tiet'!$D$8:$AC$396,9,0)</f>
        <v>A2</v>
      </c>
      <c r="F26" s="978" t="str">
        <f>VLOOKUP($C26,'Chi tiet'!$D$8:$AC$396,14,0)</f>
        <v>A1</v>
      </c>
      <c r="G26" s="979" t="str">
        <f>VLOOKUP($C26,'Chi tiet'!$D$8:$AC$396,18,0)</f>
        <v>A1</v>
      </c>
      <c r="H26" s="965"/>
    </row>
    <row r="27" spans="1:8" ht="21.95" customHeight="1" x14ac:dyDescent="0.25">
      <c r="A27" s="980" t="s">
        <v>728</v>
      </c>
      <c r="B27" s="976" t="s">
        <v>827</v>
      </c>
      <c r="C27" s="977"/>
      <c r="D27" s="969"/>
      <c r="E27" s="546"/>
      <c r="F27" s="978"/>
      <c r="G27" s="979"/>
      <c r="H27" s="965"/>
    </row>
    <row r="28" spans="1:8" ht="21.95" customHeight="1" x14ac:dyDescent="0.25">
      <c r="A28" s="963">
        <f>A26+1</f>
        <v>17</v>
      </c>
      <c r="B28" s="997" t="s">
        <v>163</v>
      </c>
      <c r="C28" s="998" t="s">
        <v>106</v>
      </c>
      <c r="D28" s="970" t="str">
        <f>VLOOKUP($C28,'Chi tiet'!$D$8:$AC$396,4,0)</f>
        <v>A1</v>
      </c>
      <c r="E28" s="964" t="str">
        <f>VLOOKUP($C28,'Chi tiet'!$D$8:$AC$396,9,0)</f>
        <v>A1</v>
      </c>
      <c r="F28" s="978" t="str">
        <f>VLOOKUP($C28,'Chi tiet'!$D$8:$AC$396,14,0)</f>
        <v>A1</v>
      </c>
      <c r="G28" s="979" t="str">
        <f>VLOOKUP($C28,'Chi tiet'!$D$8:$AC$396,18,0)</f>
        <v>A1</v>
      </c>
      <c r="H28" s="965"/>
    </row>
    <row r="29" spans="1:8" ht="21.95" customHeight="1" x14ac:dyDescent="0.25">
      <c r="A29" s="963">
        <f>A28+1</f>
        <v>18</v>
      </c>
      <c r="B29" s="997" t="s">
        <v>164</v>
      </c>
      <c r="C29" s="998" t="s">
        <v>107</v>
      </c>
      <c r="D29" s="970" t="str">
        <f>VLOOKUP($C29,'Chi tiet'!$D$8:$AC$396,4,0)</f>
        <v>A1</v>
      </c>
      <c r="E29" s="964" t="str">
        <f>VLOOKUP($C29,'Chi tiet'!$D$8:$AC$396,9,0)</f>
        <v>A1</v>
      </c>
      <c r="F29" s="978" t="str">
        <f>VLOOKUP($C29,'Chi tiet'!$D$8:$AC$396,14,0)</f>
        <v>A2</v>
      </c>
      <c r="G29" s="979" t="str">
        <f>VLOOKUP($C29,'Chi tiet'!$D$8:$AC$396,18,0)</f>
        <v>A2</v>
      </c>
      <c r="H29" s="965"/>
    </row>
    <row r="30" spans="1:8" ht="24" customHeight="1" x14ac:dyDescent="0.25">
      <c r="A30" s="992" t="s">
        <v>729</v>
      </c>
      <c r="B30" s="976" t="s">
        <v>828</v>
      </c>
      <c r="C30" s="977"/>
      <c r="D30" s="969"/>
      <c r="E30" s="546"/>
      <c r="F30" s="978"/>
      <c r="G30" s="979"/>
      <c r="H30" s="965"/>
    </row>
    <row r="31" spans="1:8" ht="24" customHeight="1" x14ac:dyDescent="0.25">
      <c r="A31" s="963">
        <f>A29+1</f>
        <v>19</v>
      </c>
      <c r="B31" s="990" t="s">
        <v>431</v>
      </c>
      <c r="C31" s="995" t="s">
        <v>773</v>
      </c>
      <c r="D31" s="970" t="str">
        <f>VLOOKUP($C31,'Chi tiet'!$D$8:$AC$396,4,0)</f>
        <v>A2</v>
      </c>
      <c r="E31" s="964" t="str">
        <f>VLOOKUP($C31,'Chi tiet'!$D$8:$AC$396,9,0)</f>
        <v>A4</v>
      </c>
      <c r="F31" s="978" t="str">
        <f>VLOOKUP($C31,'Chi tiet'!$D$8:$AC$396,14,0)</f>
        <v>A4</v>
      </c>
      <c r="G31" s="979" t="str">
        <f>VLOOKUP($C31,'Chi tiet'!$D$8:$AC$396,18,0)</f>
        <v>A4</v>
      </c>
      <c r="H31" s="965"/>
    </row>
    <row r="32" spans="1:8" ht="24" customHeight="1" x14ac:dyDescent="0.25">
      <c r="A32" s="963">
        <f>A31+1</f>
        <v>20</v>
      </c>
      <c r="B32" s="188" t="s">
        <v>253</v>
      </c>
      <c r="C32" s="999" t="s">
        <v>254</v>
      </c>
      <c r="D32" s="970" t="str">
        <f>VLOOKUP($C32,'Chi tiet'!$D$8:$AC$396,4,0)</f>
        <v>A2</v>
      </c>
      <c r="E32" s="964" t="str">
        <f>VLOOKUP($C32,'Chi tiet'!$D$8:$AC$396,9,0)</f>
        <v>A1</v>
      </c>
      <c r="F32" s="978" t="str">
        <f>VLOOKUP($C32,'Chi tiet'!$D$8:$AC$396,14,0)</f>
        <v>A1</v>
      </c>
      <c r="G32" s="979" t="str">
        <f>VLOOKUP($C32,'Chi tiet'!$D$8:$AC$396,18,0)</f>
        <v>A1</v>
      </c>
      <c r="H32" s="965"/>
    </row>
    <row r="33" spans="1:8" ht="24" customHeight="1" x14ac:dyDescent="0.25">
      <c r="A33" s="980" t="s">
        <v>581</v>
      </c>
      <c r="B33" s="1000" t="s">
        <v>1098</v>
      </c>
      <c r="C33" s="977"/>
      <c r="D33" s="969"/>
      <c r="E33" s="546"/>
      <c r="F33" s="978"/>
      <c r="G33" s="979"/>
      <c r="H33" s="965"/>
    </row>
    <row r="34" spans="1:8" ht="24" customHeight="1" x14ac:dyDescent="0.25">
      <c r="A34" s="963">
        <f>A32+1</f>
        <v>21</v>
      </c>
      <c r="B34" s="984" t="s">
        <v>224</v>
      </c>
      <c r="C34" s="985" t="s">
        <v>225</v>
      </c>
      <c r="D34" s="970" t="str">
        <f>VLOOKUP($C34,'Chi tiet'!$D$8:$AC$396,4,0)</f>
        <v>A2</v>
      </c>
      <c r="E34" s="964" t="str">
        <f>VLOOKUP($C34,'Chi tiet'!$D$8:$AC$396,9,0)</f>
        <v>A3</v>
      </c>
      <c r="F34" s="978" t="str">
        <f>VLOOKUP($C34,'Chi tiet'!$D$8:$AC$396,14,0)</f>
        <v>A1</v>
      </c>
      <c r="G34" s="979" t="str">
        <f>VLOOKUP($C34,'Chi tiet'!$D$8:$AC$396,18,0)</f>
        <v>A1</v>
      </c>
      <c r="H34" s="965"/>
    </row>
    <row r="35" spans="1:8" ht="24" customHeight="1" x14ac:dyDescent="0.25">
      <c r="A35" s="992" t="s">
        <v>730</v>
      </c>
      <c r="B35" s="976" t="s">
        <v>829</v>
      </c>
      <c r="C35" s="977"/>
      <c r="D35" s="969"/>
      <c r="E35" s="546"/>
      <c r="F35" s="978"/>
      <c r="G35" s="979"/>
      <c r="H35" s="965"/>
    </row>
    <row r="36" spans="1:8" ht="24" customHeight="1" x14ac:dyDescent="0.25">
      <c r="A36" s="963">
        <f>A34+1</f>
        <v>22</v>
      </c>
      <c r="B36" s="1001" t="s">
        <v>282</v>
      </c>
      <c r="C36" s="1002" t="s">
        <v>647</v>
      </c>
      <c r="D36" s="970" t="str">
        <f>VLOOKUP($C36,'Chi tiet'!$D$8:$AC$396,4,0)</f>
        <v>A1</v>
      </c>
      <c r="E36" s="964" t="str">
        <f>VLOOKUP($C36,'Chi tiet'!$D$8:$AC$396,9,0)</f>
        <v>A1</v>
      </c>
      <c r="F36" s="978" t="str">
        <f>VLOOKUP($C36,'Chi tiet'!$D$8:$AC$396,14,0)</f>
        <v>A1</v>
      </c>
      <c r="G36" s="979" t="str">
        <f>VLOOKUP($C36,'Chi tiet'!$D$8:$AC$396,18,0)</f>
        <v>A1</v>
      </c>
      <c r="H36" s="965"/>
    </row>
    <row r="37" spans="1:8" ht="24" customHeight="1" x14ac:dyDescent="0.25">
      <c r="A37" s="963">
        <f>A36+1</f>
        <v>23</v>
      </c>
      <c r="B37" s="1001" t="s">
        <v>276</v>
      </c>
      <c r="C37" s="1002" t="s">
        <v>641</v>
      </c>
      <c r="D37" s="970" t="str">
        <f>VLOOKUP($C37,'Chi tiet'!$D$8:$AC$396,4,0)</f>
        <v>A2</v>
      </c>
      <c r="E37" s="964" t="str">
        <f>VLOOKUP($C37,'Chi tiet'!$D$8:$AC$396,9,0)</f>
        <v>A4</v>
      </c>
      <c r="F37" s="978" t="str">
        <f>VLOOKUP($C37,'Chi tiet'!$D$8:$AC$396,14,0)</f>
        <v>A4</v>
      </c>
      <c r="G37" s="979" t="str">
        <f>VLOOKUP($C37,'Chi tiet'!$D$8:$AC$396,18,0)</f>
        <v>A4</v>
      </c>
      <c r="H37" s="965"/>
    </row>
    <row r="38" spans="1:8" ht="24" customHeight="1" x14ac:dyDescent="0.25">
      <c r="A38" s="980" t="s">
        <v>731</v>
      </c>
      <c r="B38" s="976" t="s">
        <v>830</v>
      </c>
      <c r="C38" s="977"/>
      <c r="D38" s="969"/>
      <c r="E38" s="546"/>
      <c r="F38" s="978"/>
      <c r="G38" s="979"/>
      <c r="H38" s="965"/>
    </row>
    <row r="39" spans="1:8" ht="24" customHeight="1" x14ac:dyDescent="0.25">
      <c r="A39" s="963">
        <f>A37+1</f>
        <v>24</v>
      </c>
      <c r="B39" s="188" t="s">
        <v>284</v>
      </c>
      <c r="C39" s="991" t="s">
        <v>285</v>
      </c>
      <c r="D39" s="970" t="str">
        <f>VLOOKUP($C39,'Chi tiet'!$D$8:$AC$396,4,0)</f>
        <v>A2</v>
      </c>
      <c r="E39" s="964" t="str">
        <f>VLOOKUP($C39,'Chi tiet'!$D$8:$AC$396,9,0)</f>
        <v>A1</v>
      </c>
      <c r="F39" s="978" t="str">
        <f>VLOOKUP($C39,'Chi tiet'!$D$8:$AC$396,14,0)</f>
        <v>A1</v>
      </c>
      <c r="G39" s="979" t="str">
        <f>VLOOKUP($C39,'Chi tiet'!$D$8:$AC$396,18,0)</f>
        <v>A1</v>
      </c>
      <c r="H39" s="965"/>
    </row>
    <row r="40" spans="1:8" ht="24" customHeight="1" x14ac:dyDescent="0.25">
      <c r="A40" s="963">
        <f>A39+1</f>
        <v>25</v>
      </c>
      <c r="B40" s="188" t="s">
        <v>286</v>
      </c>
      <c r="C40" s="996" t="s">
        <v>287</v>
      </c>
      <c r="D40" s="970" t="str">
        <f>VLOOKUP($C40,'Chi tiet'!$D$8:$AC$396,4,0)</f>
        <v>A2</v>
      </c>
      <c r="E40" s="964" t="str">
        <f>VLOOKUP($C40,'Chi tiet'!$D$8:$AC$396,9,0)</f>
        <v>A3</v>
      </c>
      <c r="F40" s="978" t="str">
        <f>VLOOKUP($C40,'Chi tiet'!$D$8:$AC$396,14,0)</f>
        <v>A4</v>
      </c>
      <c r="G40" s="979" t="str">
        <f>VLOOKUP($C40,'Chi tiet'!$D$8:$AC$396,18,0)</f>
        <v>A4</v>
      </c>
      <c r="H40" s="965"/>
    </row>
    <row r="41" spans="1:8" ht="24" customHeight="1" x14ac:dyDescent="0.25">
      <c r="A41" s="992" t="s">
        <v>732</v>
      </c>
      <c r="B41" s="976" t="s">
        <v>831</v>
      </c>
      <c r="C41" s="977"/>
      <c r="D41" s="969"/>
      <c r="E41" s="546"/>
      <c r="F41" s="978"/>
      <c r="G41" s="979"/>
      <c r="H41" s="965"/>
    </row>
    <row r="42" spans="1:8" ht="24" customHeight="1" x14ac:dyDescent="0.25">
      <c r="A42" s="963">
        <f>A40+1</f>
        <v>26</v>
      </c>
      <c r="B42" s="990" t="s">
        <v>474</v>
      </c>
      <c r="C42" s="996" t="s">
        <v>475</v>
      </c>
      <c r="D42" s="970" t="str">
        <f>VLOOKUP($C42,'Chi tiet'!$D$8:$AC$396,4,0)</f>
        <v>A2</v>
      </c>
      <c r="E42" s="964" t="str">
        <f>VLOOKUP($C42,'Chi tiet'!$D$8:$AC$396,9,0)</f>
        <v>A4</v>
      </c>
      <c r="F42" s="978" t="str">
        <f>VLOOKUP($C42,'Chi tiet'!$D$8:$AC$396,14,0)</f>
        <v>A3</v>
      </c>
      <c r="G42" s="979" t="str">
        <f>VLOOKUP($C42,'Chi tiet'!$D$8:$AC$396,18,0)</f>
        <v>A3</v>
      </c>
      <c r="H42" s="965"/>
    </row>
    <row r="43" spans="1:8" ht="24" customHeight="1" x14ac:dyDescent="0.25">
      <c r="A43" s="963">
        <f>A42+1</f>
        <v>27</v>
      </c>
      <c r="B43" s="990" t="s">
        <v>468</v>
      </c>
      <c r="C43" s="996" t="s">
        <v>469</v>
      </c>
      <c r="D43" s="970" t="str">
        <f>VLOOKUP($C43,'Chi tiet'!$D$8:$AC$396,4,0)</f>
        <v>A3</v>
      </c>
      <c r="E43" s="964" t="str">
        <f>VLOOKUP($C43,'Chi tiet'!$D$8:$AC$396,9,0)</f>
        <v>A1</v>
      </c>
      <c r="F43" s="978" t="str">
        <f>VLOOKUP($C43,'Chi tiet'!$D$8:$AC$396,14,0)</f>
        <v>A1</v>
      </c>
      <c r="G43" s="979" t="str">
        <f>VLOOKUP($C43,'Chi tiet'!$D$8:$AC$396,18,0)</f>
        <v>A1</v>
      </c>
      <c r="H43" s="965"/>
    </row>
    <row r="44" spans="1:8" ht="24" customHeight="1" x14ac:dyDescent="0.25">
      <c r="A44" s="992" t="s">
        <v>733</v>
      </c>
      <c r="B44" s="976" t="s">
        <v>817</v>
      </c>
      <c r="C44" s="977"/>
      <c r="D44" s="969"/>
      <c r="E44" s="546"/>
      <c r="F44" s="978"/>
      <c r="G44" s="979"/>
      <c r="H44" s="965"/>
    </row>
    <row r="45" spans="1:8" ht="24" customHeight="1" x14ac:dyDescent="0.25">
      <c r="A45" s="963">
        <f>A43+1</f>
        <v>28</v>
      </c>
      <c r="B45" s="1003" t="s">
        <v>334</v>
      </c>
      <c r="C45" s="995" t="s">
        <v>594</v>
      </c>
      <c r="D45" s="970" t="str">
        <f>VLOOKUP($C45,'Chi tiet'!$D$8:$AC$396,4,0)</f>
        <v>A1</v>
      </c>
      <c r="E45" s="964" t="str">
        <f>VLOOKUP($C45,'Chi tiet'!$D$8:$AC$396,9,0)</f>
        <v>A1</v>
      </c>
      <c r="F45" s="978" t="str">
        <f>VLOOKUP($C45,'Chi tiet'!$D$8:$AC$396,14,0)</f>
        <v>A1</v>
      </c>
      <c r="G45" s="979" t="str">
        <f>VLOOKUP($C45,'Chi tiet'!$D$8:$AC$396,18,0)</f>
        <v>A1</v>
      </c>
      <c r="H45" s="965"/>
    </row>
    <row r="46" spans="1:8" ht="24" customHeight="1" x14ac:dyDescent="0.25">
      <c r="A46" s="963">
        <f>A45+1</f>
        <v>29</v>
      </c>
      <c r="B46" s="1003" t="s">
        <v>335</v>
      </c>
      <c r="C46" s="995" t="s">
        <v>595</v>
      </c>
      <c r="D46" s="970" t="str">
        <f>VLOOKUP($C46,'Chi tiet'!$D$8:$AC$396,4,0)</f>
        <v>A1</v>
      </c>
      <c r="E46" s="964" t="str">
        <f>VLOOKUP($C46,'Chi tiet'!$D$8:$AC$396,9,0)</f>
        <v>A3</v>
      </c>
      <c r="F46" s="978" t="str">
        <f>VLOOKUP($C46,'Chi tiet'!$D$8:$AC$396,14,0)</f>
        <v>A4</v>
      </c>
      <c r="G46" s="979" t="str">
        <f>VLOOKUP($C46,'Chi tiet'!$D$8:$AC$396,18,0)</f>
        <v>A4</v>
      </c>
      <c r="H46" s="965"/>
    </row>
    <row r="47" spans="1:8" ht="24" customHeight="1" x14ac:dyDescent="0.25">
      <c r="A47" s="992" t="s">
        <v>734</v>
      </c>
      <c r="B47" s="976" t="s">
        <v>832</v>
      </c>
      <c r="C47" s="977"/>
      <c r="D47" s="969"/>
      <c r="E47" s="546"/>
      <c r="F47" s="978"/>
      <c r="G47" s="979"/>
      <c r="H47" s="965"/>
    </row>
    <row r="48" spans="1:8" ht="24" customHeight="1" x14ac:dyDescent="0.25">
      <c r="A48" s="963">
        <f>A46+1</f>
        <v>30</v>
      </c>
      <c r="B48" s="986" t="s">
        <v>503</v>
      </c>
      <c r="C48" s="1004" t="s">
        <v>112</v>
      </c>
      <c r="D48" s="970" t="str">
        <f>VLOOKUP($C48,'Chi tiet'!$D$8:$AC$396,4,0)</f>
        <v>A1</v>
      </c>
      <c r="E48" s="964" t="str">
        <f>VLOOKUP($C48,'Chi tiet'!$D$8:$AC$396,9,0)</f>
        <v>A1</v>
      </c>
      <c r="F48" s="978" t="str">
        <f>VLOOKUP($C48,'Chi tiet'!$D$8:$AC$396,14,0)</f>
        <v>A1</v>
      </c>
      <c r="G48" s="979" t="str">
        <f>VLOOKUP($C48,'Chi tiet'!$D$8:$AC$396,18,0)</f>
        <v>A1</v>
      </c>
      <c r="H48" s="965"/>
    </row>
    <row r="49" spans="1:8" ht="24" customHeight="1" x14ac:dyDescent="0.25">
      <c r="A49" s="963">
        <f>A48+1</f>
        <v>31</v>
      </c>
      <c r="B49" s="986" t="s">
        <v>504</v>
      </c>
      <c r="C49" s="1004" t="s">
        <v>113</v>
      </c>
      <c r="D49" s="970" t="str">
        <f>VLOOKUP($C49,'Chi tiet'!$D$8:$AC$396,4,0)</f>
        <v>A1</v>
      </c>
      <c r="E49" s="964" t="str">
        <f>VLOOKUP($C49,'Chi tiet'!$D$8:$AC$396,9,0)</f>
        <v>A1</v>
      </c>
      <c r="F49" s="978" t="str">
        <f>VLOOKUP($C49,'Chi tiet'!$D$8:$AC$396,14,0)</f>
        <v>A2</v>
      </c>
      <c r="G49" s="979" t="str">
        <f>VLOOKUP($C49,'Chi tiet'!$D$8:$AC$396,18,0)</f>
        <v>A2</v>
      </c>
      <c r="H49" s="965"/>
    </row>
    <row r="50" spans="1:8" ht="24" customHeight="1" x14ac:dyDescent="0.25">
      <c r="A50" s="963">
        <f>A49+1</f>
        <v>32</v>
      </c>
      <c r="B50" s="986" t="s">
        <v>505</v>
      </c>
      <c r="C50" s="1004" t="s">
        <v>114</v>
      </c>
      <c r="D50" s="970" t="str">
        <f>VLOOKUP($C50,'Chi tiet'!$D$8:$AC$396,4,0)</f>
        <v>A2</v>
      </c>
      <c r="E50" s="964" t="str">
        <f>VLOOKUP($C50,'Chi tiet'!$D$8:$AC$396,9,0)</f>
        <v>A2</v>
      </c>
      <c r="F50" s="978" t="str">
        <f>VLOOKUP($C50,'Chi tiet'!$D$8:$AC$396,14,0)</f>
        <v>A3</v>
      </c>
      <c r="G50" s="979" t="str">
        <f>VLOOKUP($C50,'Chi tiet'!$D$8:$AC$396,18,0)</f>
        <v>A3</v>
      </c>
      <c r="H50" s="965"/>
    </row>
    <row r="51" spans="1:8" ht="23.1" customHeight="1" x14ac:dyDescent="0.25">
      <c r="A51" s="992" t="s">
        <v>735</v>
      </c>
      <c r="B51" s="976" t="s">
        <v>833</v>
      </c>
      <c r="C51" s="977"/>
      <c r="D51" s="969"/>
      <c r="E51" s="546"/>
      <c r="F51" s="978"/>
      <c r="G51" s="979"/>
      <c r="H51" s="965"/>
    </row>
    <row r="52" spans="1:8" ht="23.1" customHeight="1" x14ac:dyDescent="0.25">
      <c r="A52" s="963">
        <f>A50+1</f>
        <v>33</v>
      </c>
      <c r="B52" s="1005" t="s">
        <v>405</v>
      </c>
      <c r="C52" s="995" t="s">
        <v>674</v>
      </c>
      <c r="D52" s="970" t="str">
        <f>VLOOKUP($C52,'Chi tiet'!$D$8:$AC$396,4,0)</f>
        <v>A2</v>
      </c>
      <c r="E52" s="964" t="str">
        <f>VLOOKUP($C52,'Chi tiet'!$D$8:$AC$396,9,0)</f>
        <v>A1</v>
      </c>
      <c r="F52" s="978" t="str">
        <f>VLOOKUP($C52,'Chi tiet'!$D$8:$AC$396,14,0)</f>
        <v>A1</v>
      </c>
      <c r="G52" s="979" t="str">
        <f>VLOOKUP($C52,'Chi tiet'!$D$8:$AC$396,18,0)</f>
        <v>A1</v>
      </c>
      <c r="H52" s="965"/>
    </row>
    <row r="53" spans="1:8" ht="23.1" customHeight="1" x14ac:dyDescent="0.25">
      <c r="A53" s="992" t="s">
        <v>736</v>
      </c>
      <c r="B53" s="976" t="s">
        <v>834</v>
      </c>
      <c r="C53" s="977"/>
      <c r="D53" s="969"/>
      <c r="E53" s="546"/>
      <c r="F53" s="978"/>
      <c r="G53" s="979"/>
      <c r="H53" s="965"/>
    </row>
    <row r="54" spans="1:8" ht="23.1" customHeight="1" x14ac:dyDescent="0.25">
      <c r="A54" s="963">
        <f>A52+1</f>
        <v>34</v>
      </c>
      <c r="B54" s="188" t="s">
        <v>408</v>
      </c>
      <c r="C54" s="991" t="s">
        <v>533</v>
      </c>
      <c r="D54" s="970" t="str">
        <f>VLOOKUP($C54,'Chi tiet'!$D$8:$AC$396,4,0)</f>
        <v>A1</v>
      </c>
      <c r="E54" s="964" t="str">
        <f>VLOOKUP($C54,'Chi tiet'!$D$8:$AC$396,9,0)</f>
        <v>A1</v>
      </c>
      <c r="F54" s="978" t="str">
        <f>VLOOKUP($C54,'Chi tiet'!$D$8:$AC$396,14,0)</f>
        <v>A1</v>
      </c>
      <c r="G54" s="979" t="str">
        <f>VLOOKUP($C54,'Chi tiet'!$D$8:$AC$396,18,0)</f>
        <v>A1</v>
      </c>
      <c r="H54" s="965"/>
    </row>
    <row r="55" spans="1:8" ht="23.1" customHeight="1" x14ac:dyDescent="0.25">
      <c r="A55" s="963">
        <f>A54+1</f>
        <v>35</v>
      </c>
      <c r="B55" s="188" t="s">
        <v>409</v>
      </c>
      <c r="C55" s="991" t="s">
        <v>534</v>
      </c>
      <c r="D55" s="970" t="str">
        <f>VLOOKUP($C55,'Chi tiet'!$D$8:$AC$396,4,0)</f>
        <v>A2</v>
      </c>
      <c r="E55" s="964" t="str">
        <f>VLOOKUP($C55,'Chi tiet'!$D$8:$AC$396,9,0)</f>
        <v>A3</v>
      </c>
      <c r="F55" s="978" t="str">
        <f>VLOOKUP($C55,'Chi tiet'!$D$8:$AC$396,14,0)</f>
        <v>A4</v>
      </c>
      <c r="G55" s="979" t="str">
        <f>VLOOKUP($C55,'Chi tiet'!$D$8:$AC$396,18,0)</f>
        <v>A4</v>
      </c>
      <c r="H55" s="965"/>
    </row>
    <row r="56" spans="1:8" ht="23.1" customHeight="1" x14ac:dyDescent="0.25">
      <c r="A56" s="992" t="s">
        <v>737</v>
      </c>
      <c r="B56" s="976" t="s">
        <v>835</v>
      </c>
      <c r="C56" s="977"/>
      <c r="D56" s="969"/>
      <c r="E56" s="546"/>
      <c r="F56" s="978"/>
      <c r="G56" s="979"/>
      <c r="H56" s="965"/>
    </row>
    <row r="57" spans="1:8" ht="23.1" customHeight="1" x14ac:dyDescent="0.25">
      <c r="A57" s="963">
        <f>A55+1</f>
        <v>36</v>
      </c>
      <c r="B57" s="188" t="s">
        <v>165</v>
      </c>
      <c r="C57" s="996" t="s">
        <v>108</v>
      </c>
      <c r="D57" s="970" t="str">
        <f>VLOOKUP($C57,'Chi tiet'!$D$8:$AC$396,4,0)</f>
        <v>A2</v>
      </c>
      <c r="E57" s="964" t="str">
        <f>VLOOKUP($C57,'Chi tiet'!$D$8:$AC$396,9,0)</f>
        <v>A2</v>
      </c>
      <c r="F57" s="978" t="str">
        <f>VLOOKUP($C57,'Chi tiet'!$D$8:$AC$396,14,0)</f>
        <v>A1</v>
      </c>
      <c r="G57" s="979" t="str">
        <f>VLOOKUP($C57,'Chi tiet'!$D$8:$AC$396,18,0)</f>
        <v>A1</v>
      </c>
      <c r="H57" s="965"/>
    </row>
    <row r="58" spans="1:8" ht="23.1" customHeight="1" x14ac:dyDescent="0.25">
      <c r="A58" s="963">
        <f>A57+1</f>
        <v>37</v>
      </c>
      <c r="B58" s="188" t="s">
        <v>543</v>
      </c>
      <c r="C58" s="991" t="s">
        <v>419</v>
      </c>
      <c r="D58" s="970" t="str">
        <f>VLOOKUP($C58,'Chi tiet'!$D$8:$AC$396,4,0)</f>
        <v>A2</v>
      </c>
      <c r="E58" s="964" t="str">
        <f>VLOOKUP($C58,'Chi tiet'!$D$8:$AC$396,9,0)</f>
        <v>A2</v>
      </c>
      <c r="F58" s="978" t="str">
        <f>VLOOKUP($C58,'Chi tiet'!$D$8:$AC$396,14,0)</f>
        <v>A1</v>
      </c>
      <c r="G58" s="979" t="str">
        <f>VLOOKUP($C58,'Chi tiet'!$D$8:$AC$396,18,0)</f>
        <v>A1</v>
      </c>
      <c r="H58" s="965"/>
    </row>
    <row r="59" spans="1:8" ht="23.1" customHeight="1" x14ac:dyDescent="0.25">
      <c r="A59" s="992" t="s">
        <v>738</v>
      </c>
      <c r="B59" s="976" t="s">
        <v>836</v>
      </c>
      <c r="C59" s="977"/>
      <c r="D59" s="969"/>
      <c r="E59" s="546"/>
      <c r="F59" s="978"/>
      <c r="G59" s="979"/>
      <c r="H59" s="965"/>
    </row>
    <row r="60" spans="1:8" ht="23.1" customHeight="1" x14ac:dyDescent="0.25">
      <c r="A60" s="963">
        <f>A58+1</f>
        <v>38</v>
      </c>
      <c r="B60" s="188" t="s">
        <v>427</v>
      </c>
      <c r="C60" s="996" t="s">
        <v>428</v>
      </c>
      <c r="D60" s="970" t="str">
        <f>VLOOKUP($C60,'Chi tiet'!$D$8:$AC$396,4,0)</f>
        <v>A2</v>
      </c>
      <c r="E60" s="964" t="str">
        <f>VLOOKUP($C60,'Chi tiet'!$D$8:$AC$396,9,0)</f>
        <v>A2</v>
      </c>
      <c r="F60" s="978" t="str">
        <f>VLOOKUP($C60,'Chi tiet'!$D$8:$AC$396,14,0)</f>
        <v>A3</v>
      </c>
      <c r="G60" s="979" t="str">
        <f>VLOOKUP($C60,'Chi tiet'!$D$8:$AC$396,18,0)</f>
        <v>A3</v>
      </c>
      <c r="H60" s="965"/>
    </row>
    <row r="61" spans="1:8" ht="23.1" customHeight="1" x14ac:dyDescent="0.25">
      <c r="A61" s="992" t="s">
        <v>739</v>
      </c>
      <c r="B61" s="976" t="s">
        <v>837</v>
      </c>
      <c r="C61" s="977"/>
      <c r="D61" s="969"/>
      <c r="E61" s="546"/>
      <c r="F61" s="978"/>
      <c r="G61" s="979"/>
      <c r="H61" s="965"/>
    </row>
    <row r="62" spans="1:8" ht="23.1" customHeight="1" x14ac:dyDescent="0.25">
      <c r="A62" s="963">
        <f>A60+1</f>
        <v>39</v>
      </c>
      <c r="B62" s="990" t="s">
        <v>462</v>
      </c>
      <c r="C62" s="996" t="s">
        <v>463</v>
      </c>
      <c r="D62" s="970" t="str">
        <f>VLOOKUP($C62,'Chi tiet'!$D$8:$AC$396,4,0)</f>
        <v>A2</v>
      </c>
      <c r="E62" s="964" t="str">
        <f>VLOOKUP($C62,'Chi tiet'!$D$8:$AC$396,9,0)</f>
        <v>A2</v>
      </c>
      <c r="F62" s="978" t="str">
        <f>VLOOKUP($C62,'Chi tiet'!$D$8:$AC$396,14,0)</f>
        <v>A3</v>
      </c>
      <c r="G62" s="979" t="str">
        <f>VLOOKUP($C62,'Chi tiet'!$D$8:$AC$396,18,0)</f>
        <v>A3</v>
      </c>
      <c r="H62" s="965"/>
    </row>
    <row r="63" spans="1:8" ht="23.1" customHeight="1" x14ac:dyDescent="0.25">
      <c r="A63" s="992" t="s">
        <v>740</v>
      </c>
      <c r="B63" s="976" t="s">
        <v>838</v>
      </c>
      <c r="C63" s="977"/>
      <c r="D63" s="969"/>
      <c r="E63" s="546"/>
      <c r="F63" s="978"/>
      <c r="G63" s="979"/>
      <c r="H63" s="965"/>
    </row>
    <row r="64" spans="1:8" ht="23.1" customHeight="1" x14ac:dyDescent="0.25">
      <c r="A64" s="963">
        <f>A62+1</f>
        <v>40</v>
      </c>
      <c r="B64" s="188" t="s">
        <v>356</v>
      </c>
      <c r="C64" s="987" t="s">
        <v>65</v>
      </c>
      <c r="D64" s="970" t="str">
        <f>VLOOKUP($C64,'Chi tiet'!$D$8:$AC$396,4,0)</f>
        <v>A1</v>
      </c>
      <c r="E64" s="964" t="str">
        <f>VLOOKUP($C64,'Chi tiet'!$D$8:$AC$396,9,0)</f>
        <v>A1</v>
      </c>
      <c r="F64" s="978" t="str">
        <f>VLOOKUP($C64,'Chi tiet'!$D$8:$AC$396,14,0)</f>
        <v>A1</v>
      </c>
      <c r="G64" s="979" t="str">
        <f>VLOOKUP($C64,'Chi tiet'!$D$8:$AC$396,18,0)</f>
        <v>A1</v>
      </c>
      <c r="H64" s="965"/>
    </row>
    <row r="65" spans="1:8" ht="23.1" customHeight="1" x14ac:dyDescent="0.25">
      <c r="A65" s="992" t="s">
        <v>741</v>
      </c>
      <c r="B65" s="976" t="s">
        <v>839</v>
      </c>
      <c r="C65" s="977"/>
      <c r="D65" s="969"/>
      <c r="E65" s="546"/>
      <c r="F65" s="978"/>
      <c r="G65" s="979"/>
      <c r="H65" s="965"/>
    </row>
    <row r="66" spans="1:8" ht="23.1" customHeight="1" x14ac:dyDescent="0.25">
      <c r="A66" s="963">
        <f>A64+1</f>
        <v>41</v>
      </c>
      <c r="B66" s="188" t="s">
        <v>441</v>
      </c>
      <c r="C66" s="996" t="s">
        <v>677</v>
      </c>
      <c r="D66" s="970" t="str">
        <f>VLOOKUP($C66,'Chi tiet'!$D$8:$AC$396,4,0)</f>
        <v>A2</v>
      </c>
      <c r="E66" s="964" t="str">
        <f>VLOOKUP($C66,'Chi tiet'!$D$8:$AC$396,9,0)</f>
        <v>A2</v>
      </c>
      <c r="F66" s="978" t="str">
        <f>VLOOKUP($C66,'Chi tiet'!$D$8:$AC$396,14,0)</f>
        <v>A1</v>
      </c>
      <c r="G66" s="979" t="str">
        <f>VLOOKUP($C66,'Chi tiet'!$D$8:$AC$396,18,0)</f>
        <v>A1</v>
      </c>
      <c r="H66" s="965"/>
    </row>
    <row r="67" spans="1:8" ht="23.1" customHeight="1" x14ac:dyDescent="0.25">
      <c r="A67" s="992" t="s">
        <v>742</v>
      </c>
      <c r="B67" s="976" t="s">
        <v>840</v>
      </c>
      <c r="C67" s="977"/>
      <c r="D67" s="969"/>
      <c r="E67" s="546"/>
      <c r="F67" s="978"/>
      <c r="G67" s="979"/>
      <c r="H67" s="965"/>
    </row>
    <row r="68" spans="1:8" ht="23.1" customHeight="1" x14ac:dyDescent="0.25">
      <c r="A68" s="963">
        <f>A66+1</f>
        <v>42</v>
      </c>
      <c r="B68" s="986" t="s">
        <v>444</v>
      </c>
      <c r="C68" s="1006" t="s">
        <v>609</v>
      </c>
      <c r="D68" s="970" t="str">
        <f>VLOOKUP($C68,'Chi tiet'!$D$8:$AC$396,4,0)</f>
        <v>A2</v>
      </c>
      <c r="E68" s="964" t="str">
        <f>VLOOKUP($C68,'Chi tiet'!$D$8:$AC$396,9,0)</f>
        <v>A4</v>
      </c>
      <c r="F68" s="978" t="str">
        <f>VLOOKUP($C68,'Chi tiet'!$D$8:$AC$396,14,0)</f>
        <v>A3</v>
      </c>
      <c r="G68" s="979" t="str">
        <f>VLOOKUP($C68,'Chi tiet'!$D$8:$AC$396,18,0)</f>
        <v>A3</v>
      </c>
      <c r="H68" s="965"/>
    </row>
    <row r="69" spans="1:8" ht="23.1" customHeight="1" x14ac:dyDescent="0.25">
      <c r="A69" s="992" t="s">
        <v>1096</v>
      </c>
      <c r="B69" s="976" t="s">
        <v>841</v>
      </c>
      <c r="C69" s="977"/>
      <c r="D69" s="969"/>
      <c r="E69" s="546"/>
      <c r="F69" s="978"/>
      <c r="G69" s="979"/>
      <c r="H69" s="965"/>
    </row>
    <row r="70" spans="1:8" ht="23.1" customHeight="1" x14ac:dyDescent="0.25">
      <c r="A70" s="963">
        <f>A68+1</f>
        <v>43</v>
      </c>
      <c r="B70" s="990" t="s">
        <v>446</v>
      </c>
      <c r="C70" s="995" t="s">
        <v>611</v>
      </c>
      <c r="D70" s="970" t="str">
        <f>VLOOKUP($C70,'Chi tiet'!$D$8:$AC$396,4,0)</f>
        <v>A2</v>
      </c>
      <c r="E70" s="964" t="str">
        <f>VLOOKUP($C70,'Chi tiet'!$D$8:$AC$396,9,0)</f>
        <v>A4</v>
      </c>
      <c r="F70" s="978" t="str">
        <f>VLOOKUP($C70,'Chi tiet'!$D$8:$AC$396,14,0)</f>
        <v>A3</v>
      </c>
      <c r="G70" s="979" t="str">
        <f>VLOOKUP($C70,'Chi tiet'!$D$8:$AC$396,18,0)</f>
        <v>A2</v>
      </c>
      <c r="H70" s="965"/>
    </row>
  </sheetData>
  <mergeCells count="1">
    <mergeCell ref="A1:H1"/>
  </mergeCells>
  <pageMargins left="0.38" right="0.39" top="0.42" bottom="0.34" header="0.23622047244094491" footer="0.16"/>
  <pageSetup paperSize="9"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BO857"/>
  <sheetViews>
    <sheetView showZeros="0" tabSelected="1" topLeftCell="A4" zoomScaleNormal="100" zoomScaleSheetLayoutView="50" workbookViewId="0">
      <pane xSplit="17" ySplit="3" topLeftCell="R7" activePane="bottomRight" state="frozen"/>
      <selection activeCell="A4" sqref="A4"/>
      <selection pane="topRight" activeCell="R4" sqref="R4"/>
      <selection pane="bottomLeft" activeCell="A7" sqref="A7"/>
      <selection pane="bottomRight" activeCell="U8" sqref="U8"/>
    </sheetView>
  </sheetViews>
  <sheetFormatPr defaultRowHeight="15.75" x14ac:dyDescent="0.25"/>
  <cols>
    <col min="1" max="1" width="7.7109375" style="59" bestFit="1" customWidth="1"/>
    <col min="2" max="2" width="7.7109375" style="59" hidden="1" customWidth="1"/>
    <col min="3" max="3" width="19.42578125" style="59" customWidth="1"/>
    <col min="4" max="4" width="13.7109375" style="60" hidden="1" customWidth="1"/>
    <col min="5" max="6" width="13.140625" style="60" hidden="1" customWidth="1"/>
    <col min="7" max="7" width="8.5703125" style="60" customWidth="1"/>
    <col min="8" max="8" width="26.85546875" style="58" hidden="1" customWidth="1"/>
    <col min="9" max="9" width="27" style="229" hidden="1" customWidth="1"/>
    <col min="10" max="10" width="27" style="58" hidden="1" customWidth="1"/>
    <col min="11" max="11" width="20" style="58" hidden="1" customWidth="1"/>
    <col min="12" max="12" width="11.85546875" style="60" customWidth="1"/>
    <col min="13" max="13" width="23.5703125" style="58" customWidth="1"/>
    <col min="14" max="15" width="9" style="60" hidden="1" customWidth="1"/>
    <col min="16" max="16" width="9.140625" style="60" customWidth="1"/>
    <col min="17" max="17" width="8.7109375" style="251" customWidth="1"/>
    <col min="18" max="18" width="28.28515625" style="60" customWidth="1"/>
    <col min="19" max="20" width="10.28515625" style="60" hidden="1" customWidth="1"/>
    <col min="21" max="21" width="10.28515625" style="60" customWidth="1"/>
    <col min="22" max="22" width="26.28515625" style="60" customWidth="1"/>
    <col min="23" max="23" width="9.7109375" style="60" hidden="1" customWidth="1"/>
    <col min="24" max="24" width="18.28515625" style="60" hidden="1" customWidth="1"/>
    <col min="25" max="25" width="10.42578125" style="60" hidden="1" customWidth="1"/>
    <col min="26" max="26" width="26" style="58" customWidth="1"/>
    <col min="27" max="27" width="20.5703125" style="58" customWidth="1"/>
    <col min="28" max="28" width="7.28515625" style="241" customWidth="1"/>
    <col min="29" max="29" width="24.140625" style="241" customWidth="1"/>
    <col min="30" max="30" width="19.5703125" style="198" hidden="1" customWidth="1"/>
    <col min="31" max="31" width="19" style="59" customWidth="1"/>
    <col min="32" max="32" width="8.7109375" style="59" customWidth="1"/>
    <col min="33" max="33" width="9.42578125" style="59" customWidth="1"/>
    <col min="34" max="34" width="12" style="60" customWidth="1"/>
    <col min="35" max="35" width="12.85546875" style="60" customWidth="1"/>
    <col min="36" max="36" width="9.140625" style="59" customWidth="1"/>
    <col min="37" max="37" width="15.42578125" style="59" customWidth="1"/>
    <col min="38" max="38" width="10.28515625" style="59" customWidth="1"/>
    <col min="39" max="45" width="9.140625" style="59" customWidth="1"/>
    <col min="46" max="46" width="10.140625" style="59" customWidth="1"/>
    <col min="47" max="55" width="9.140625" style="59" customWidth="1"/>
    <col min="56" max="56" width="13" style="60" customWidth="1"/>
    <col min="57" max="57" width="10.140625" style="59" customWidth="1"/>
    <col min="58" max="58" width="12.7109375" style="60" customWidth="1"/>
    <col min="59" max="59" width="17.5703125" style="60" customWidth="1"/>
    <col min="60" max="65" width="9.140625" style="59" customWidth="1"/>
    <col min="66" max="66" width="11" style="59" customWidth="1"/>
    <col min="67" max="67" width="12.42578125" style="59" customWidth="1"/>
    <col min="68" max="83" width="9.140625" style="59" customWidth="1"/>
    <col min="84" max="16384" width="9.140625" style="59"/>
  </cols>
  <sheetData>
    <row r="1" spans="1:59" ht="66" customHeight="1" x14ac:dyDescent="0.25">
      <c r="A1" s="1374" t="s">
        <v>460</v>
      </c>
      <c r="B1" s="1374"/>
      <c r="C1" s="1374"/>
      <c r="D1" s="1374"/>
      <c r="E1" s="1374"/>
      <c r="F1" s="1374"/>
      <c r="G1" s="1374"/>
      <c r="H1" s="1374"/>
      <c r="I1" s="1374"/>
      <c r="J1" s="1374"/>
      <c r="K1" s="1374"/>
      <c r="L1" s="1374"/>
      <c r="M1" s="1374"/>
      <c r="N1" s="57"/>
      <c r="O1" s="57"/>
      <c r="P1" s="121"/>
      <c r="Q1" s="121"/>
      <c r="R1" s="121"/>
      <c r="S1" s="121"/>
      <c r="T1" s="121"/>
      <c r="U1" s="121"/>
      <c r="V1" s="252"/>
      <c r="W1" s="121"/>
      <c r="X1" s="121"/>
      <c r="Y1" s="252"/>
      <c r="Z1" s="1374" t="s">
        <v>785</v>
      </c>
      <c r="AA1" s="1374"/>
      <c r="AB1" s="1374"/>
      <c r="AC1" s="1374"/>
      <c r="AD1" s="252"/>
    </row>
    <row r="2" spans="1:59" ht="33.75" customHeight="1" x14ac:dyDescent="0.25">
      <c r="A2" s="1377" t="s">
        <v>1139</v>
      </c>
      <c r="B2" s="1377"/>
      <c r="C2" s="1377"/>
      <c r="D2" s="1377"/>
      <c r="E2" s="1377"/>
      <c r="F2" s="1377"/>
      <c r="G2" s="1377"/>
      <c r="H2" s="1377"/>
      <c r="I2" s="1377"/>
      <c r="J2" s="1377"/>
      <c r="K2" s="1377"/>
      <c r="L2" s="1377"/>
      <c r="M2" s="1377"/>
      <c r="N2" s="1377"/>
      <c r="O2" s="1377"/>
      <c r="P2" s="1377"/>
      <c r="Q2" s="1377"/>
      <c r="R2" s="1377"/>
      <c r="S2" s="1377"/>
      <c r="T2" s="1377"/>
      <c r="U2" s="1377"/>
      <c r="V2" s="1377"/>
      <c r="W2" s="1377"/>
      <c r="X2" s="1377"/>
      <c r="Y2" s="1377"/>
      <c r="Z2" s="1377"/>
      <c r="AA2" s="1377"/>
      <c r="AB2" s="1377"/>
      <c r="AC2" s="1377"/>
      <c r="AD2" s="1377"/>
    </row>
    <row r="3" spans="1:59" ht="24.75" hidden="1" customHeight="1" x14ac:dyDescent="0.25">
      <c r="A3" s="60"/>
      <c r="B3" s="60"/>
      <c r="C3" s="61"/>
      <c r="D3" s="60">
        <v>1</v>
      </c>
      <c r="E3" s="60">
        <v>2</v>
      </c>
      <c r="F3" s="60">
        <v>3</v>
      </c>
      <c r="G3" s="60">
        <v>4</v>
      </c>
      <c r="H3" s="60">
        <v>5</v>
      </c>
      <c r="I3" s="60">
        <v>6</v>
      </c>
      <c r="J3" s="60">
        <v>7</v>
      </c>
      <c r="K3" s="60">
        <v>8</v>
      </c>
      <c r="L3" s="60">
        <v>9</v>
      </c>
      <c r="M3" s="60">
        <v>10</v>
      </c>
      <c r="N3" s="60">
        <v>11</v>
      </c>
      <c r="O3" s="60">
        <v>12</v>
      </c>
      <c r="P3" s="60">
        <v>13</v>
      </c>
      <c r="Q3" s="60">
        <v>14</v>
      </c>
      <c r="R3" s="60">
        <v>15</v>
      </c>
      <c r="S3" s="60">
        <v>16</v>
      </c>
      <c r="T3" s="60">
        <v>17</v>
      </c>
      <c r="U3" s="60">
        <v>18</v>
      </c>
      <c r="V3" s="60">
        <v>19</v>
      </c>
      <c r="W3" s="60">
        <v>20</v>
      </c>
      <c r="X3" s="60">
        <v>21</v>
      </c>
      <c r="Y3" s="60">
        <v>22</v>
      </c>
    </row>
    <row r="4" spans="1:59" s="60" customFormat="1" ht="54.75" customHeight="1" x14ac:dyDescent="0.25">
      <c r="A4" s="1376" t="s">
        <v>64</v>
      </c>
      <c r="B4" s="1376" t="s">
        <v>64</v>
      </c>
      <c r="C4" s="1376" t="s">
        <v>461</v>
      </c>
      <c r="D4" s="1376" t="s">
        <v>62</v>
      </c>
      <c r="E4" s="1357" t="s">
        <v>951</v>
      </c>
      <c r="F4" s="1358"/>
      <c r="G4" s="1387" t="s">
        <v>787</v>
      </c>
      <c r="H4" s="1386" t="s">
        <v>789</v>
      </c>
      <c r="I4" s="1386"/>
      <c r="J4" s="1386"/>
      <c r="K4" s="1352" t="s">
        <v>778</v>
      </c>
      <c r="L4" s="1384" t="s">
        <v>794</v>
      </c>
      <c r="M4" s="1384"/>
      <c r="N4" s="1384"/>
      <c r="O4" s="1384"/>
      <c r="P4" s="1367" t="s">
        <v>9</v>
      </c>
      <c r="Q4" s="1367"/>
      <c r="R4" s="1367"/>
      <c r="S4" s="1378" t="s">
        <v>9</v>
      </c>
      <c r="T4" s="1379"/>
      <c r="U4" s="1343" t="s">
        <v>617</v>
      </c>
      <c r="V4" s="1343"/>
      <c r="W4" s="1369" t="s">
        <v>800</v>
      </c>
      <c r="X4" s="1369"/>
      <c r="Y4" s="1375" t="s">
        <v>109</v>
      </c>
      <c r="Z4" s="1376" t="s">
        <v>8</v>
      </c>
      <c r="AA4" s="1376" t="s">
        <v>553</v>
      </c>
      <c r="AB4" s="1342" t="s">
        <v>798</v>
      </c>
      <c r="AC4" s="1342"/>
      <c r="AD4" s="1370" t="s">
        <v>778</v>
      </c>
      <c r="AE4" s="1366" t="s">
        <v>806</v>
      </c>
      <c r="AF4" s="1118"/>
      <c r="AG4" s="601"/>
      <c r="AH4" s="601"/>
      <c r="AI4" s="601"/>
    </row>
    <row r="5" spans="1:59" s="60" customFormat="1" ht="27" hidden="1" customHeight="1" x14ac:dyDescent="0.25">
      <c r="A5" s="1376"/>
      <c r="B5" s="1376"/>
      <c r="C5" s="1376"/>
      <c r="D5" s="1376"/>
      <c r="E5" s="1359"/>
      <c r="F5" s="1360"/>
      <c r="G5" s="1387"/>
      <c r="H5" s="240"/>
      <c r="I5" s="559"/>
      <c r="J5" s="240"/>
      <c r="K5" s="1352"/>
      <c r="L5" s="1341" t="s">
        <v>63</v>
      </c>
      <c r="M5" s="1341" t="s">
        <v>1</v>
      </c>
      <c r="N5" s="1385" t="s">
        <v>801</v>
      </c>
      <c r="O5" s="1385"/>
      <c r="P5" s="1367" t="s">
        <v>792</v>
      </c>
      <c r="Q5" s="1368" t="s">
        <v>793</v>
      </c>
      <c r="R5" s="1367" t="s">
        <v>1</v>
      </c>
      <c r="S5" s="1380"/>
      <c r="T5" s="1381"/>
      <c r="U5" s="1343" t="s">
        <v>63</v>
      </c>
      <c r="V5" s="1343" t="s">
        <v>1</v>
      </c>
      <c r="W5" s="1369"/>
      <c r="X5" s="1369"/>
      <c r="Y5" s="1375"/>
      <c r="Z5" s="1376"/>
      <c r="AA5" s="1376"/>
      <c r="AB5" s="1342" t="s">
        <v>63</v>
      </c>
      <c r="AC5" s="1342" t="s">
        <v>788</v>
      </c>
      <c r="AD5" s="1371"/>
      <c r="AE5" s="1366"/>
      <c r="AF5" s="1118"/>
      <c r="AG5" s="601"/>
      <c r="AH5" s="601"/>
      <c r="AI5" s="601"/>
    </row>
    <row r="6" spans="1:59" s="60" customFormat="1" ht="68.25" customHeight="1" x14ac:dyDescent="0.25">
      <c r="A6" s="1376"/>
      <c r="B6" s="1376"/>
      <c r="C6" s="1376"/>
      <c r="D6" s="1376"/>
      <c r="E6" s="1361"/>
      <c r="F6" s="1362"/>
      <c r="G6" s="1387"/>
      <c r="H6" s="240" t="s">
        <v>82</v>
      </c>
      <c r="I6" s="240" t="s">
        <v>84</v>
      </c>
      <c r="J6" s="240" t="s">
        <v>85</v>
      </c>
      <c r="K6" s="1352"/>
      <c r="L6" s="1341"/>
      <c r="M6" s="1341"/>
      <c r="N6" s="502" t="s">
        <v>110</v>
      </c>
      <c r="O6" s="502" t="s">
        <v>111</v>
      </c>
      <c r="P6" s="1367"/>
      <c r="Q6" s="1368"/>
      <c r="R6" s="1367"/>
      <c r="S6" s="1382"/>
      <c r="T6" s="1383"/>
      <c r="U6" s="1343"/>
      <c r="V6" s="1343"/>
      <c r="W6" s="336" t="s">
        <v>110</v>
      </c>
      <c r="X6" s="336" t="s">
        <v>111</v>
      </c>
      <c r="Y6" s="1375"/>
      <c r="Z6" s="1376"/>
      <c r="AA6" s="1376"/>
      <c r="AB6" s="1342"/>
      <c r="AC6" s="1342"/>
      <c r="AD6" s="1372"/>
      <c r="AE6" s="1366"/>
      <c r="AF6" s="1118"/>
      <c r="AG6" s="601"/>
      <c r="AH6" s="601"/>
      <c r="AI6" s="601"/>
      <c r="BF6" s="60" t="s">
        <v>866</v>
      </c>
      <c r="BG6" s="60" t="s">
        <v>868</v>
      </c>
    </row>
    <row r="7" spans="1:59" ht="30" customHeight="1" x14ac:dyDescent="0.25">
      <c r="A7" s="62" t="s">
        <v>721</v>
      </c>
      <c r="B7" s="62" t="s">
        <v>721</v>
      </c>
      <c r="C7" s="64" t="s">
        <v>44</v>
      </c>
      <c r="D7" s="62"/>
      <c r="E7" s="725"/>
      <c r="F7" s="725"/>
      <c r="G7" s="280">
        <f>COUNTA($L$8:$L$11)</f>
        <v>4</v>
      </c>
      <c r="H7" s="235"/>
      <c r="I7" s="235"/>
      <c r="J7" s="235"/>
      <c r="K7" s="235"/>
      <c r="L7" s="500">
        <f>COUNTA($L$8:$L$11)</f>
        <v>4</v>
      </c>
      <c r="M7" s="286" t="str">
        <f xml:space="preserve"> (COUNTIF($L$8:$L$11, "A1") &amp; "A1")</f>
        <v>4A1</v>
      </c>
      <c r="N7" s="500"/>
      <c r="O7" s="500"/>
      <c r="P7" s="311">
        <f>COUNTA($Q$8:$Q$11)</f>
        <v>4</v>
      </c>
      <c r="Q7" s="340">
        <f>COUNTA($Q$8:$Q$11)</f>
        <v>4</v>
      </c>
      <c r="R7" s="312" t="str">
        <f xml:space="preserve"> (COUNTIF($Q$8:$Q$11, "A1") &amp; "A1")</f>
        <v>4A1</v>
      </c>
      <c r="S7" s="661"/>
      <c r="T7" s="661"/>
      <c r="U7" s="174">
        <f>COUNTA($U$8:$U$11)</f>
        <v>4</v>
      </c>
      <c r="V7" s="175" t="str">
        <f xml:space="preserve"> (COUNTIF($U$8:$U$11, "A1") &amp; "A1")</f>
        <v>4A1</v>
      </c>
      <c r="W7" s="501"/>
      <c r="X7" s="501"/>
      <c r="Y7" s="556"/>
      <c r="Z7" s="95"/>
      <c r="AA7" s="95"/>
      <c r="AB7" s="242"/>
      <c r="AC7" s="250"/>
      <c r="AD7" s="213"/>
      <c r="BF7" s="60">
        <f>COUNTIF($BE$8:$BE$11,"CBQL")</f>
        <v>4</v>
      </c>
      <c r="BG7" s="60">
        <f>COUNTIF($BE$8:$BE$11,"GV") + COUNTIF($BE$8:$BE$11,"NV")</f>
        <v>0</v>
      </c>
    </row>
    <row r="8" spans="1:59" ht="28.5" customHeight="1" x14ac:dyDescent="0.25">
      <c r="A8" s="63">
        <f>IF(D8="","",SUBTOTAL(3,$D$8:D8))</f>
        <v>1</v>
      </c>
      <c r="B8" s="63" t="s">
        <v>5</v>
      </c>
      <c r="C8" s="10" t="s">
        <v>394</v>
      </c>
      <c r="D8" s="63" t="s">
        <v>711</v>
      </c>
      <c r="E8" s="652"/>
      <c r="F8" s="652"/>
      <c r="G8" s="281" t="s">
        <v>82</v>
      </c>
      <c r="H8" s="234"/>
      <c r="I8" s="234"/>
      <c r="J8" s="234"/>
      <c r="K8" s="234"/>
      <c r="L8" s="287" t="s">
        <v>82</v>
      </c>
      <c r="M8" s="288"/>
      <c r="N8" s="287"/>
      <c r="O8" s="287"/>
      <c r="P8" s="313" t="s">
        <v>82</v>
      </c>
      <c r="Q8" s="341" t="s">
        <v>82</v>
      </c>
      <c r="R8" s="315"/>
      <c r="S8" s="662"/>
      <c r="T8" s="662"/>
      <c r="U8" s="176" t="str">
        <f>Q8</f>
        <v>A1</v>
      </c>
      <c r="V8" s="177"/>
      <c r="W8" s="314"/>
      <c r="X8" s="314"/>
      <c r="Y8" s="63"/>
      <c r="Z8" s="4"/>
      <c r="AA8" s="4"/>
      <c r="AB8" s="242"/>
      <c r="AC8" s="250"/>
      <c r="AD8" s="213"/>
      <c r="BD8" s="60" t="s">
        <v>869</v>
      </c>
      <c r="BE8" s="60" t="s">
        <v>866</v>
      </c>
      <c r="BG8" s="60">
        <f>COUNTIF($BE$8:$BE$11,"GV")</f>
        <v>0</v>
      </c>
    </row>
    <row r="9" spans="1:59" ht="27.75" customHeight="1" x14ac:dyDescent="0.25">
      <c r="A9" s="63">
        <f>IF(D9="","",SUBTOTAL(3,$D$8:D9))</f>
        <v>2</v>
      </c>
      <c r="B9" s="63" t="s">
        <v>6</v>
      </c>
      <c r="C9" s="10" t="s">
        <v>395</v>
      </c>
      <c r="D9" s="63" t="s">
        <v>712</v>
      </c>
      <c r="E9" s="652"/>
      <c r="F9" s="652"/>
      <c r="G9" s="281" t="s">
        <v>82</v>
      </c>
      <c r="H9" s="234"/>
      <c r="I9" s="234"/>
      <c r="J9" s="234"/>
      <c r="K9" s="234"/>
      <c r="L9" s="287" t="s">
        <v>82</v>
      </c>
      <c r="M9" s="288"/>
      <c r="N9" s="287"/>
      <c r="O9" s="287"/>
      <c r="P9" s="313" t="s">
        <v>82</v>
      </c>
      <c r="Q9" s="341" t="s">
        <v>82</v>
      </c>
      <c r="R9" s="315"/>
      <c r="S9" s="662"/>
      <c r="T9" s="662"/>
      <c r="U9" s="176" t="str">
        <f>Q9</f>
        <v>A1</v>
      </c>
      <c r="V9" s="177"/>
      <c r="W9" s="314"/>
      <c r="X9" s="314"/>
      <c r="Y9" s="63"/>
      <c r="Z9" s="4"/>
      <c r="AA9" s="4"/>
      <c r="AB9" s="242"/>
      <c r="AC9" s="250"/>
      <c r="AD9" s="213"/>
      <c r="AG9" s="59">
        <v>27</v>
      </c>
      <c r="AH9" s="60">
        <v>23</v>
      </c>
      <c r="BD9" s="60" t="s">
        <v>869</v>
      </c>
      <c r="BE9" s="60" t="s">
        <v>866</v>
      </c>
      <c r="BF9" s="59"/>
      <c r="BG9" s="59"/>
    </row>
    <row r="10" spans="1:59" ht="27.75" customHeight="1" x14ac:dyDescent="0.25">
      <c r="A10" s="63">
        <f>IF(D10="","",SUBTOTAL(3,$D$8:D10))</f>
        <v>3</v>
      </c>
      <c r="B10" s="63" t="s">
        <v>10</v>
      </c>
      <c r="C10" s="10" t="s">
        <v>396</v>
      </c>
      <c r="D10" s="63" t="s">
        <v>713</v>
      </c>
      <c r="E10" s="652"/>
      <c r="F10" s="652"/>
      <c r="G10" s="281" t="s">
        <v>82</v>
      </c>
      <c r="H10" s="234"/>
      <c r="I10" s="234"/>
      <c r="J10" s="234"/>
      <c r="K10" s="234"/>
      <c r="L10" s="287" t="s">
        <v>82</v>
      </c>
      <c r="M10" s="288"/>
      <c r="N10" s="287"/>
      <c r="O10" s="287"/>
      <c r="P10" s="313" t="s">
        <v>82</v>
      </c>
      <c r="Q10" s="341" t="s">
        <v>82</v>
      </c>
      <c r="R10" s="315"/>
      <c r="S10" s="662"/>
      <c r="T10" s="662"/>
      <c r="U10" s="176" t="str">
        <f>Q10</f>
        <v>A1</v>
      </c>
      <c r="V10" s="177"/>
      <c r="W10" s="314"/>
      <c r="X10" s="314"/>
      <c r="Y10" s="63"/>
      <c r="Z10" s="4"/>
      <c r="AA10" s="4"/>
      <c r="AB10" s="242"/>
      <c r="AC10" s="250"/>
      <c r="AD10" s="213"/>
      <c r="BD10" s="60" t="s">
        <v>869</v>
      </c>
      <c r="BE10" s="60" t="s">
        <v>866</v>
      </c>
      <c r="BF10" s="59"/>
      <c r="BG10" s="59"/>
    </row>
    <row r="11" spans="1:59" ht="27.75" customHeight="1" x14ac:dyDescent="0.25">
      <c r="A11" s="63">
        <f>IF(D11="","",SUBTOTAL(3,$D$8:D11))</f>
        <v>4</v>
      </c>
      <c r="B11" s="63" t="s">
        <v>11</v>
      </c>
      <c r="C11" s="10" t="s">
        <v>397</v>
      </c>
      <c r="D11" s="63" t="s">
        <v>714</v>
      </c>
      <c r="E11" s="652"/>
      <c r="F11" s="652"/>
      <c r="G11" s="281" t="s">
        <v>82</v>
      </c>
      <c r="H11" s="234"/>
      <c r="I11" s="234"/>
      <c r="J11" s="234"/>
      <c r="K11" s="234"/>
      <c r="L11" s="287" t="s">
        <v>82</v>
      </c>
      <c r="M11" s="288"/>
      <c r="N11" s="287"/>
      <c r="O11" s="287"/>
      <c r="P11" s="313" t="s">
        <v>82</v>
      </c>
      <c r="Q11" s="341" t="s">
        <v>82</v>
      </c>
      <c r="R11" s="315"/>
      <c r="S11" s="662"/>
      <c r="T11" s="662"/>
      <c r="U11" s="176" t="str">
        <f>Q11</f>
        <v>A1</v>
      </c>
      <c r="V11" s="177"/>
      <c r="W11" s="314"/>
      <c r="X11" s="314"/>
      <c r="Y11" s="63"/>
      <c r="Z11" s="4"/>
      <c r="AA11" s="4"/>
      <c r="AB11" s="242"/>
      <c r="AC11" s="250"/>
      <c r="AD11" s="213"/>
      <c r="AK11" s="1327" t="s">
        <v>906</v>
      </c>
      <c r="AL11" s="1327"/>
      <c r="AM11" s="1327"/>
      <c r="AN11" s="1327"/>
      <c r="AO11" s="1327"/>
      <c r="AP11" s="1327"/>
      <c r="AQ11" s="1327"/>
      <c r="AR11" s="1327"/>
      <c r="AS11" s="1327"/>
      <c r="AT11" s="1327"/>
      <c r="AU11" s="1327"/>
      <c r="AV11" s="1327"/>
      <c r="AW11" s="1327"/>
      <c r="AX11" s="1327"/>
      <c r="AY11" s="1327"/>
      <c r="AZ11" s="1327"/>
      <c r="BA11" s="1327"/>
      <c r="BB11" s="1327"/>
      <c r="BD11" s="60" t="s">
        <v>869</v>
      </c>
      <c r="BE11" s="60" t="s">
        <v>866</v>
      </c>
      <c r="BF11" s="59"/>
      <c r="BG11" s="59"/>
    </row>
    <row r="12" spans="1:59" ht="35.25" customHeight="1" x14ac:dyDescent="0.25">
      <c r="A12" s="62" t="s">
        <v>722</v>
      </c>
      <c r="B12" s="62" t="s">
        <v>722</v>
      </c>
      <c r="C12" s="64" t="s">
        <v>786</v>
      </c>
      <c r="D12" s="62"/>
      <c r="E12" s="691" t="s">
        <v>949</v>
      </c>
      <c r="F12" s="691" t="s">
        <v>950</v>
      </c>
      <c r="G12" s="280">
        <f>$L$13+$L$19</f>
        <v>9</v>
      </c>
      <c r="H12" s="234"/>
      <c r="I12" s="234"/>
      <c r="J12" s="234"/>
      <c r="K12" s="234"/>
      <c r="L12" s="500">
        <f>$L$13+$L$19</f>
        <v>9</v>
      </c>
      <c r="M12" s="286" t="str">
        <f xml:space="preserve"> (COUNTIF($L14:$L23, "A1") &amp; "A1")&amp;" + "&amp; (COUNTIF($L14:$L23, "A2") &amp; "A2")&amp;" + "&amp; (COUNTIF($L14:$L23, "A3") &amp; "A3")&amp;" + "&amp; (COUNTIF($L14:$L23, "A4") &amp; "A4")</f>
        <v>3A1 + 5A2 + 0A3 + 1A4</v>
      </c>
      <c r="N12" s="500"/>
      <c r="O12" s="500"/>
      <c r="P12" s="311">
        <f>$Q$13+$Q$19</f>
        <v>9</v>
      </c>
      <c r="Q12" s="340">
        <f>$Q$13+$Q$19</f>
        <v>9</v>
      </c>
      <c r="R12" s="312" t="str">
        <f xml:space="preserve"> (COUNTIF($Q14:$Q23, "A1") &amp; "A1")&amp;" + "&amp; (COUNTIF($Q14:$Q23, "A2") &amp; "A2")&amp;" + "&amp; (COUNTIF($Q14:$Q23, "A3") &amp; "A3")&amp;" + "&amp; (COUNTIF($Q14:$Q23, "A4") &amp; "A4")</f>
        <v>7A1 + 1A2 + 1A3 + 0A4</v>
      </c>
      <c r="S12" s="691" t="s">
        <v>949</v>
      </c>
      <c r="T12" s="691" t="s">
        <v>950</v>
      </c>
      <c r="U12" s="174">
        <f>$U$13+$U$19</f>
        <v>9</v>
      </c>
      <c r="V12" s="175" t="str">
        <f xml:space="preserve"> (COUNTIF($U14:$U23, "A1") &amp; "A1")&amp;" + "&amp; (COUNTIF($U14:$U23, "A2") &amp; "A2")&amp;" + "&amp; (COUNTIF($U14:$U23, "A3") &amp; "A3")&amp;" + "&amp; (COUNTIF($U14:$U23, "A4") &amp; "A4")</f>
        <v>7A1 + 1A2 + 1A3 + 0A4</v>
      </c>
      <c r="W12" s="501"/>
      <c r="X12" s="501"/>
      <c r="Y12" s="556"/>
      <c r="Z12" s="95"/>
      <c r="AA12" s="95"/>
      <c r="AB12" s="242"/>
      <c r="AC12" s="1332"/>
      <c r="AD12" s="1332"/>
      <c r="AG12" s="1328" t="s">
        <v>915</v>
      </c>
      <c r="AH12" s="1328"/>
      <c r="AI12" s="1328"/>
      <c r="AK12" s="598" t="s">
        <v>908</v>
      </c>
      <c r="AL12" s="598" t="s">
        <v>907</v>
      </c>
      <c r="AM12" s="1329" t="s">
        <v>897</v>
      </c>
      <c r="AN12" s="1329"/>
      <c r="AO12" s="1329" t="s">
        <v>898</v>
      </c>
      <c r="AP12" s="1329"/>
      <c r="AQ12" s="1329" t="s">
        <v>899</v>
      </c>
      <c r="AR12" s="1329"/>
      <c r="AS12" s="1329" t="s">
        <v>900</v>
      </c>
      <c r="AT12" s="1329"/>
      <c r="AU12" s="1329" t="s">
        <v>902</v>
      </c>
      <c r="AV12" s="1329"/>
      <c r="AW12" s="1329" t="s">
        <v>903</v>
      </c>
      <c r="AX12" s="1329"/>
      <c r="AY12" s="1329" t="s">
        <v>904</v>
      </c>
      <c r="AZ12" s="1329"/>
      <c r="BA12" s="1329" t="s">
        <v>905</v>
      </c>
      <c r="BB12" s="1329"/>
      <c r="BF12" s="60">
        <f>COUNTIF($BE$14:$BE$23,"CBQL")</f>
        <v>1</v>
      </c>
      <c r="BG12" s="60">
        <f>COUNTIF($BE$14:$BE$23,"GV") + COUNTIF($BE$14:$BE$23,"NV")</f>
        <v>8</v>
      </c>
    </row>
    <row r="13" spans="1:59" s="57" customFormat="1" ht="42" customHeight="1" x14ac:dyDescent="0.25">
      <c r="A13" s="65" t="s">
        <v>45</v>
      </c>
      <c r="B13" s="65" t="s">
        <v>45</v>
      </c>
      <c r="C13" s="66" t="s">
        <v>46</v>
      </c>
      <c r="D13" s="65"/>
      <c r="E13" s="692">
        <f>COUNTIF($L15:$L23,"A1")</f>
        <v>2</v>
      </c>
      <c r="F13" s="692">
        <f>COUNTIF($L13:$L23,"A2")</f>
        <v>5</v>
      </c>
      <c r="G13" s="280">
        <f>COUNTA($L14:$L18)</f>
        <v>5</v>
      </c>
      <c r="H13" s="234"/>
      <c r="I13" s="234"/>
      <c r="J13" s="234"/>
      <c r="K13" s="234"/>
      <c r="L13" s="500">
        <f>COUNTA($L14:$L18)</f>
        <v>5</v>
      </c>
      <c r="M13" s="286" t="str">
        <f xml:space="preserve"> (COUNTIF($L14:$L18, "A1") &amp; "A1")&amp;" + "&amp; (COUNTIF($L14:$L18, "A2") &amp; "A2")&amp;" + "&amp; (COUNTIF($L14:$L18, "A3") &amp; "A3")&amp;" + "&amp; (COUNTIF($L14:$L18, "A4") &amp; "A4")</f>
        <v>1A1 + 4A2 + 0A3 + 0A4</v>
      </c>
      <c r="N13" s="500"/>
      <c r="O13" s="500"/>
      <c r="P13" s="311">
        <f>COUNTA($Q14:$Q18)</f>
        <v>5</v>
      </c>
      <c r="Q13" s="340">
        <f>COUNTA($Q14:$Q18)</f>
        <v>5</v>
      </c>
      <c r="R13" s="312" t="str">
        <f xml:space="preserve"> (COUNTIF($Q14:$Q18, "A1") &amp; "A1")&amp;" + "&amp; (COUNTIF($Q14:$Q18, "A2") &amp; "A2")&amp;" + "&amp; (COUNTIF($Q14:$Q18, "A3") &amp; "A3")&amp;" + "&amp; (COUNTIF($Q14:$Q18,"A4") &amp; "A4")</f>
        <v>5A1 + 0A2 + 0A3 + 0A4</v>
      </c>
      <c r="S13" s="694">
        <f>COUNTIF($U15:$U23,"A1")</f>
        <v>6</v>
      </c>
      <c r="T13" s="694">
        <f>COUNTIF($U15:$U23,"A2")</f>
        <v>1</v>
      </c>
      <c r="U13" s="174">
        <f>COUNTA($U14:$U18)</f>
        <v>5</v>
      </c>
      <c r="V13" s="175" t="str">
        <f xml:space="preserve"> (COUNTIF($U14:$U18, "A1") &amp; "A1")&amp;" + "&amp; (COUNTIF($U14:$U18, "A2") &amp; "A2")&amp;" + "&amp; (COUNTIF($U14:$U18, "A3") &amp; "A3")&amp;" + "&amp; (COUNTIF($U14:$U18, "A4") &amp; "A4")</f>
        <v>5A1 + 0A2 + 0A3 + 0A4</v>
      </c>
      <c r="W13" s="501"/>
      <c r="X13" s="501"/>
      <c r="Y13" s="556"/>
      <c r="Z13" s="95"/>
      <c r="AA13" s="95"/>
      <c r="AB13" s="242"/>
      <c r="AC13" s="1333"/>
      <c r="AD13" s="1333"/>
      <c r="AE13" s="60"/>
      <c r="AF13" s="60"/>
      <c r="AG13" s="592" t="s">
        <v>845</v>
      </c>
      <c r="AH13" s="592"/>
      <c r="AI13" s="605">
        <f>AH13/$L$12</f>
        <v>0</v>
      </c>
      <c r="AJ13" s="59"/>
      <c r="AK13" s="594"/>
      <c r="AL13" s="595">
        <f>AL14+AL15</f>
        <v>9</v>
      </c>
      <c r="AM13" s="596" t="s">
        <v>896</v>
      </c>
      <c r="AN13" s="596" t="s">
        <v>844</v>
      </c>
      <c r="AO13" s="596" t="s">
        <v>896</v>
      </c>
      <c r="AP13" s="596" t="s">
        <v>844</v>
      </c>
      <c r="AQ13" s="596" t="s">
        <v>896</v>
      </c>
      <c r="AR13" s="596" t="s">
        <v>844</v>
      </c>
      <c r="AS13" s="596" t="s">
        <v>896</v>
      </c>
      <c r="AT13" s="596" t="s">
        <v>844</v>
      </c>
      <c r="AU13" s="596" t="s">
        <v>896</v>
      </c>
      <c r="AV13" s="596" t="s">
        <v>844</v>
      </c>
      <c r="AW13" s="596" t="s">
        <v>896</v>
      </c>
      <c r="AX13" s="596" t="s">
        <v>844</v>
      </c>
      <c r="AY13" s="596" t="s">
        <v>896</v>
      </c>
      <c r="AZ13" s="596" t="s">
        <v>844</v>
      </c>
      <c r="BA13" s="596" t="s">
        <v>896</v>
      </c>
      <c r="BB13" s="596" t="s">
        <v>844</v>
      </c>
      <c r="BD13" s="60"/>
      <c r="BE13" s="60"/>
    </row>
    <row r="14" spans="1:59" s="57" customFormat="1" ht="53.25" customHeight="1" x14ac:dyDescent="0.25">
      <c r="A14" s="63">
        <f>IF(D14="","",SUBTOTAL(3,$D$8:D14))</f>
        <v>5</v>
      </c>
      <c r="B14" s="63" t="s">
        <v>5</v>
      </c>
      <c r="C14" s="67" t="s">
        <v>452</v>
      </c>
      <c r="D14" s="255" t="s">
        <v>575</v>
      </c>
      <c r="E14" s="693">
        <f>E13/$AL$15</f>
        <v>0.25</v>
      </c>
      <c r="F14" s="693">
        <f>F13/AL15</f>
        <v>0.625</v>
      </c>
      <c r="G14" s="282" t="str">
        <f>IF($H14&lt;&gt;0,"A1",IF($I14&lt;&gt;0,"A2",IF($J14&lt;&gt;0,"A3","A4")))</f>
        <v>A1</v>
      </c>
      <c r="H14" s="738" t="s">
        <v>985</v>
      </c>
      <c r="I14" s="737" t="s">
        <v>965</v>
      </c>
      <c r="J14" s="737" t="s">
        <v>954</v>
      </c>
      <c r="K14" s="234"/>
      <c r="L14" s="289" t="s">
        <v>82</v>
      </c>
      <c r="M14" s="290" t="s">
        <v>1142</v>
      </c>
      <c r="N14" s="291">
        <f>IFERROR(VLOOKUP($D14,'P.KH-TC'!$C$10:$AA$19,12,0),0)</f>
        <v>5</v>
      </c>
      <c r="O14" s="291">
        <f>IFERROR(VLOOKUP($D14,'P.KH-TC'!$C$10:$AA$19,24,0),0)</f>
        <v>6</v>
      </c>
      <c r="P14" s="313" t="str">
        <f>IF(AND($W14&gt;=2,$X14&gt;=3,$Y14&gt;=1,H14&lt;&gt;0),"A1",IF(AND($W14&gt;=3,$X14&gt;=1,$Y14&gt;=1,H14&lt;&gt;0),"A1",IF(AND($W14&gt;=4,$X14&gt;=0,$Y14&gt;=1,H14&lt;&gt;0),"A1",IF(AND($W14&gt;=2,$X14&gt;=2,$Y14&gt;=1,I14&lt;&gt;0),"A2",IF(AND($W14&gt;=3,$X14&gt;=0,$Y14&gt;=1,I14&lt;&gt;0),"A2",IF(AND(OR($W14&gt;=1,$X14&gt;=2),J14&lt;&gt;0,$Y14&gt;=-2),"A3","A4"))))))</f>
        <v>A1</v>
      </c>
      <c r="Q14" s="341" t="str">
        <f>P14</f>
        <v>A1</v>
      </c>
      <c r="R14" s="346"/>
      <c r="S14" s="693">
        <f>S13/$AL$15</f>
        <v>0.75</v>
      </c>
      <c r="T14" s="693">
        <f>T13/$AL$15</f>
        <v>0.125</v>
      </c>
      <c r="U14" s="176" t="str">
        <f>$Q14</f>
        <v>A1</v>
      </c>
      <c r="V14" s="178"/>
      <c r="W14" s="330">
        <f>IFERROR(VLOOKUP($D14,'P.KH-TC'!$C$10:$AA$19,13,0),0)</f>
        <v>5</v>
      </c>
      <c r="X14" s="330">
        <f>IFERROR(VLOOKUP($D14,'P.KH-TC'!$C$10:$AA$19,25,0),0)</f>
        <v>6</v>
      </c>
      <c r="Y14" s="1107">
        <v>4</v>
      </c>
      <c r="Z14" s="857"/>
      <c r="AA14" s="859"/>
      <c r="AB14" s="228"/>
      <c r="AC14" s="249"/>
      <c r="AD14" s="213"/>
      <c r="AE14" s="60" t="str">
        <f>IF($L14=$P14,$L14,FALSE)</f>
        <v>A1</v>
      </c>
      <c r="AF14" s="60">
        <v>27</v>
      </c>
      <c r="AG14" s="592" t="s">
        <v>846</v>
      </c>
      <c r="AH14" s="592"/>
      <c r="AI14" s="605">
        <f>AH14/$L$12</f>
        <v>0</v>
      </c>
      <c r="AJ14" s="551"/>
      <c r="AK14" s="597" t="s">
        <v>864</v>
      </c>
      <c r="AL14" s="595">
        <f>COUNTIF($BE$14:$BE$23,"CBQL")</f>
        <v>1</v>
      </c>
      <c r="AM14" s="595">
        <f>COUNTIF($U$14,"A1")</f>
        <v>1</v>
      </c>
      <c r="AN14" s="611">
        <f>AM14/$AL$14</f>
        <v>1</v>
      </c>
      <c r="AO14" s="595">
        <f>COUNTIF($U$14,"A2")</f>
        <v>0</v>
      </c>
      <c r="AP14" s="611">
        <f>AO14/$AL$13</f>
        <v>0</v>
      </c>
      <c r="AQ14" s="595">
        <f>COUNTIF($U$14,"A3")</f>
        <v>0</v>
      </c>
      <c r="AR14" s="611">
        <f>AQ14/$AL$13</f>
        <v>0</v>
      </c>
      <c r="AS14" s="595">
        <f>COUNTIF($U$14,"A4")</f>
        <v>0</v>
      </c>
      <c r="AT14" s="611">
        <f>AS14/$AL$13</f>
        <v>0</v>
      </c>
      <c r="AU14" s="595"/>
      <c r="AV14" s="595"/>
      <c r="AW14" s="595"/>
      <c r="AX14" s="595"/>
      <c r="AY14" s="595"/>
      <c r="AZ14" s="595"/>
      <c r="BA14" s="595"/>
      <c r="BB14" s="595"/>
      <c r="BD14" s="60" t="s">
        <v>870</v>
      </c>
      <c r="BE14" s="60" t="s">
        <v>866</v>
      </c>
    </row>
    <row r="15" spans="1:59" s="57" customFormat="1" ht="33.75" customHeight="1" x14ac:dyDescent="0.25">
      <c r="A15" s="63">
        <f>IF(D15="","",SUBTOTAL(3,$D$8:D15))</f>
        <v>6</v>
      </c>
      <c r="B15" s="63" t="s">
        <v>10</v>
      </c>
      <c r="C15" s="67" t="s">
        <v>454</v>
      </c>
      <c r="D15" s="185" t="s">
        <v>73</v>
      </c>
      <c r="E15" s="687"/>
      <c r="F15" s="690">
        <f>E15/$G$12</f>
        <v>0</v>
      </c>
      <c r="G15" s="282" t="str">
        <f t="shared" ref="G15:G23" si="0">IF($H15&lt;&gt;0,"A1",IF($I15&lt;&gt;0,"A2",IF($J15&lt;&gt;0,"A3","A4")))</f>
        <v>A2</v>
      </c>
      <c r="H15" s="737"/>
      <c r="I15" s="737" t="s">
        <v>955</v>
      </c>
      <c r="J15" s="737" t="s">
        <v>954</v>
      </c>
      <c r="K15" s="234"/>
      <c r="L15" s="289" t="s">
        <v>84</v>
      </c>
      <c r="M15" s="290"/>
      <c r="N15" s="291">
        <f>IFERROR(VLOOKUP($D15,'P.KH-TC'!$C$10:$AA$19,12,0),0)</f>
        <v>4</v>
      </c>
      <c r="O15" s="291">
        <f>IFERROR(VLOOKUP($D15,'P.KH-TC'!$C$10:$AA$19,24,0),0)</f>
        <v>4</v>
      </c>
      <c r="P15" s="313" t="str">
        <f t="shared" ref="P15:P23" si="1">IF(AND($W15&gt;=2,$X15&gt;=3,$Y15&gt;=1,H15&lt;&gt;0),"A1",IF(AND($W15&gt;=3,$X15&gt;=1,$Y15&gt;=1,H15&lt;&gt;0),"A1",IF(AND($W15&gt;=4,$X15&gt;=0,$Y15&gt;=1,H15&lt;&gt;0),"A1",IF(AND($W15&gt;=2,$X15&gt;=2,$Y15&gt;=1,I15&lt;&gt;0),"A2",IF(AND($W15&gt;=3,$X15&gt;=0,$Y15&gt;=1,I15&lt;&gt;0),"A2",IF(AND(OR($W15&gt;=1,$X15&gt;=2),J15&lt;&gt;0,$Y15&gt;=-2),"A3","A4"))))))</f>
        <v>A2</v>
      </c>
      <c r="Q15" s="1196" t="s">
        <v>82</v>
      </c>
      <c r="R15" s="317"/>
      <c r="S15" s="688"/>
      <c r="T15" s="689"/>
      <c r="U15" s="176" t="str">
        <f t="shared" ref="U15:U21" si="2">$Q15</f>
        <v>A1</v>
      </c>
      <c r="V15" s="178"/>
      <c r="W15" s="330">
        <f>IFERROR(VLOOKUP($D15,'P.KH-TC'!$C$10:$AA$19,13,0),0)</f>
        <v>4</v>
      </c>
      <c r="X15" s="330">
        <f>IFERROR(VLOOKUP($D15,'P.KH-TC'!$C$10:$AA$19,25,0),0)</f>
        <v>4</v>
      </c>
      <c r="Y15" s="1108">
        <v>4</v>
      </c>
      <c r="Z15" s="68"/>
      <c r="AA15" s="68"/>
      <c r="AB15" s="748" t="s">
        <v>82</v>
      </c>
      <c r="AC15" s="1335" t="s">
        <v>1124</v>
      </c>
      <c r="AD15" s="728"/>
      <c r="AE15" s="60" t="str">
        <f t="shared" ref="AE15:AE77" si="3">IF($L15=$P15,$L15,FALSE)</f>
        <v>A2</v>
      </c>
      <c r="AF15" s="60">
        <v>27</v>
      </c>
      <c r="AG15" s="592"/>
      <c r="AH15" s="592">
        <f>AH13+AH14</f>
        <v>0</v>
      </c>
      <c r="AI15" s="606">
        <f>AI13+AI14</f>
        <v>0</v>
      </c>
      <c r="AK15" s="597" t="s">
        <v>865</v>
      </c>
      <c r="AL15" s="595">
        <f>COUNTIF($BE$14:$BE$23,"GV") + COUNTIF($BE$14:$BE$23,"NV")</f>
        <v>8</v>
      </c>
      <c r="AM15" s="595">
        <f>COUNTIF($U15:$U23,"A1")</f>
        <v>6</v>
      </c>
      <c r="AN15" s="611">
        <f>AM15/$AL$15</f>
        <v>0.75</v>
      </c>
      <c r="AO15" s="595">
        <f>COUNTIF($U15:$U23,"A2")</f>
        <v>1</v>
      </c>
      <c r="AP15" s="611">
        <f>AO15/$AL$15</f>
        <v>0.125</v>
      </c>
      <c r="AQ15" s="595">
        <f>COUNTIF($U15:$U23,"A3")</f>
        <v>1</v>
      </c>
      <c r="AR15" s="611">
        <f>AQ15/$AL$15</f>
        <v>0.125</v>
      </c>
      <c r="AS15" s="595">
        <f>COUNTIF($U15:$U23,"A4")</f>
        <v>0</v>
      </c>
      <c r="AT15" s="611">
        <f>AS15/$AL$13</f>
        <v>0</v>
      </c>
      <c r="AU15" s="595"/>
      <c r="AV15" s="595"/>
      <c r="AW15" s="595"/>
      <c r="AX15" s="595"/>
      <c r="AY15" s="595"/>
      <c r="AZ15" s="595"/>
      <c r="BA15" s="595"/>
      <c r="BB15" s="595"/>
      <c r="BD15" s="60" t="s">
        <v>870</v>
      </c>
      <c r="BE15" s="60" t="s">
        <v>867</v>
      </c>
    </row>
    <row r="16" spans="1:59" s="57" customFormat="1" ht="33.75" customHeight="1" x14ac:dyDescent="0.25">
      <c r="A16" s="63">
        <f>IF(D16="","",SUBTOTAL(3,$D$8:D16))</f>
        <v>7</v>
      </c>
      <c r="B16" s="63" t="s">
        <v>11</v>
      </c>
      <c r="C16" s="67" t="s">
        <v>455</v>
      </c>
      <c r="D16" s="185" t="s">
        <v>74</v>
      </c>
      <c r="E16" s="652"/>
      <c r="F16" s="652"/>
      <c r="G16" s="282" t="str">
        <f t="shared" si="0"/>
        <v>A2</v>
      </c>
      <c r="H16" s="737"/>
      <c r="I16" s="737" t="s">
        <v>955</v>
      </c>
      <c r="J16" s="737" t="s">
        <v>954</v>
      </c>
      <c r="K16" s="234"/>
      <c r="L16" s="289" t="s">
        <v>84</v>
      </c>
      <c r="M16" s="290"/>
      <c r="N16" s="291">
        <f>IFERROR(VLOOKUP($D16,'P.KH-TC'!$C$10:$AA$19,12,0),0)</f>
        <v>5</v>
      </c>
      <c r="O16" s="291">
        <f>IFERROR(VLOOKUP($D16,'P.KH-TC'!$C$10:$AA$19,24,0),0)</f>
        <v>6</v>
      </c>
      <c r="P16" s="313" t="str">
        <f t="shared" si="1"/>
        <v>A2</v>
      </c>
      <c r="Q16" s="1196" t="s">
        <v>82</v>
      </c>
      <c r="R16" s="317"/>
      <c r="S16" s="663"/>
      <c r="T16" s="663"/>
      <c r="U16" s="176" t="str">
        <f t="shared" si="2"/>
        <v>A1</v>
      </c>
      <c r="V16" s="178"/>
      <c r="W16" s="330">
        <f>IFERROR(VLOOKUP($D16,'P.KH-TC'!$C$10:$AA$19,13,0),0)</f>
        <v>5</v>
      </c>
      <c r="X16" s="330">
        <f>IFERROR(VLOOKUP($D16,'P.KH-TC'!$C$10:$AA$19,25,0),0)</f>
        <v>6</v>
      </c>
      <c r="Y16" s="1107">
        <v>4</v>
      </c>
      <c r="Z16" s="68"/>
      <c r="AA16" s="68"/>
      <c r="AB16" s="748" t="s">
        <v>82</v>
      </c>
      <c r="AC16" s="1336"/>
      <c r="AD16" s="1066"/>
      <c r="AE16" s="60" t="str">
        <f t="shared" si="3"/>
        <v>A2</v>
      </c>
      <c r="AF16" s="60">
        <v>24</v>
      </c>
      <c r="AG16" s="60"/>
      <c r="AH16" s="542"/>
      <c r="AI16" s="542"/>
      <c r="AK16" s="589"/>
      <c r="AL16" s="589"/>
      <c r="AM16" s="589"/>
      <c r="AN16" s="589"/>
      <c r="AO16" s="589"/>
      <c r="AP16" s="589"/>
      <c r="AQ16" s="589"/>
      <c r="AR16" s="589"/>
      <c r="AS16" s="589"/>
      <c r="AT16" s="589"/>
      <c r="AU16" s="589"/>
      <c r="AV16" s="589"/>
      <c r="AW16" s="589"/>
      <c r="AX16" s="589"/>
      <c r="AY16" s="589"/>
      <c r="AZ16" s="589"/>
      <c r="BA16" s="589"/>
      <c r="BB16" s="589"/>
      <c r="BD16" s="60" t="s">
        <v>870</v>
      </c>
      <c r="BE16" s="60" t="s">
        <v>867</v>
      </c>
    </row>
    <row r="17" spans="1:67" s="60" customFormat="1" ht="33.75" customHeight="1" x14ac:dyDescent="0.25">
      <c r="A17" s="63">
        <f>IF(D17="","",SUBTOTAL(3,$D$8:D17))</f>
        <v>8</v>
      </c>
      <c r="B17" s="63" t="s">
        <v>12</v>
      </c>
      <c r="C17" s="67" t="s">
        <v>457</v>
      </c>
      <c r="D17" s="185" t="s">
        <v>75</v>
      </c>
      <c r="E17" s="652"/>
      <c r="F17" s="652"/>
      <c r="G17" s="282" t="str">
        <f t="shared" si="0"/>
        <v>A2</v>
      </c>
      <c r="H17" s="737"/>
      <c r="I17" s="737" t="s">
        <v>955</v>
      </c>
      <c r="J17" s="737" t="s">
        <v>954</v>
      </c>
      <c r="K17" s="234"/>
      <c r="L17" s="289" t="s">
        <v>84</v>
      </c>
      <c r="M17" s="290"/>
      <c r="N17" s="291">
        <f>IFERROR(VLOOKUP($D17,'P.KH-TC'!$C$10:$AA$19,12,0),0)</f>
        <v>4</v>
      </c>
      <c r="O17" s="291">
        <f>IFERROR(VLOOKUP($D17,'P.KH-TC'!$C$10:$AA$19,24,0),0)</f>
        <v>4</v>
      </c>
      <c r="P17" s="313" t="str">
        <f t="shared" si="1"/>
        <v>A2</v>
      </c>
      <c r="Q17" s="1196" t="s">
        <v>82</v>
      </c>
      <c r="R17" s="317"/>
      <c r="S17" s="663"/>
      <c r="T17" s="663"/>
      <c r="U17" s="176" t="str">
        <f t="shared" si="2"/>
        <v>A1</v>
      </c>
      <c r="V17" s="178"/>
      <c r="W17" s="330">
        <f>IFERROR(VLOOKUP($D17,'P.KH-TC'!$C$10:$AA$19,13,0),0)</f>
        <v>4</v>
      </c>
      <c r="X17" s="330">
        <f>IFERROR(VLOOKUP($D17,'P.KH-TC'!$C$10:$AA$19,25,0),0)</f>
        <v>4</v>
      </c>
      <c r="Y17" s="1107">
        <v>4</v>
      </c>
      <c r="Z17" s="68"/>
      <c r="AA17" s="68"/>
      <c r="AB17" s="748" t="s">
        <v>82</v>
      </c>
      <c r="AC17" s="1336"/>
      <c r="AD17" s="1066"/>
      <c r="AE17" s="60" t="str">
        <f t="shared" si="3"/>
        <v>A2</v>
      </c>
      <c r="AF17" s="60">
        <v>26</v>
      </c>
      <c r="BD17" s="60" t="s">
        <v>870</v>
      </c>
      <c r="BE17" s="60" t="s">
        <v>867</v>
      </c>
    </row>
    <row r="18" spans="1:67" s="57" customFormat="1" ht="33.75" customHeight="1" x14ac:dyDescent="0.25">
      <c r="A18" s="63">
        <f>IF(D18="","",SUBTOTAL(3,$D$8:D18))</f>
        <v>9</v>
      </c>
      <c r="B18" s="63" t="s">
        <v>13</v>
      </c>
      <c r="C18" s="67" t="s">
        <v>456</v>
      </c>
      <c r="D18" s="185" t="s">
        <v>576</v>
      </c>
      <c r="E18" s="652"/>
      <c r="F18" s="652"/>
      <c r="G18" s="282" t="str">
        <f t="shared" si="0"/>
        <v>A2</v>
      </c>
      <c r="H18" s="737"/>
      <c r="I18" s="737" t="s">
        <v>955</v>
      </c>
      <c r="J18" s="737" t="s">
        <v>954</v>
      </c>
      <c r="K18" s="234"/>
      <c r="L18" s="289" t="s">
        <v>84</v>
      </c>
      <c r="M18" s="290"/>
      <c r="N18" s="291">
        <f>IFERROR(VLOOKUP($D18,'P.KH-TC'!$C$10:$AA$19,12,0),0)</f>
        <v>4</v>
      </c>
      <c r="O18" s="291">
        <f>IFERROR(VLOOKUP($D18,'P.KH-TC'!$C$10:$AA$19,24,0),0)</f>
        <v>4</v>
      </c>
      <c r="P18" s="313" t="str">
        <f t="shared" si="1"/>
        <v>A2</v>
      </c>
      <c r="Q18" s="1196" t="s">
        <v>82</v>
      </c>
      <c r="R18" s="317"/>
      <c r="S18" s="664"/>
      <c r="T18" s="664"/>
      <c r="U18" s="176" t="str">
        <f t="shared" si="2"/>
        <v>A1</v>
      </c>
      <c r="V18" s="178"/>
      <c r="W18" s="330">
        <f>IFERROR(VLOOKUP($D18,'P.KH-TC'!$C$10:$AA$19,13,0),0)</f>
        <v>4</v>
      </c>
      <c r="X18" s="330">
        <f>IFERROR(VLOOKUP($D18,'P.KH-TC'!$C$10:$AA$19,25,0),0)</f>
        <v>4</v>
      </c>
      <c r="Y18" s="1107">
        <v>3</v>
      </c>
      <c r="Z18" s="68"/>
      <c r="AA18" s="68"/>
      <c r="AB18" s="748" t="s">
        <v>82</v>
      </c>
      <c r="AC18" s="1337"/>
      <c r="AD18" s="1066"/>
      <c r="AE18" s="60" t="str">
        <f t="shared" si="3"/>
        <v>A2</v>
      </c>
      <c r="AF18" s="60">
        <v>26</v>
      </c>
      <c r="AG18" s="60"/>
      <c r="AH18" s="542"/>
      <c r="AI18" s="542"/>
      <c r="AK18" s="589"/>
      <c r="AL18" s="589"/>
      <c r="AM18" s="589"/>
      <c r="AN18" s="589"/>
      <c r="AO18" s="589"/>
      <c r="AP18" s="589"/>
      <c r="AQ18" s="589"/>
      <c r="AR18" s="589"/>
      <c r="AS18" s="589"/>
      <c r="AT18" s="589"/>
      <c r="AU18" s="589"/>
      <c r="AV18" s="589"/>
      <c r="AW18" s="589"/>
      <c r="AX18" s="589"/>
      <c r="AY18" s="589"/>
      <c r="AZ18" s="589"/>
      <c r="BA18" s="589"/>
      <c r="BB18" s="589"/>
      <c r="BD18" s="60" t="s">
        <v>870</v>
      </c>
      <c r="BE18" s="60" t="s">
        <v>867</v>
      </c>
    </row>
    <row r="19" spans="1:67" s="70" customFormat="1" ht="33.75" customHeight="1" x14ac:dyDescent="0.25">
      <c r="A19" s="69" t="s">
        <v>51</v>
      </c>
      <c r="B19" s="69" t="s">
        <v>51</v>
      </c>
      <c r="C19" s="66" t="s">
        <v>48</v>
      </c>
      <c r="D19" s="146"/>
      <c r="E19" s="652"/>
      <c r="F19" s="652"/>
      <c r="G19" s="280">
        <f>COUNTA($L20:$L23)</f>
        <v>4</v>
      </c>
      <c r="H19" s="737"/>
      <c r="I19" s="737"/>
      <c r="J19" s="737"/>
      <c r="K19" s="234"/>
      <c r="L19" s="500">
        <f>COUNTA($L20:$L23)</f>
        <v>4</v>
      </c>
      <c r="M19" s="286" t="str">
        <f xml:space="preserve"> (COUNTIF($L20:$L23, "A1") &amp; "A1")&amp;" + "&amp; (COUNTIF($L20:$L23, "A2") &amp; "A2")&amp;" + "&amp; (COUNTIF($L20:$L23, "A3") &amp; "A3")&amp;" + "&amp; (COUNTIF($L20:$L23, "A4") &amp; "A4")</f>
        <v>2A1 + 1A2 + 0A3 + 1A4</v>
      </c>
      <c r="N19" s="292"/>
      <c r="O19" s="292"/>
      <c r="P19" s="311">
        <f>COUNTA($Q20:$Q23)</f>
        <v>4</v>
      </c>
      <c r="Q19" s="341">
        <f t="shared" ref="Q19" si="4">P19</f>
        <v>4</v>
      </c>
      <c r="R19" s="312" t="str">
        <f xml:space="preserve"> (COUNTIF($Q20:$Q23, "A1") &amp; "A1")&amp;" + "&amp; (COUNTIF($Q20:$Q23, "A2") &amp; "A2")&amp;" + "&amp; (COUNTIF($Q20:$Q23, "A3") &amp; "A3")&amp;" + "&amp; (COUNTIF($Q20:$Q23, "A4") &amp; "A4")</f>
        <v>2A1 + 1A2 + 1A3 + 0A4</v>
      </c>
      <c r="S19" s="661"/>
      <c r="T19" s="661"/>
      <c r="U19" s="174">
        <f>COUNTA($U20:$U23)</f>
        <v>4</v>
      </c>
      <c r="V19" s="175" t="str">
        <f xml:space="preserve"> (COUNTIF($U20:$U23, "A1") &amp; "A1")&amp;" + "&amp; (COUNTIF($U20:$U23, "A2") &amp; "A2")&amp;" + "&amp; (COUNTIF($U20:$U23, "A3") &amp; "A3")&amp;" + "&amp; (COUNTIF($U20:$U23, "A4") &amp; "A4")</f>
        <v>2A1 + 1A2 + 1A3 + 0A4</v>
      </c>
      <c r="W19" s="319"/>
      <c r="X19" s="319"/>
      <c r="Y19" s="89"/>
      <c r="Z19" s="3"/>
      <c r="AA19" s="3"/>
      <c r="AB19" s="228"/>
      <c r="AC19" s="792"/>
      <c r="AD19" s="728"/>
      <c r="AE19" s="60"/>
      <c r="AF19" s="60"/>
      <c r="AG19" s="60"/>
      <c r="BD19" s="60"/>
      <c r="BE19" s="60"/>
    </row>
    <row r="20" spans="1:67" s="57" customFormat="1" ht="54" customHeight="1" x14ac:dyDescent="0.25">
      <c r="A20" s="63">
        <f>IF(D20="","",SUBTOTAL(3,$D$8:D20))</f>
        <v>10</v>
      </c>
      <c r="B20" s="63" t="s">
        <v>14</v>
      </c>
      <c r="C20" s="67" t="s">
        <v>458</v>
      </c>
      <c r="D20" s="91" t="s">
        <v>76</v>
      </c>
      <c r="E20" s="652"/>
      <c r="F20" s="652"/>
      <c r="G20" s="282" t="str">
        <f t="shared" si="0"/>
        <v>A2</v>
      </c>
      <c r="H20" s="737"/>
      <c r="I20" s="737" t="s">
        <v>955</v>
      </c>
      <c r="J20" s="737" t="s">
        <v>954</v>
      </c>
      <c r="K20" s="234"/>
      <c r="L20" s="289" t="s">
        <v>82</v>
      </c>
      <c r="M20" s="290" t="s">
        <v>1195</v>
      </c>
      <c r="N20" s="291">
        <f>IFERROR(VLOOKUP($D20,'P.KH-TC'!$C$10:$AA$19,12,0),0)</f>
        <v>3</v>
      </c>
      <c r="O20" s="291">
        <f>IFERROR(VLOOKUP($D20,'P.KH-TC'!$C$10:$AA$19,24,0),0)</f>
        <v>3</v>
      </c>
      <c r="P20" s="1186" t="s">
        <v>82</v>
      </c>
      <c r="Q20" s="341" t="str">
        <f t="shared" ref="Q20:Q22" si="5">P20</f>
        <v>A1</v>
      </c>
      <c r="R20" s="317"/>
      <c r="S20" s="664"/>
      <c r="T20" s="664"/>
      <c r="U20" s="176" t="str">
        <f t="shared" si="2"/>
        <v>A1</v>
      </c>
      <c r="V20" s="178"/>
      <c r="W20" s="330">
        <f>IFERROR(VLOOKUP($D20,'P.KH-TC'!$C$10:$AA$19,13,0),0)</f>
        <v>3</v>
      </c>
      <c r="X20" s="330">
        <f>IFERROR(VLOOKUP($D20,'P.KH-TC'!$C$10:$AA$19,25,0),0)</f>
        <v>3</v>
      </c>
      <c r="Y20" s="333">
        <v>1</v>
      </c>
      <c r="Z20" s="68"/>
      <c r="AA20" s="68"/>
      <c r="AB20" s="228"/>
      <c r="AC20" s="792"/>
      <c r="AD20" s="1072"/>
      <c r="AE20" s="60" t="str">
        <f t="shared" si="3"/>
        <v>A1</v>
      </c>
      <c r="AF20" s="60">
        <v>24</v>
      </c>
      <c r="AG20" s="60"/>
      <c r="AH20" s="542"/>
      <c r="AI20" s="542"/>
      <c r="AK20" s="589"/>
      <c r="AL20" s="589"/>
      <c r="AM20" s="589"/>
      <c r="AN20" s="589"/>
      <c r="AO20" s="589"/>
      <c r="AP20" s="589"/>
      <c r="AQ20" s="589"/>
      <c r="AR20" s="589"/>
      <c r="AS20" s="589"/>
      <c r="AT20" s="589"/>
      <c r="AU20" s="589"/>
      <c r="AV20" s="589"/>
      <c r="AW20" s="589"/>
      <c r="AX20" s="589"/>
      <c r="AY20" s="589"/>
      <c r="AZ20" s="589"/>
      <c r="BA20" s="589"/>
      <c r="BB20" s="589"/>
      <c r="BD20" s="60" t="s">
        <v>870</v>
      </c>
      <c r="BE20" s="60" t="s">
        <v>867</v>
      </c>
    </row>
    <row r="21" spans="1:67" s="57" customFormat="1" ht="31.5" customHeight="1" x14ac:dyDescent="0.25">
      <c r="A21" s="63">
        <f>IF(D21="","",SUBTOTAL(3,$D$8:D21))</f>
        <v>11</v>
      </c>
      <c r="B21" s="63" t="s">
        <v>15</v>
      </c>
      <c r="C21" s="79" t="s">
        <v>459</v>
      </c>
      <c r="D21" s="63" t="s">
        <v>77</v>
      </c>
      <c r="E21" s="652"/>
      <c r="F21" s="652"/>
      <c r="G21" s="282" t="str">
        <f t="shared" si="0"/>
        <v>A2</v>
      </c>
      <c r="H21" s="737"/>
      <c r="I21" s="738" t="s">
        <v>986</v>
      </c>
      <c r="J21" s="737" t="s">
        <v>954</v>
      </c>
      <c r="K21" s="739" t="s">
        <v>1046</v>
      </c>
      <c r="L21" s="289" t="s">
        <v>84</v>
      </c>
      <c r="M21" s="292"/>
      <c r="N21" s="291">
        <f>IFERROR(VLOOKUP($D21,'P.KH-TC'!$C$10:$AA$19,12,0),0)</f>
        <v>4</v>
      </c>
      <c r="O21" s="291">
        <f>IFERROR(VLOOKUP($D21,'P.KH-TC'!$C$10:$AA$19,24,0),0)</f>
        <v>3</v>
      </c>
      <c r="P21" s="313" t="str">
        <f t="shared" si="1"/>
        <v>A2</v>
      </c>
      <c r="Q21" s="341" t="str">
        <f t="shared" si="5"/>
        <v>A2</v>
      </c>
      <c r="R21" s="346"/>
      <c r="S21" s="663"/>
      <c r="T21" s="663"/>
      <c r="U21" s="176" t="str">
        <f t="shared" si="2"/>
        <v>A2</v>
      </c>
      <c r="V21" s="178"/>
      <c r="W21" s="330">
        <f>IFERROR(VLOOKUP($D21,'P.KH-TC'!$C$10:$AA$19,13,0),0)</f>
        <v>4</v>
      </c>
      <c r="X21" s="330">
        <f>IFERROR(VLOOKUP($D21,'P.KH-TC'!$C$10:$AA$19,25,0),0)</f>
        <v>3</v>
      </c>
      <c r="Y21" s="333">
        <v>1</v>
      </c>
      <c r="Z21" s="3"/>
      <c r="AA21" s="3"/>
      <c r="AB21" s="228"/>
      <c r="AC21" s="792"/>
      <c r="AD21" s="1072"/>
      <c r="AE21" s="60" t="str">
        <f t="shared" si="3"/>
        <v>A2</v>
      </c>
      <c r="AF21" s="60">
        <v>25</v>
      </c>
      <c r="AG21" s="60"/>
      <c r="AH21" s="542"/>
      <c r="AI21" s="542"/>
      <c r="AK21" s="589"/>
      <c r="AL21" s="589"/>
      <c r="AM21" s="589"/>
      <c r="AN21" s="589"/>
      <c r="AO21" s="589"/>
      <c r="AP21" s="589"/>
      <c r="AQ21" s="589"/>
      <c r="AR21" s="589"/>
      <c r="AS21" s="589"/>
      <c r="AT21" s="589"/>
      <c r="AU21" s="589"/>
      <c r="AV21" s="589"/>
      <c r="AW21" s="589"/>
      <c r="AX21" s="589"/>
      <c r="AY21" s="589"/>
      <c r="AZ21" s="589"/>
      <c r="BA21" s="589"/>
      <c r="BB21" s="589"/>
      <c r="BD21" s="60" t="s">
        <v>870</v>
      </c>
      <c r="BE21" s="60" t="s">
        <v>867</v>
      </c>
    </row>
    <row r="22" spans="1:67" s="57" customFormat="1" ht="53.25" customHeight="1" x14ac:dyDescent="0.25">
      <c r="A22" s="63">
        <f>IF(D22="","",SUBTOTAL(3,$D$8:D22))</f>
        <v>12</v>
      </c>
      <c r="B22" s="63"/>
      <c r="C22" s="67" t="s">
        <v>757</v>
      </c>
      <c r="D22" s="91" t="s">
        <v>758</v>
      </c>
      <c r="E22" s="652"/>
      <c r="F22" s="652"/>
      <c r="G22" s="282" t="str">
        <f t="shared" si="0"/>
        <v>A2</v>
      </c>
      <c r="H22" s="737">
        <f>VLOOKUP($D22,'[1]Mau 1 (2)'!$C$12:$K$398,4,0)</f>
        <v>0</v>
      </c>
      <c r="I22" s="737" t="s">
        <v>955</v>
      </c>
      <c r="J22" s="737" t="s">
        <v>954</v>
      </c>
      <c r="K22" s="234"/>
      <c r="L22" s="289" t="s">
        <v>82</v>
      </c>
      <c r="M22" s="290" t="s">
        <v>1196</v>
      </c>
      <c r="N22" s="291">
        <f>IFERROR(VLOOKUP($D22,'P.KH-TC'!$C$10:$AA$19,12,0),0)</f>
        <v>4</v>
      </c>
      <c r="O22" s="291">
        <f>IFERROR(VLOOKUP($D22,'P.KH-TC'!$C$10:$AA$19,24,0),0)</f>
        <v>3</v>
      </c>
      <c r="P22" s="1186" t="s">
        <v>82</v>
      </c>
      <c r="Q22" s="341" t="str">
        <f t="shared" si="5"/>
        <v>A1</v>
      </c>
      <c r="R22" s="317"/>
      <c r="S22" s="664"/>
      <c r="T22" s="664"/>
      <c r="U22" s="176" t="str">
        <f>$Q22</f>
        <v>A1</v>
      </c>
      <c r="V22" s="178"/>
      <c r="W22" s="330">
        <f>IFERROR(VLOOKUP($D22,'P.KH-TC'!$C$10:$AA$19,13,0),0)</f>
        <v>4</v>
      </c>
      <c r="X22" s="330">
        <f>IFERROR(VLOOKUP($D22,'P.KH-TC'!$C$10:$AA$19,25,0),0)</f>
        <v>3</v>
      </c>
      <c r="Y22" s="333">
        <v>1</v>
      </c>
      <c r="Z22" s="68"/>
      <c r="AA22" s="68"/>
      <c r="AB22" s="228"/>
      <c r="AC22" s="792"/>
      <c r="AD22" s="780"/>
      <c r="AE22" s="60" t="str">
        <f>IF($L22=$P22,$L22,FALSE)</f>
        <v>A1</v>
      </c>
      <c r="AF22" s="60">
        <v>24</v>
      </c>
      <c r="AG22" s="60"/>
      <c r="AH22" s="542"/>
      <c r="AI22" s="542"/>
      <c r="AK22" s="589"/>
      <c r="AL22" s="589"/>
      <c r="AM22" s="589"/>
      <c r="AN22" s="589"/>
      <c r="AO22" s="589"/>
      <c r="AP22" s="589"/>
      <c r="AQ22" s="589"/>
      <c r="AR22" s="589"/>
      <c r="AS22" s="589"/>
      <c r="AT22" s="589"/>
      <c r="AU22" s="589"/>
      <c r="AV22" s="589"/>
      <c r="AW22" s="589"/>
      <c r="AX22" s="589"/>
      <c r="AY22" s="589"/>
      <c r="AZ22" s="589"/>
      <c r="BA22" s="589"/>
      <c r="BB22" s="589"/>
      <c r="BD22" s="60" t="s">
        <v>870</v>
      </c>
      <c r="BE22" s="60" t="s">
        <v>867</v>
      </c>
    </row>
    <row r="23" spans="1:67" s="57" customFormat="1" ht="118.5" customHeight="1" x14ac:dyDescent="0.25">
      <c r="A23" s="63">
        <f>IF(D23="","",SUBTOTAL(3,$D$8:D23))</f>
        <v>13</v>
      </c>
      <c r="B23" s="63"/>
      <c r="C23" s="67" t="s">
        <v>810</v>
      </c>
      <c r="D23" s="63" t="s">
        <v>811</v>
      </c>
      <c r="E23" s="652"/>
      <c r="F23" s="652"/>
      <c r="G23" s="282" t="str">
        <f t="shared" si="0"/>
        <v>A4</v>
      </c>
      <c r="H23" s="737"/>
      <c r="I23" s="737"/>
      <c r="J23" s="737"/>
      <c r="K23" s="234"/>
      <c r="L23" s="289" t="s">
        <v>83</v>
      </c>
      <c r="M23" s="290"/>
      <c r="N23" s="291">
        <f>IFERROR(VLOOKUP($D23,'P.KH-TC'!$C$10:$AA$19,12,0),0)</f>
        <v>3</v>
      </c>
      <c r="O23" s="291">
        <f>IFERROR(VLOOKUP($D23,'P.KH-TC'!$C$10:$AA$19,24,0),0)</f>
        <v>3</v>
      </c>
      <c r="P23" s="313" t="str">
        <f t="shared" si="1"/>
        <v>A4</v>
      </c>
      <c r="Q23" s="1196" t="s">
        <v>85</v>
      </c>
      <c r="R23" s="317"/>
      <c r="S23" s="664"/>
      <c r="T23" s="664"/>
      <c r="U23" s="176" t="str">
        <f>$Q23</f>
        <v>A3</v>
      </c>
      <c r="V23" s="178"/>
      <c r="W23" s="330">
        <f>IFERROR(VLOOKUP($D23,'P.KH-TC'!$C$10:$AA$19,13,0),0)</f>
        <v>3</v>
      </c>
      <c r="X23" s="330">
        <f>IFERROR(VLOOKUP($D23,'P.KH-TC'!$C$10:$AA$19,25,0),0)</f>
        <v>3</v>
      </c>
      <c r="Y23" s="89"/>
      <c r="Z23" s="3"/>
      <c r="AA23" s="3"/>
      <c r="AB23" s="749" t="s">
        <v>85</v>
      </c>
      <c r="AC23" s="750" t="s">
        <v>1106</v>
      </c>
      <c r="AD23" s="780"/>
      <c r="AE23" s="60" t="str">
        <f>IF($L23=$P23,$L23,FALSE)</f>
        <v>A4</v>
      </c>
      <c r="AF23" s="60">
        <v>26</v>
      </c>
      <c r="AG23" s="60"/>
      <c r="AH23" s="542"/>
      <c r="AI23" s="542"/>
      <c r="AK23" s="589"/>
      <c r="AL23" s="589"/>
      <c r="AM23" s="589"/>
      <c r="AN23" s="589"/>
      <c r="AO23" s="589"/>
      <c r="AP23" s="589"/>
      <c r="AQ23" s="589"/>
      <c r="AR23" s="589"/>
      <c r="AS23" s="589"/>
      <c r="AT23" s="589"/>
      <c r="AU23" s="589"/>
      <c r="AV23" s="589"/>
      <c r="AW23" s="589"/>
      <c r="AX23" s="589"/>
      <c r="AY23" s="589"/>
      <c r="AZ23" s="589"/>
      <c r="BA23" s="589"/>
      <c r="BB23" s="589"/>
      <c r="BD23" s="60" t="s">
        <v>870</v>
      </c>
      <c r="BE23" s="60" t="s">
        <v>867</v>
      </c>
    </row>
    <row r="24" spans="1:67" ht="45.75" customHeight="1" x14ac:dyDescent="0.25">
      <c r="A24" s="62" t="s">
        <v>723</v>
      </c>
      <c r="B24" s="62" t="s">
        <v>723</v>
      </c>
      <c r="C24" s="64" t="s">
        <v>52</v>
      </c>
      <c r="D24" s="62"/>
      <c r="E24" s="652"/>
      <c r="F24" s="652"/>
      <c r="G24" s="280">
        <f>$L$25+$L$37</f>
        <v>16</v>
      </c>
      <c r="H24" s="737"/>
      <c r="I24" s="737"/>
      <c r="J24" s="737"/>
      <c r="K24" s="234"/>
      <c r="L24" s="500">
        <f>$L$25+$L$37</f>
        <v>16</v>
      </c>
      <c r="M24" s="286" t="str">
        <f xml:space="preserve"> (COUNTIF($L26:$L42, "A1") &amp; "A1")&amp;" + "&amp; (COUNTIF($L26:$L42, "A2") &amp; "A2")&amp;" + "&amp; (COUNTIF($L26:$L42, "A3") &amp; "A3")&amp;" + "&amp; (COUNTIF($L26:$L42, "A4") &amp; "A4")</f>
        <v>2A1 + 9A2 + 4A3 + 1A4</v>
      </c>
      <c r="N24" s="500"/>
      <c r="O24" s="500"/>
      <c r="P24" s="311">
        <f>$Q$25+$Q$37</f>
        <v>16</v>
      </c>
      <c r="Q24" s="340">
        <f>$Q$25+$Q$37</f>
        <v>16</v>
      </c>
      <c r="R24" s="312" t="str">
        <f xml:space="preserve"> (COUNTIF($Q26:$Q42, "A1") &amp; "A1")&amp;" + "&amp; (COUNTIF($Q26:$Q42, "A2") &amp; "A2")&amp;" + "&amp; (COUNTIF($Q26:$Q42, "A3") &amp; "A3")&amp;" + "&amp; (COUNTIF($Q26:$Q42, "A4") &amp; "A4")</f>
        <v>4A1 + 7A2 + 4A3 + 1A4</v>
      </c>
      <c r="S24" s="661"/>
      <c r="T24" s="661"/>
      <c r="U24" s="174">
        <f>$U$25+$U$37</f>
        <v>16</v>
      </c>
      <c r="V24" s="175" t="str">
        <f xml:space="preserve"> (COUNTIF($U26:$U42, "A1") &amp; "A1")&amp;" + "&amp; (COUNTIF($U26:$U42, "A2") &amp; "A2")&amp;" + "&amp; (COUNTIF($U26:$U42, "A3") &amp; "A3")&amp;" + "&amp; (COUNTIF($U26:$U42, "A4") &amp; "A4")</f>
        <v>4A1 + 7A2 + 4A3 + 1A4</v>
      </c>
      <c r="W24" s="501"/>
      <c r="X24" s="501"/>
      <c r="Y24" s="556"/>
      <c r="Z24" s="95"/>
      <c r="AA24" s="95"/>
      <c r="AB24" s="242"/>
      <c r="AC24" s="1009"/>
      <c r="AD24" s="1332"/>
      <c r="AE24" s="60"/>
      <c r="AF24" s="60"/>
      <c r="AG24" s="589"/>
      <c r="AH24" s="589"/>
      <c r="AI24" s="589"/>
      <c r="AK24" s="1327" t="s">
        <v>906</v>
      </c>
      <c r="AL24" s="1327"/>
      <c r="AM24" s="1327"/>
      <c r="AN24" s="1327"/>
      <c r="AO24" s="1327"/>
      <c r="AP24" s="1327"/>
      <c r="AQ24" s="1327"/>
      <c r="AR24" s="1327"/>
      <c r="AS24" s="1327"/>
      <c r="AT24" s="1327"/>
      <c r="AU24" s="1327"/>
      <c r="AV24" s="1327"/>
      <c r="AW24" s="1327"/>
      <c r="AX24" s="1327"/>
      <c r="AY24" s="1327"/>
      <c r="AZ24" s="1327"/>
      <c r="BA24" s="1327"/>
      <c r="BB24" s="1327"/>
      <c r="BF24" s="60">
        <f>COUNTIF($BE$26:$BE$42,"CBQL")</f>
        <v>2</v>
      </c>
      <c r="BG24" s="60">
        <f>COUNTIF($BE$26:$BE$42,"GV") + COUNTIF($BE$26:$BE$42,"NV")</f>
        <v>14</v>
      </c>
    </row>
    <row r="25" spans="1:67" ht="36" customHeight="1" x14ac:dyDescent="0.25">
      <c r="A25" s="65" t="s">
        <v>45</v>
      </c>
      <c r="B25" s="65" t="s">
        <v>45</v>
      </c>
      <c r="C25" s="66" t="s">
        <v>46</v>
      </c>
      <c r="D25" s="65"/>
      <c r="E25" s="691" t="s">
        <v>949</v>
      </c>
      <c r="F25" s="691" t="s">
        <v>950</v>
      </c>
      <c r="G25" s="280">
        <f>COUNTA($L26:$L36)</f>
        <v>11</v>
      </c>
      <c r="H25" s="234"/>
      <c r="I25" s="234"/>
      <c r="J25" s="234"/>
      <c r="K25" s="234"/>
      <c r="L25" s="500">
        <f>COUNTA($L26:$L36)</f>
        <v>11</v>
      </c>
      <c r="M25" s="286" t="str">
        <f xml:space="preserve"> (COUNTIF($L26:$L36, "A1") &amp; "A1")&amp;" + "&amp; (COUNTIF($L26:$L36, "A2") &amp; "A2")&amp;" + "&amp; (COUNTIF($L26:$L36, "A3") &amp; "A3")&amp;" + "&amp; (COUNTIF($L26:$L36, "A4") &amp; "A4")</f>
        <v>2A1 + 6A2 + 3A3 + 0A4</v>
      </c>
      <c r="N25" s="500"/>
      <c r="O25" s="500"/>
      <c r="P25" s="311">
        <f>COUNTA($Q26:$Q36)</f>
        <v>11</v>
      </c>
      <c r="Q25" s="340">
        <f>COUNTA($Q26:$Q36)</f>
        <v>11</v>
      </c>
      <c r="R25" s="312" t="str">
        <f xml:space="preserve"> (COUNTIF($Q26:$Q36, "A1") &amp; "A1")&amp;" + "&amp; (COUNTIF($Q26:$Q36, "A2") &amp; "A2")&amp;" + "&amp; (COUNTIF($Q26:$Q36, "A3") &amp; "A3")&amp;" + "&amp; (COUNTIF($Q26:$Q36, "A4") &amp; "A4")</f>
        <v>2A1 + 6A2 + 3A3 + 0A4</v>
      </c>
      <c r="S25" s="691" t="s">
        <v>949</v>
      </c>
      <c r="T25" s="691" t="s">
        <v>950</v>
      </c>
      <c r="U25" s="174">
        <f>COUNTA($U26:$U36)</f>
        <v>11</v>
      </c>
      <c r="V25" s="175" t="str">
        <f xml:space="preserve"> (COUNTIF($U26:$U36, "A1") &amp; "A1")&amp;" + "&amp; (COUNTIF($U26:$U36, "A2") &amp; "A2")&amp;" + "&amp; (COUNTIF($U26:$U36, "A3") &amp; "A3")&amp;" + "&amp; (COUNTIF($U26:$U36, "A4") &amp; "A4")</f>
        <v>2A1 + 6A2 + 3A3 + 0A4</v>
      </c>
      <c r="W25" s="501"/>
      <c r="X25" s="501"/>
      <c r="Y25" s="556"/>
      <c r="Z25" s="95"/>
      <c r="AA25" s="95"/>
      <c r="AB25" s="242"/>
      <c r="AC25" s="1009"/>
      <c r="AD25" s="1333"/>
      <c r="AE25" s="60"/>
      <c r="AF25" s="60"/>
      <c r="AG25" s="1328" t="s">
        <v>915</v>
      </c>
      <c r="AH25" s="1328"/>
      <c r="AI25" s="1328"/>
      <c r="AK25" s="598" t="s">
        <v>909</v>
      </c>
      <c r="AL25" s="598" t="s">
        <v>907</v>
      </c>
      <c r="AM25" s="1329" t="s">
        <v>897</v>
      </c>
      <c r="AN25" s="1329"/>
      <c r="AO25" s="1329" t="s">
        <v>898</v>
      </c>
      <c r="AP25" s="1329"/>
      <c r="AQ25" s="1329" t="s">
        <v>899</v>
      </c>
      <c r="AR25" s="1329"/>
      <c r="AS25" s="1329" t="s">
        <v>900</v>
      </c>
      <c r="AT25" s="1329"/>
      <c r="AU25" s="1329" t="s">
        <v>902</v>
      </c>
      <c r="AV25" s="1329"/>
      <c r="AW25" s="1329" t="s">
        <v>903</v>
      </c>
      <c r="AX25" s="1329"/>
      <c r="AY25" s="1329" t="s">
        <v>904</v>
      </c>
      <c r="AZ25" s="1329"/>
      <c r="BA25" s="1329" t="s">
        <v>905</v>
      </c>
      <c r="BB25" s="1329"/>
      <c r="BF25" s="59"/>
      <c r="BG25" s="59"/>
    </row>
    <row r="26" spans="1:67" s="57" customFormat="1" ht="56.25" customHeight="1" x14ac:dyDescent="0.25">
      <c r="A26" s="63">
        <f>IF(D26="","",SUBTOTAL(3,$D$8:D26))</f>
        <v>14</v>
      </c>
      <c r="B26" s="74" t="s">
        <v>32</v>
      </c>
      <c r="C26" s="75" t="s">
        <v>251</v>
      </c>
      <c r="D26" s="81" t="s">
        <v>252</v>
      </c>
      <c r="E26" s="692">
        <f>COUNTIF($L28:$L42,"A1")</f>
        <v>0</v>
      </c>
      <c r="F26" s="692">
        <f>COUNTIF($L28:$L42,"A2")</f>
        <v>9</v>
      </c>
      <c r="G26" s="282" t="str">
        <f t="shared" ref="G26:G41" si="6">IF($H26&lt;&gt;0,"A1",IF($I26&lt;&gt;0,"A2",IF($J26&lt;&gt;0,"A3","A4")))</f>
        <v>A1</v>
      </c>
      <c r="H26" s="738" t="s">
        <v>1027</v>
      </c>
      <c r="I26" s="737" t="s">
        <v>967</v>
      </c>
      <c r="J26" s="737" t="s">
        <v>954</v>
      </c>
      <c r="K26" s="739" t="s">
        <v>1047</v>
      </c>
      <c r="L26" s="304" t="s">
        <v>82</v>
      </c>
      <c r="M26" s="1279" t="s">
        <v>1150</v>
      </c>
      <c r="N26" s="291">
        <f>IFERROR(VLOOKUP($D26,'P.TTGD-CTSV'!$C$10:$AE$24,14,0),0)</f>
        <v>0</v>
      </c>
      <c r="O26" s="291">
        <f>IFERROR(VLOOKUP($D26,'P.TTGD-CTSV'!$C$10:$AE$24,28,0),0)</f>
        <v>0</v>
      </c>
      <c r="P26" s="313" t="str">
        <f t="shared" ref="P26" si="7">IF(AND($W26&gt;=2,$X26&gt;=3,$Y26&gt;=1,H26&lt;&gt;0),"A1",IF(AND($W26&gt;=3,$X26&gt;=1,$Y26&gt;=1,H26&lt;&gt;0),"A1",IF(AND($W26&gt;=4,$X26&gt;=0,$Y26&gt;=1,H26&lt;&gt;0),"A1",IF(AND($W26&gt;=2,$X26&gt;=2,$Y26&gt;=1,I26&lt;&gt;0),"A2",IF(AND($W26&gt;=3,$X26&gt;=0,$Y26&gt;=1,I26&lt;&gt;0),"A2",IF(AND(OR($W26&gt;=1,$X26&gt;=2),J26&lt;&gt;0,$Y26&gt;=-2),"A3","A4"))))))</f>
        <v>A1</v>
      </c>
      <c r="Q26" s="1196" t="s">
        <v>84</v>
      </c>
      <c r="R26" s="317"/>
      <c r="S26" s="692">
        <f>COUNTIF($U28:$U42,"A1")</f>
        <v>4</v>
      </c>
      <c r="T26" s="692">
        <f>COUNTIF($U28:$U42,"A2")</f>
        <v>5</v>
      </c>
      <c r="U26" s="176" t="str">
        <f>$Q26</f>
        <v>A2</v>
      </c>
      <c r="V26" s="180">
        <f>R26</f>
        <v>0</v>
      </c>
      <c r="W26" s="330">
        <f>IFERROR(VLOOKUP($D26,'P.TS-ĐT'!$C$10:$AM$26,23,0),0)</f>
        <v>8</v>
      </c>
      <c r="X26" s="330">
        <f>IFERROR(VLOOKUP($D26,'P.TS-ĐT'!$C$10:$AM$26,37,0),0)</f>
        <v>1</v>
      </c>
      <c r="Y26" s="952">
        <v>1</v>
      </c>
      <c r="Z26" s="119"/>
      <c r="AA26" s="83"/>
      <c r="AB26" s="242"/>
      <c r="AC26" s="836"/>
      <c r="AD26" s="1065" t="s">
        <v>1153</v>
      </c>
      <c r="AE26" s="60" t="str">
        <f>IF($L26=$P26,$L26,FALSE)</f>
        <v>A1</v>
      </c>
      <c r="AF26" s="60">
        <v>26</v>
      </c>
      <c r="AG26" s="592" t="s">
        <v>845</v>
      </c>
      <c r="AH26" s="592"/>
      <c r="AI26" s="605">
        <f>AH26/$L24</f>
        <v>0</v>
      </c>
      <c r="AJ26" s="551"/>
      <c r="AK26" s="594"/>
      <c r="AL26" s="598">
        <f>AL27+AL28</f>
        <v>16</v>
      </c>
      <c r="AM26" s="596" t="s">
        <v>896</v>
      </c>
      <c r="AN26" s="596" t="s">
        <v>844</v>
      </c>
      <c r="AO26" s="596" t="s">
        <v>896</v>
      </c>
      <c r="AP26" s="596" t="s">
        <v>844</v>
      </c>
      <c r="AQ26" s="596" t="s">
        <v>896</v>
      </c>
      <c r="AR26" s="596" t="s">
        <v>844</v>
      </c>
      <c r="AS26" s="596" t="s">
        <v>896</v>
      </c>
      <c r="AT26" s="596" t="s">
        <v>844</v>
      </c>
      <c r="AU26" s="596" t="s">
        <v>896</v>
      </c>
      <c r="AV26" s="596" t="s">
        <v>844</v>
      </c>
      <c r="AW26" s="596" t="s">
        <v>896</v>
      </c>
      <c r="AX26" s="596" t="s">
        <v>844</v>
      </c>
      <c r="AY26" s="596" t="s">
        <v>896</v>
      </c>
      <c r="AZ26" s="596" t="s">
        <v>844</v>
      </c>
      <c r="BA26" s="596" t="s">
        <v>896</v>
      </c>
      <c r="BB26" s="596" t="s">
        <v>844</v>
      </c>
      <c r="BD26" s="60" t="s">
        <v>871</v>
      </c>
      <c r="BE26" s="60" t="s">
        <v>866</v>
      </c>
    </row>
    <row r="27" spans="1:67" s="57" customFormat="1" ht="56.25" customHeight="1" x14ac:dyDescent="0.25">
      <c r="A27" s="63">
        <f>IF(D27="","",SUBTOTAL(3,$D$8:D27))</f>
        <v>15</v>
      </c>
      <c r="B27" s="63" t="s">
        <v>12</v>
      </c>
      <c r="C27" s="79" t="s">
        <v>506</v>
      </c>
      <c r="D27" s="73" t="s">
        <v>115</v>
      </c>
      <c r="E27" s="693">
        <f>E26/$AL$28</f>
        <v>0</v>
      </c>
      <c r="F27" s="693">
        <f>F26/$AL$28</f>
        <v>0.6428571428571429</v>
      </c>
      <c r="G27" s="282" t="str">
        <f t="shared" si="6"/>
        <v>A1</v>
      </c>
      <c r="H27" s="737" t="s">
        <v>960</v>
      </c>
      <c r="I27" s="737" t="s">
        <v>968</v>
      </c>
      <c r="J27" s="737" t="s">
        <v>954</v>
      </c>
      <c r="K27" s="491"/>
      <c r="L27" s="308" t="s">
        <v>82</v>
      </c>
      <c r="M27" s="1279" t="s">
        <v>1150</v>
      </c>
      <c r="N27" s="291">
        <f>IFERROR(VLOOKUP($D27,'P.TTGD-CTSV'!$C$10:$AE$24,14,0),0)</f>
        <v>0</v>
      </c>
      <c r="O27" s="291">
        <f>IFERROR(VLOOKUP($D27,'P.TTGD-CTSV'!$C$10:$AE$24,28,0),0)</f>
        <v>0</v>
      </c>
      <c r="P27" s="313" t="str">
        <f t="shared" ref="P27" si="8">IF(AND($W27&gt;=2,$X27&gt;=3,$Y27&gt;=1,H27&lt;&gt;0),"A1",IF(AND($W27&gt;=3,$X27&gt;=1,$Y27&gt;=1,H27&lt;&gt;0),"A1",IF(AND($W27&gt;=4,$X27&gt;=0,$Y27&gt;=1,H27&lt;&gt;0),"A1",IF(AND($W27&gt;=2,$X27&gt;=2,$Y27&gt;=1,I27&lt;&gt;0),"A2",IF(AND($W27&gt;=3,$X27&gt;=0,$Y27&gt;=1,I27&lt;&gt;0),"A2",IF(AND(OR($W27&gt;=1,$X27&gt;=2),J27&lt;&gt;0,$Y27&gt;=-2),"A3","A4"))))))</f>
        <v>A1</v>
      </c>
      <c r="Q27" s="1196" t="s">
        <v>84</v>
      </c>
      <c r="R27" s="315"/>
      <c r="S27" s="693">
        <f>S26/$AL$28</f>
        <v>0.2857142857142857</v>
      </c>
      <c r="T27" s="693">
        <f>T26/$AL$28</f>
        <v>0.35714285714285715</v>
      </c>
      <c r="U27" s="176" t="str">
        <f>$Q27</f>
        <v>A2</v>
      </c>
      <c r="V27" s="177"/>
      <c r="W27" s="330">
        <f>IFERROR(VLOOKUP($D27,'P.TS-ĐT'!$C$10:$AM$26,23,0),0)</f>
        <v>7</v>
      </c>
      <c r="X27" s="330">
        <f>IFERROR(VLOOKUP($D27,'P.TS-ĐT'!$C$10:$AM$26,37,0),0)</f>
        <v>2</v>
      </c>
      <c r="Y27" s="952">
        <v>1</v>
      </c>
      <c r="Z27" s="4"/>
      <c r="AA27" s="4"/>
      <c r="AB27" s="723"/>
      <c r="AC27" s="839"/>
      <c r="AD27" s="1065" t="s">
        <v>1153</v>
      </c>
      <c r="AE27" s="60" t="str">
        <f>IF($L27=$P27,$L27,FALSE)</f>
        <v>A1</v>
      </c>
      <c r="AF27" s="60">
        <v>24</v>
      </c>
      <c r="AG27" s="592" t="s">
        <v>846</v>
      </c>
      <c r="AH27" s="592">
        <v>0</v>
      </c>
      <c r="AI27" s="605">
        <f>AH27/$L24</f>
        <v>0</v>
      </c>
      <c r="AK27" s="597" t="s">
        <v>864</v>
      </c>
      <c r="AL27" s="595">
        <f>COUNTIF($BE$26:$BE$42,"CBQL")</f>
        <v>2</v>
      </c>
      <c r="AM27" s="595">
        <f>COUNTIF($U26:$U27,"A1")</f>
        <v>0</v>
      </c>
      <c r="AN27" s="611">
        <f>AM27/$AL$27</f>
        <v>0</v>
      </c>
      <c r="AO27" s="595">
        <f>COUNTIF($U26:$U27,"A2")</f>
        <v>2</v>
      </c>
      <c r="AP27" s="611">
        <f>AO27/$AL$26</f>
        <v>0.125</v>
      </c>
      <c r="AQ27" s="595">
        <f>COUNTIF($U26:$U27,"A3")</f>
        <v>0</v>
      </c>
      <c r="AR27" s="611">
        <f>AQ27/$AL$26</f>
        <v>0</v>
      </c>
      <c r="AS27" s="595">
        <f>COUNTIF($U26:$U27,"A4")</f>
        <v>0</v>
      </c>
      <c r="AT27" s="611">
        <f>AS27/$AL$26</f>
        <v>0</v>
      </c>
      <c r="AU27" s="595"/>
      <c r="AV27" s="595"/>
      <c r="AW27" s="595"/>
      <c r="AX27" s="595"/>
      <c r="AY27" s="595"/>
      <c r="AZ27" s="595"/>
      <c r="BA27" s="595"/>
      <c r="BB27" s="595"/>
      <c r="BD27" s="60" t="s">
        <v>871</v>
      </c>
      <c r="BE27" s="60" t="s">
        <v>866</v>
      </c>
    </row>
    <row r="28" spans="1:67" s="57" customFormat="1" ht="45.75" customHeight="1" x14ac:dyDescent="0.25">
      <c r="A28" s="63">
        <f>IF(D28="","",SUBTOTAL(3,$D$8:D28))</f>
        <v>16</v>
      </c>
      <c r="B28" s="63" t="s">
        <v>12</v>
      </c>
      <c r="C28" s="71" t="s">
        <v>357</v>
      </c>
      <c r="D28" s="72" t="s">
        <v>66</v>
      </c>
      <c r="E28" s="652"/>
      <c r="F28" s="652"/>
      <c r="G28" s="282" t="str">
        <f t="shared" si="6"/>
        <v>A2</v>
      </c>
      <c r="H28" s="737"/>
      <c r="I28" s="737" t="s">
        <v>955</v>
      </c>
      <c r="J28" s="737" t="s">
        <v>954</v>
      </c>
      <c r="K28" s="234"/>
      <c r="L28" s="308" t="s">
        <v>84</v>
      </c>
      <c r="M28" s="1139"/>
      <c r="N28" s="291">
        <f>IFERROR(VLOOKUP($D28,'P.TS-ĐT'!$C$10:$AM$26,22,0),0)</f>
        <v>8</v>
      </c>
      <c r="O28" s="291">
        <f>IFERROR(VLOOKUP($D28,'P.TS-ĐT'!$C$10:$AM$26,36,0),0)</f>
        <v>3</v>
      </c>
      <c r="P28" s="313" t="str">
        <f t="shared" ref="P28:P41" si="9">IF(AND($W28&gt;=2,$X28&gt;=3,$Y28&gt;=1,H28&lt;&gt;0),"A1",IF(AND($W28&gt;=3,$X28&gt;=1,$Y28&gt;=1,H28&lt;&gt;0),"A1",IF(AND($W28&gt;=4,$X28&gt;=0,$Y28&gt;=1,H28&lt;&gt;0),"A1",IF(AND($W28&gt;=2,$X28&gt;=2,$Y28&gt;=1,I28&lt;&gt;0),"A2",IF(AND($W28&gt;=3,$X28&gt;=0,$Y28&gt;=1,I28&lt;&gt;0),"A2",IF(AND(OR($W28&gt;=1,$X28&gt;=2),J28&lt;&gt;0,$Y28&gt;=-2),"A3","A4"))))))</f>
        <v>A2</v>
      </c>
      <c r="Q28" s="1196" t="s">
        <v>82</v>
      </c>
      <c r="R28" s="317"/>
      <c r="S28" s="664"/>
      <c r="T28" s="664"/>
      <c r="U28" s="176" t="str">
        <f t="shared" ref="U28:U41" si="10">$Q28</f>
        <v>A1</v>
      </c>
      <c r="V28" s="178"/>
      <c r="W28" s="330">
        <f>IFERROR(VLOOKUP($D28,'P.TS-ĐT'!$C$10:$AM$26,23,0),0)</f>
        <v>8</v>
      </c>
      <c r="X28" s="330">
        <f>IFERROR(VLOOKUP($D28,'P.TS-ĐT'!$C$10:$AM$26,37,0),0)</f>
        <v>3</v>
      </c>
      <c r="Y28" s="952">
        <v>1</v>
      </c>
      <c r="Z28" s="4"/>
      <c r="AA28" s="4"/>
      <c r="AB28" s="724" t="s">
        <v>82</v>
      </c>
      <c r="AC28" s="1063" t="s">
        <v>1110</v>
      </c>
      <c r="AD28" s="1065"/>
      <c r="AE28" s="60" t="str">
        <f t="shared" si="3"/>
        <v>A2</v>
      </c>
      <c r="AF28" s="60">
        <v>25</v>
      </c>
      <c r="AG28" s="60"/>
      <c r="AH28" s="542"/>
      <c r="AI28" s="542"/>
      <c r="AK28" s="597" t="s">
        <v>865</v>
      </c>
      <c r="AL28" s="595">
        <f>COUNTIF($BE$28:$BE$42,"GV") + COUNTIF($BE$28:$BE$42,"NV")</f>
        <v>14</v>
      </c>
      <c r="AM28" s="595">
        <f>COUNTIF($U28:$U42,"A1")</f>
        <v>4</v>
      </c>
      <c r="AN28" s="611">
        <f>AM28/$AL$28</f>
        <v>0.2857142857142857</v>
      </c>
      <c r="AO28" s="595">
        <f>COUNTIF($U28:$U42,"A2")</f>
        <v>5</v>
      </c>
      <c r="AP28" s="611">
        <f>AO28/$AL$28</f>
        <v>0.35714285714285715</v>
      </c>
      <c r="AQ28" s="595">
        <f>COUNTIF($U28:$U42,"A3")</f>
        <v>4</v>
      </c>
      <c r="AR28" s="611">
        <f>AQ28/$AL$26</f>
        <v>0.25</v>
      </c>
      <c r="AS28" s="595">
        <f>COUNTIF($U28:$U42,"A4")</f>
        <v>1</v>
      </c>
      <c r="AT28" s="611">
        <f>AS28/$AL$26</f>
        <v>6.25E-2</v>
      </c>
      <c r="AU28" s="595"/>
      <c r="AV28" s="595"/>
      <c r="AW28" s="595"/>
      <c r="AX28" s="595"/>
      <c r="AY28" s="595"/>
      <c r="AZ28" s="595"/>
      <c r="BA28" s="595"/>
      <c r="BB28" s="595"/>
      <c r="BD28" s="60" t="s">
        <v>871</v>
      </c>
      <c r="BE28" s="60" t="s">
        <v>867</v>
      </c>
    </row>
    <row r="29" spans="1:67" s="57" customFormat="1" ht="27.75" customHeight="1" x14ac:dyDescent="0.25">
      <c r="A29" s="63">
        <f>IF(D29="","",SUBTOTAL(3,$D$8:D29))</f>
        <v>17</v>
      </c>
      <c r="B29" s="63" t="s">
        <v>13</v>
      </c>
      <c r="C29" s="71" t="s">
        <v>358</v>
      </c>
      <c r="D29" s="72" t="s">
        <v>67</v>
      </c>
      <c r="E29" s="652"/>
      <c r="F29" s="652"/>
      <c r="G29" s="282" t="str">
        <f t="shared" si="6"/>
        <v>A2</v>
      </c>
      <c r="H29" s="737"/>
      <c r="I29" s="737" t="s">
        <v>966</v>
      </c>
      <c r="J29" s="737" t="s">
        <v>954</v>
      </c>
      <c r="K29" s="234"/>
      <c r="L29" s="294" t="s">
        <v>84</v>
      </c>
      <c r="M29" s="1141"/>
      <c r="N29" s="291">
        <f>IFERROR(VLOOKUP($D29,'P.TS-ĐT'!$C$10:$AM$26,22,0),0)</f>
        <v>6</v>
      </c>
      <c r="O29" s="291">
        <f>IFERROR(VLOOKUP($D29,'P.TS-ĐT'!$C$10:$AM$26,36,0),0)</f>
        <v>2</v>
      </c>
      <c r="P29" s="313" t="str">
        <f t="shared" si="9"/>
        <v>A2</v>
      </c>
      <c r="Q29" s="341" t="str">
        <f t="shared" ref="Q29:Q36" si="11">P29</f>
        <v>A2</v>
      </c>
      <c r="R29" s="317"/>
      <c r="S29" s="663"/>
      <c r="T29" s="663"/>
      <c r="U29" s="176" t="str">
        <f t="shared" si="10"/>
        <v>A2</v>
      </c>
      <c r="V29" s="178"/>
      <c r="W29" s="330">
        <f>IFERROR(VLOOKUP($D29,'P.TS-ĐT'!$C$10:$AM$26,23,0),0)</f>
        <v>6</v>
      </c>
      <c r="X29" s="330">
        <f>IFERROR(VLOOKUP($D29,'P.TS-ĐT'!$C$10:$AM$26,37,0),0)</f>
        <v>2</v>
      </c>
      <c r="Y29" s="952">
        <v>1</v>
      </c>
      <c r="Z29" s="2"/>
      <c r="AA29" s="2"/>
      <c r="AB29" s="724"/>
      <c r="AC29" s="1063"/>
      <c r="AD29" s="213"/>
      <c r="AE29" s="60" t="str">
        <f t="shared" si="3"/>
        <v>A2</v>
      </c>
      <c r="AF29" s="60">
        <v>22</v>
      </c>
      <c r="AG29" s="60"/>
      <c r="AH29" s="542"/>
      <c r="AI29" s="542"/>
      <c r="AK29" s="589"/>
      <c r="AL29" s="589"/>
      <c r="AM29" s="589"/>
      <c r="AN29" s="589"/>
      <c r="AO29" s="589"/>
      <c r="AP29" s="589"/>
      <c r="AQ29" s="589"/>
      <c r="AR29" s="589"/>
      <c r="AS29" s="589"/>
      <c r="AT29" s="589"/>
      <c r="AU29" s="589"/>
      <c r="AV29" s="589"/>
      <c r="AW29" s="589"/>
      <c r="AX29" s="589"/>
      <c r="AY29" s="589"/>
      <c r="AZ29" s="589"/>
      <c r="BA29" s="589"/>
      <c r="BB29" s="589"/>
      <c r="BD29" s="60" t="s">
        <v>871</v>
      </c>
      <c r="BE29" s="60" t="s">
        <v>867</v>
      </c>
      <c r="BG29" s="591"/>
      <c r="BH29" s="1334" t="s">
        <v>911</v>
      </c>
      <c r="BI29" s="1334"/>
      <c r="BJ29" s="1330" t="s">
        <v>912</v>
      </c>
      <c r="BK29" s="1331"/>
      <c r="BL29" s="1330" t="s">
        <v>913</v>
      </c>
      <c r="BM29" s="1331"/>
      <c r="BN29" s="1330" t="s">
        <v>914</v>
      </c>
      <c r="BO29" s="1331"/>
    </row>
    <row r="30" spans="1:67" s="57" customFormat="1" ht="41.25" customHeight="1" x14ac:dyDescent="0.25">
      <c r="A30" s="63">
        <f>IF(D30="","",SUBTOTAL(3,$D$8:D30))</f>
        <v>18</v>
      </c>
      <c r="B30" s="63" t="s">
        <v>14</v>
      </c>
      <c r="C30" s="71" t="s">
        <v>359</v>
      </c>
      <c r="D30" s="72" t="s">
        <v>68</v>
      </c>
      <c r="E30" s="652"/>
      <c r="F30" s="652"/>
      <c r="G30" s="282" t="str">
        <f t="shared" si="6"/>
        <v>A3</v>
      </c>
      <c r="H30" s="737"/>
      <c r="I30" s="737"/>
      <c r="J30" s="737" t="s">
        <v>954</v>
      </c>
      <c r="K30" s="234"/>
      <c r="L30" s="294" t="s">
        <v>85</v>
      </c>
      <c r="M30" s="1140"/>
      <c r="N30" s="291">
        <f>IFERROR(VLOOKUP($D30,'P.TS-ĐT'!$C$10:$AM$26,22,0),0)</f>
        <v>6</v>
      </c>
      <c r="O30" s="291">
        <f>IFERROR(VLOOKUP($D30,'P.TS-ĐT'!$C$10:$AM$26,36,0),0)</f>
        <v>1</v>
      </c>
      <c r="P30" s="313" t="str">
        <f t="shared" si="9"/>
        <v>A3</v>
      </c>
      <c r="Q30" s="341" t="str">
        <f t="shared" si="11"/>
        <v>A3</v>
      </c>
      <c r="R30" s="317"/>
      <c r="S30" s="663"/>
      <c r="T30" s="663"/>
      <c r="U30" s="176" t="str">
        <f t="shared" si="10"/>
        <v>A3</v>
      </c>
      <c r="V30" s="178"/>
      <c r="W30" s="330">
        <f>IFERROR(VLOOKUP($D30,'P.TS-ĐT'!$C$10:$AM$26,23,0),0)</f>
        <v>6</v>
      </c>
      <c r="X30" s="330">
        <f>IFERROR(VLOOKUP($D30,'P.TS-ĐT'!$C$10:$AM$26,37,0),0)</f>
        <v>1</v>
      </c>
      <c r="Y30" s="952">
        <v>1</v>
      </c>
      <c r="Z30" s="857"/>
      <c r="AA30" s="859"/>
      <c r="AB30" s="724"/>
      <c r="AC30" s="1063"/>
      <c r="AD30" s="1065"/>
      <c r="AE30" s="60" t="str">
        <f t="shared" si="3"/>
        <v>A3</v>
      </c>
      <c r="AF30" s="60">
        <v>25</v>
      </c>
      <c r="AG30" s="60"/>
      <c r="AH30" s="542"/>
      <c r="AI30" s="542"/>
      <c r="AK30" s="589"/>
      <c r="AL30" s="589"/>
      <c r="AM30" s="589"/>
      <c r="AN30" s="589"/>
      <c r="AO30" s="589"/>
      <c r="AP30" s="589"/>
      <c r="AQ30" s="589"/>
      <c r="AR30" s="589"/>
      <c r="AS30" s="589"/>
      <c r="AT30" s="589"/>
      <c r="AU30" s="589"/>
      <c r="AV30" s="589"/>
      <c r="AW30" s="589"/>
      <c r="AX30" s="589"/>
      <c r="AY30" s="589"/>
      <c r="AZ30" s="589"/>
      <c r="BA30" s="589"/>
      <c r="BB30" s="589"/>
      <c r="BD30" s="60" t="s">
        <v>871</v>
      </c>
      <c r="BE30" s="60" t="s">
        <v>867</v>
      </c>
      <c r="BG30" s="591"/>
      <c r="BH30" s="591" t="s">
        <v>896</v>
      </c>
      <c r="BI30" s="591" t="s">
        <v>910</v>
      </c>
      <c r="BJ30" s="591" t="s">
        <v>896</v>
      </c>
      <c r="BK30" s="591" t="s">
        <v>910</v>
      </c>
      <c r="BL30" s="591" t="s">
        <v>896</v>
      </c>
      <c r="BM30" s="591" t="s">
        <v>910</v>
      </c>
      <c r="BN30" s="591" t="s">
        <v>896</v>
      </c>
      <c r="BO30" s="591" t="s">
        <v>910</v>
      </c>
    </row>
    <row r="31" spans="1:67" s="57" customFormat="1" ht="41.25" customHeight="1" x14ac:dyDescent="0.25">
      <c r="A31" s="63">
        <f>IF(D31="","",SUBTOTAL(3,$D$8:D31))</f>
        <v>19</v>
      </c>
      <c r="B31" s="63" t="s">
        <v>15</v>
      </c>
      <c r="C31" s="71" t="s">
        <v>360</v>
      </c>
      <c r="D31" s="72" t="s">
        <v>365</v>
      </c>
      <c r="E31" s="652"/>
      <c r="F31" s="652"/>
      <c r="G31" s="282" t="str">
        <f t="shared" si="6"/>
        <v>A3</v>
      </c>
      <c r="H31" s="737"/>
      <c r="I31" s="737"/>
      <c r="J31" s="737" t="s">
        <v>954</v>
      </c>
      <c r="K31" s="234"/>
      <c r="L31" s="308" t="s">
        <v>85</v>
      </c>
      <c r="M31" s="1140" t="s">
        <v>1145</v>
      </c>
      <c r="N31" s="291">
        <f>IFERROR(VLOOKUP($D31,'P.TS-ĐT'!$C$10:$AM$26,22,0),0)</f>
        <v>4</v>
      </c>
      <c r="O31" s="291">
        <f>IFERROR(VLOOKUP($D31,'P.TS-ĐT'!$C$10:$AM$26,36,0),0)</f>
        <v>1</v>
      </c>
      <c r="P31" s="313" t="str">
        <f t="shared" si="9"/>
        <v>A3</v>
      </c>
      <c r="Q31" s="341" t="str">
        <f t="shared" si="11"/>
        <v>A3</v>
      </c>
      <c r="R31" s="317"/>
      <c r="S31" s="664"/>
      <c r="T31" s="664"/>
      <c r="U31" s="176" t="str">
        <f t="shared" si="10"/>
        <v>A3</v>
      </c>
      <c r="V31" s="180">
        <f>R31</f>
        <v>0</v>
      </c>
      <c r="W31" s="330">
        <f>IFERROR(VLOOKUP($D31,'P.TS-ĐT'!$C$10:$AM$26,23,0),0)</f>
        <v>4</v>
      </c>
      <c r="X31" s="330">
        <f>IFERROR(VLOOKUP($D31,'P.TS-ĐT'!$C$10:$AM$26,37,0),0)</f>
        <v>1</v>
      </c>
      <c r="Y31" s="952">
        <v>1</v>
      </c>
      <c r="Z31" s="3"/>
      <c r="AA31" s="3"/>
      <c r="AB31" s="724"/>
      <c r="AC31" s="1063"/>
      <c r="AD31" s="213"/>
      <c r="AE31" s="60" t="str">
        <f t="shared" si="3"/>
        <v>A3</v>
      </c>
      <c r="AF31" s="60">
        <v>22</v>
      </c>
      <c r="AG31" s="60"/>
      <c r="AH31" s="542"/>
      <c r="AI31" s="542"/>
      <c r="AK31" s="94"/>
      <c r="AL31" s="94"/>
      <c r="AM31" s="603"/>
      <c r="AN31" s="603"/>
      <c r="AO31" s="603"/>
      <c r="AP31" s="603"/>
      <c r="AQ31" s="603"/>
      <c r="AR31" s="603"/>
      <c r="AS31" s="603"/>
      <c r="AT31" s="599"/>
      <c r="AU31" s="603"/>
      <c r="AV31" s="603"/>
      <c r="AW31" s="603"/>
      <c r="AX31" s="603"/>
      <c r="AY31" s="603"/>
      <c r="AZ31" s="603"/>
      <c r="BA31" s="603"/>
      <c r="BB31" s="603"/>
      <c r="BD31" s="60" t="s">
        <v>871</v>
      </c>
      <c r="BE31" s="60" t="s">
        <v>867</v>
      </c>
      <c r="BG31" s="591" t="s">
        <v>897</v>
      </c>
      <c r="BH31" s="591"/>
      <c r="BI31" s="591"/>
      <c r="BJ31" s="591"/>
      <c r="BK31" s="591"/>
      <c r="BL31" s="591"/>
      <c r="BM31" s="591"/>
      <c r="BN31" s="591"/>
      <c r="BO31" s="591"/>
    </row>
    <row r="32" spans="1:67" s="60" customFormat="1" ht="30" customHeight="1" x14ac:dyDescent="0.25">
      <c r="A32" s="63">
        <f>IF(D32="","",SUBTOTAL(3,$D$8:D32))</f>
        <v>20</v>
      </c>
      <c r="B32" s="63" t="s">
        <v>16</v>
      </c>
      <c r="C32" s="71" t="s">
        <v>361</v>
      </c>
      <c r="D32" s="89" t="s">
        <v>69</v>
      </c>
      <c r="E32" s="652"/>
      <c r="F32" s="652"/>
      <c r="G32" s="282" t="str">
        <f t="shared" si="6"/>
        <v>A2</v>
      </c>
      <c r="H32" s="737"/>
      <c r="I32" s="737" t="s">
        <v>966</v>
      </c>
      <c r="J32" s="737" t="s">
        <v>954</v>
      </c>
      <c r="K32" s="234"/>
      <c r="L32" s="294" t="s">
        <v>84</v>
      </c>
      <c r="M32" s="1142"/>
      <c r="N32" s="291">
        <f>IFERROR(VLOOKUP($D32,'P.TS-ĐT'!$C$10:$AM$26,22,0),0)</f>
        <v>3</v>
      </c>
      <c r="O32" s="291">
        <f>IFERROR(VLOOKUP($D32,'P.TS-ĐT'!$C$10:$AM$26,36,0),0)</f>
        <v>2</v>
      </c>
      <c r="P32" s="313" t="str">
        <f t="shared" si="9"/>
        <v>A2</v>
      </c>
      <c r="Q32" s="341" t="str">
        <f t="shared" si="11"/>
        <v>A2</v>
      </c>
      <c r="R32" s="315"/>
      <c r="S32" s="663"/>
      <c r="T32" s="663"/>
      <c r="U32" s="176" t="str">
        <f t="shared" si="10"/>
        <v>A2</v>
      </c>
      <c r="V32" s="180">
        <f>R32</f>
        <v>0</v>
      </c>
      <c r="W32" s="330">
        <f>IFERROR(VLOOKUP($D32,'P.TS-ĐT'!$C$10:$AM$26,23,0),0)</f>
        <v>3</v>
      </c>
      <c r="X32" s="330">
        <f>IFERROR(VLOOKUP($D32,'P.TS-ĐT'!$C$10:$AM$26,37,0),0)</f>
        <v>2</v>
      </c>
      <c r="Y32" s="952">
        <v>1</v>
      </c>
      <c r="Z32" s="857"/>
      <c r="AA32" s="859"/>
      <c r="AB32" s="724"/>
      <c r="AC32" s="1063"/>
      <c r="AD32" s="213"/>
      <c r="AE32" s="60" t="str">
        <f t="shared" si="3"/>
        <v>A2</v>
      </c>
      <c r="AF32" s="60">
        <v>25</v>
      </c>
      <c r="AK32" s="158"/>
      <c r="AL32" s="601"/>
      <c r="AM32" s="599"/>
      <c r="AN32" s="599"/>
      <c r="AO32" s="599"/>
      <c r="AP32" s="599"/>
      <c r="AQ32" s="599"/>
      <c r="AR32" s="599"/>
      <c r="AS32" s="599"/>
      <c r="AT32" s="599"/>
      <c r="AU32" s="599"/>
      <c r="AV32" s="599"/>
      <c r="AW32" s="599"/>
      <c r="AX32" s="599"/>
      <c r="AY32" s="599"/>
      <c r="AZ32" s="599"/>
      <c r="BA32" s="599"/>
      <c r="BB32" s="599"/>
      <c r="BD32" s="60" t="s">
        <v>871</v>
      </c>
      <c r="BE32" s="60" t="s">
        <v>867</v>
      </c>
      <c r="BG32" s="591" t="s">
        <v>898</v>
      </c>
      <c r="BH32" s="592"/>
      <c r="BI32" s="592"/>
      <c r="BJ32" s="592"/>
      <c r="BK32" s="592"/>
      <c r="BL32" s="592"/>
      <c r="BM32" s="592"/>
      <c r="BN32" s="592"/>
      <c r="BO32" s="592"/>
    </row>
    <row r="33" spans="1:67" s="57" customFormat="1" ht="30" customHeight="1" x14ac:dyDescent="0.25">
      <c r="A33" s="63">
        <f>IF(D33="","",SUBTOTAL(3,$D$8:D33))</f>
        <v>21</v>
      </c>
      <c r="B33" s="63" t="s">
        <v>17</v>
      </c>
      <c r="C33" s="71" t="s">
        <v>362</v>
      </c>
      <c r="D33" s="73" t="s">
        <v>70</v>
      </c>
      <c r="E33" s="652"/>
      <c r="F33" s="652"/>
      <c r="G33" s="282" t="str">
        <f t="shared" si="6"/>
        <v>A2</v>
      </c>
      <c r="H33" s="737"/>
      <c r="I33" s="737" t="s">
        <v>966</v>
      </c>
      <c r="J33" s="737" t="s">
        <v>954</v>
      </c>
      <c r="K33" s="234"/>
      <c r="L33" s="294" t="s">
        <v>84</v>
      </c>
      <c r="M33" s="1140"/>
      <c r="N33" s="291">
        <f>IFERROR(VLOOKUP($D33,'P.TS-ĐT'!$C$10:$AM$26,22,0),0)</f>
        <v>6</v>
      </c>
      <c r="O33" s="291">
        <f>IFERROR(VLOOKUP($D33,'P.TS-ĐT'!$C$10:$AM$26,36,0),0)</f>
        <v>2</v>
      </c>
      <c r="P33" s="313" t="str">
        <f t="shared" si="9"/>
        <v>A2</v>
      </c>
      <c r="Q33" s="1196" t="str">
        <f t="shared" si="11"/>
        <v>A2</v>
      </c>
      <c r="R33" s="1282" t="s">
        <v>1207</v>
      </c>
      <c r="S33" s="663"/>
      <c r="T33" s="663"/>
      <c r="U33" s="176" t="str">
        <f t="shared" si="10"/>
        <v>A2</v>
      </c>
      <c r="V33" s="180"/>
      <c r="W33" s="330">
        <f>IFERROR(VLOOKUP($D33,'P.TS-ĐT'!$C$10:$AM$26,23,0),0)</f>
        <v>6</v>
      </c>
      <c r="X33" s="330">
        <f>IFERROR(VLOOKUP($D33,'P.TS-ĐT'!$C$10:$AM$26,37,0),0)</f>
        <v>2</v>
      </c>
      <c r="Y33" s="952">
        <v>1</v>
      </c>
      <c r="Z33" s="68"/>
      <c r="AA33" s="68"/>
      <c r="AB33" s="724"/>
      <c r="AC33" s="1063"/>
      <c r="AD33" s="213"/>
      <c r="AE33" s="60" t="str">
        <f t="shared" si="3"/>
        <v>A2</v>
      </c>
      <c r="AF33" s="60">
        <v>22</v>
      </c>
      <c r="AG33" s="60"/>
      <c r="AH33" s="542"/>
      <c r="AI33" s="542"/>
      <c r="AK33" s="158"/>
      <c r="AL33" s="158"/>
      <c r="AM33" s="158"/>
      <c r="AN33" s="158"/>
      <c r="AO33" s="158"/>
      <c r="AP33" s="158"/>
      <c r="AQ33" s="158"/>
      <c r="AR33" s="158"/>
      <c r="AS33" s="158"/>
      <c r="AT33" s="158"/>
      <c r="AU33" s="158"/>
      <c r="AV33" s="158"/>
      <c r="AW33" s="158"/>
      <c r="AX33" s="158"/>
      <c r="AY33" s="158"/>
      <c r="AZ33" s="158"/>
      <c r="BA33" s="158"/>
      <c r="BB33" s="158"/>
      <c r="BD33" s="60" t="s">
        <v>871</v>
      </c>
      <c r="BE33" s="60" t="s">
        <v>867</v>
      </c>
      <c r="BG33" s="591" t="s">
        <v>899</v>
      </c>
      <c r="BH33" s="591"/>
      <c r="BI33" s="591"/>
      <c r="BJ33" s="591"/>
      <c r="BK33" s="591"/>
      <c r="BL33" s="591"/>
      <c r="BM33" s="591"/>
      <c r="BN33" s="591"/>
      <c r="BO33" s="591"/>
    </row>
    <row r="34" spans="1:67" s="57" customFormat="1" ht="41.25" customHeight="1" x14ac:dyDescent="0.25">
      <c r="A34" s="63">
        <f>IF(D34="","",SUBTOTAL(3,$D$8:D34))</f>
        <v>22</v>
      </c>
      <c r="B34" s="63" t="s">
        <v>18</v>
      </c>
      <c r="C34" s="71" t="s">
        <v>363</v>
      </c>
      <c r="D34" s="72" t="s">
        <v>366</v>
      </c>
      <c r="E34" s="652"/>
      <c r="F34" s="652"/>
      <c r="G34" s="282" t="str">
        <f t="shared" si="6"/>
        <v>A2</v>
      </c>
      <c r="H34" s="737"/>
      <c r="I34" s="737" t="s">
        <v>966</v>
      </c>
      <c r="J34" s="737" t="s">
        <v>954</v>
      </c>
      <c r="K34" s="234"/>
      <c r="L34" s="294" t="s">
        <v>84</v>
      </c>
      <c r="M34" s="1142"/>
      <c r="N34" s="291">
        <f>IFERROR(VLOOKUP($D34,'P.TS-ĐT'!$C$10:$AM$26,22,0),0)</f>
        <v>4</v>
      </c>
      <c r="O34" s="291">
        <f>IFERROR(VLOOKUP($D34,'P.TS-ĐT'!$C$10:$AM$26,36,0),0)</f>
        <v>1</v>
      </c>
      <c r="P34" s="313" t="str">
        <f t="shared" si="9"/>
        <v>A2</v>
      </c>
      <c r="Q34" s="341" t="str">
        <f t="shared" si="11"/>
        <v>A2</v>
      </c>
      <c r="R34" s="345"/>
      <c r="S34" s="666"/>
      <c r="T34" s="666"/>
      <c r="U34" s="176" t="str">
        <f t="shared" si="10"/>
        <v>A2</v>
      </c>
      <c r="V34" s="179"/>
      <c r="W34" s="330">
        <f>IFERROR(VLOOKUP($D34,'P.TS-ĐT'!$C$10:$AM$26,23,0),0)</f>
        <v>4</v>
      </c>
      <c r="X34" s="330">
        <f>IFERROR(VLOOKUP($D34,'P.TS-ĐT'!$C$10:$AM$26,37,0),0)</f>
        <v>1</v>
      </c>
      <c r="Y34" s="952">
        <v>1</v>
      </c>
      <c r="Z34" s="3"/>
      <c r="AA34" s="3"/>
      <c r="AB34" s="724"/>
      <c r="AC34" s="1063"/>
      <c r="AD34" s="213"/>
      <c r="AE34" s="60" t="str">
        <f t="shared" si="3"/>
        <v>A2</v>
      </c>
      <c r="AF34" s="60">
        <v>24</v>
      </c>
      <c r="AG34" s="60"/>
      <c r="AH34" s="542"/>
      <c r="AI34" s="542"/>
      <c r="AK34" s="600"/>
      <c r="AL34" s="601"/>
      <c r="AM34" s="601"/>
      <c r="AN34" s="602"/>
      <c r="AO34" s="601"/>
      <c r="AP34" s="602"/>
      <c r="AQ34" s="601"/>
      <c r="AR34" s="602"/>
      <c r="AS34" s="601"/>
      <c r="AT34" s="602"/>
      <c r="AU34" s="601"/>
      <c r="AV34" s="601"/>
      <c r="AW34" s="601"/>
      <c r="AX34" s="601"/>
      <c r="AY34" s="601"/>
      <c r="AZ34" s="601"/>
      <c r="BA34" s="601"/>
      <c r="BB34" s="601"/>
      <c r="BD34" s="60" t="s">
        <v>871</v>
      </c>
      <c r="BE34" s="60" t="s">
        <v>867</v>
      </c>
      <c r="BG34" s="591" t="s">
        <v>900</v>
      </c>
      <c r="BH34" s="591"/>
      <c r="BI34" s="591"/>
      <c r="BJ34" s="591"/>
      <c r="BK34" s="591"/>
      <c r="BL34" s="591"/>
      <c r="BM34" s="591"/>
      <c r="BN34" s="591"/>
      <c r="BO34" s="591"/>
    </row>
    <row r="35" spans="1:67" s="60" customFormat="1" ht="47.25" customHeight="1" x14ac:dyDescent="0.25">
      <c r="A35" s="63">
        <f>IF(D35="","",SUBTOTAL(3,$D$8:D35))</f>
        <v>23</v>
      </c>
      <c r="B35" s="63" t="s">
        <v>19</v>
      </c>
      <c r="C35" s="71" t="s">
        <v>364</v>
      </c>
      <c r="D35" s="72" t="s">
        <v>71</v>
      </c>
      <c r="E35" s="652"/>
      <c r="F35" s="652"/>
      <c r="G35" s="282" t="str">
        <f>IF($H35&lt;&gt;0,"A1",IF($I35&lt;&gt;0,"A2",IF($J35&lt;&gt;0,"A3","A4")))</f>
        <v>A2</v>
      </c>
      <c r="H35" s="737"/>
      <c r="I35" s="737" t="s">
        <v>966</v>
      </c>
      <c r="J35" s="737" t="s">
        <v>954</v>
      </c>
      <c r="K35" s="234"/>
      <c r="L35" s="296" t="s">
        <v>84</v>
      </c>
      <c r="M35" s="1139"/>
      <c r="N35" s="291">
        <f>IFERROR(VLOOKUP($D35,'P.TS-ĐT'!$C$10:$AM$26,22,0),0)</f>
        <v>5</v>
      </c>
      <c r="O35" s="291">
        <f>IFERROR(VLOOKUP($D35,'P.TS-ĐT'!$C$10:$AM$26,36,0),0)</f>
        <v>0</v>
      </c>
      <c r="P35" s="313" t="str">
        <f>IF(AND($W35&gt;=2,$X35&gt;=3,$Y35&gt;=1,H35&lt;&gt;0),"A1",IF(AND($W35&gt;=3,$X35&gt;=1,$Y35&gt;=1,H35&lt;&gt;0),"A1",IF(AND($W35&gt;=4,$X35&gt;=0,$Y35&gt;=1,H35&lt;&gt;0),"A1",IF(AND($W35&gt;=2,$X35&gt;=2,$Y35&gt;=1,I35&lt;&gt;0),"A2",IF(AND($W35&gt;=3,$X35&gt;=0,$Y35&gt;=1,I35&lt;&gt;0),"A2",IF(AND(OR($W35&gt;=1,$X35&gt;=2),J35&lt;&gt;0,$Y35&gt;=-2),"A3","A4"))))))</f>
        <v>A2</v>
      </c>
      <c r="Q35" s="1196" t="s">
        <v>82</v>
      </c>
      <c r="R35" s="315"/>
      <c r="S35" s="665"/>
      <c r="T35" s="665"/>
      <c r="U35" s="176" t="str">
        <f>$Q35</f>
        <v>A1</v>
      </c>
      <c r="V35" s="178"/>
      <c r="W35" s="330">
        <f>IFERROR(VLOOKUP($D35,'P.TS-ĐT'!$C$10:$AM$26,23,0),0)</f>
        <v>5</v>
      </c>
      <c r="X35" s="330">
        <f>IFERROR(VLOOKUP($D35,'P.TS-ĐT'!$C$10:$AM$26,37,0),0)</f>
        <v>0</v>
      </c>
      <c r="Y35" s="952">
        <v>1</v>
      </c>
      <c r="Z35" s="2"/>
      <c r="AA35" s="2"/>
      <c r="AB35" s="724" t="s">
        <v>82</v>
      </c>
      <c r="AC35" s="1063" t="s">
        <v>1143</v>
      </c>
      <c r="AD35" s="213"/>
      <c r="AE35" s="60" t="str">
        <f>IF($L35=$P35,$L35,FALSE)</f>
        <v>A2</v>
      </c>
      <c r="AF35" s="60">
        <v>22</v>
      </c>
      <c r="AK35" s="600"/>
      <c r="AL35" s="601"/>
      <c r="AM35" s="601"/>
      <c r="AN35" s="602"/>
      <c r="AO35" s="601"/>
      <c r="AP35" s="602"/>
      <c r="AQ35" s="601"/>
      <c r="AR35" s="602"/>
      <c r="AS35" s="601"/>
      <c r="AT35" s="602"/>
      <c r="AU35" s="601"/>
      <c r="AV35" s="601"/>
      <c r="AW35" s="601"/>
      <c r="AX35" s="601"/>
      <c r="AY35" s="601"/>
      <c r="AZ35" s="601"/>
      <c r="BA35" s="601"/>
      <c r="BB35" s="601"/>
      <c r="BD35" s="60" t="s">
        <v>871</v>
      </c>
      <c r="BE35" s="60" t="s">
        <v>867</v>
      </c>
    </row>
    <row r="36" spans="1:67" s="60" customFormat="1" ht="30" customHeight="1" x14ac:dyDescent="0.25">
      <c r="A36" s="63">
        <f>IF(D36="","",SUBTOTAL(3,$D$8:D36))</f>
        <v>24</v>
      </c>
      <c r="B36" s="63" t="s">
        <v>15</v>
      </c>
      <c r="C36" s="147" t="s">
        <v>148</v>
      </c>
      <c r="D36" s="91" t="s">
        <v>92</v>
      </c>
      <c r="E36" s="652"/>
      <c r="F36" s="652"/>
      <c r="G36" s="282" t="str">
        <f>IF($H36&lt;&gt;0,"A1",IF($I36&lt;&gt;0,"A2",IF($J36&lt;&gt;0,"A3","A4")))</f>
        <v>A2</v>
      </c>
      <c r="H36" s="234"/>
      <c r="I36" s="737" t="s">
        <v>955</v>
      </c>
      <c r="J36" s="737" t="s">
        <v>954</v>
      </c>
      <c r="K36" s="234"/>
      <c r="L36" s="289" t="s">
        <v>85</v>
      </c>
      <c r="M36" s="1139" t="s">
        <v>1145</v>
      </c>
      <c r="N36" s="291">
        <f>IFERROR(VLOOKUP($D36,'P.TS-ĐT'!$C$10:$AM$26,22,0),0)</f>
        <v>3</v>
      </c>
      <c r="O36" s="291">
        <f>IFERROR(VLOOKUP($D36,'P.TS-ĐT'!$C$10:$AM$26,36,0),0)</f>
        <v>1</v>
      </c>
      <c r="P36" s="313" t="str">
        <f>IF(AND($W36&gt;=2,$X36&gt;=3,$Y36&gt;=1,H36&lt;&gt;0),"A1",IF(AND($W36&gt;=3,$X36&gt;=1,$Y36&gt;=1,H36&lt;&gt;0),"A1",IF(AND($W36&gt;=4,$X36&gt;=0,$Y36&gt;=1,H36&lt;&gt;0),"A1",IF(AND($W36&gt;=2,$X36&gt;=2,$Y36&gt;=1,I36&lt;&gt;0),"A2",IF(AND($W36&gt;=3,$X36&gt;=0,$Y36&gt;=1,I36&lt;&gt;0),"A2",IF(AND(OR($W36&gt;=1,$X36&gt;=2),J36&lt;&gt;0,$Y36&gt;=-2),"A3","A4"))))))</f>
        <v>A3</v>
      </c>
      <c r="Q36" s="341" t="str">
        <f t="shared" si="11"/>
        <v>A3</v>
      </c>
      <c r="R36" s="325"/>
      <c r="S36" s="671"/>
      <c r="T36" s="671"/>
      <c r="U36" s="176" t="str">
        <f>$Q36</f>
        <v>A3</v>
      </c>
      <c r="V36" s="179"/>
      <c r="W36" s="330">
        <f>IFERROR(VLOOKUP($D36,'P.TS-ĐT'!$C$10:$AM$26,23,0),0)</f>
        <v>3</v>
      </c>
      <c r="X36" s="330">
        <f>IFERROR(VLOOKUP($D36,'P.TS-ĐT'!$C$10:$AM$26,37,0),0)</f>
        <v>1</v>
      </c>
      <c r="Y36" s="1276"/>
      <c r="Z36" s="2"/>
      <c r="AA36" s="2"/>
      <c r="AB36" s="228"/>
      <c r="AC36" s="775"/>
      <c r="AD36" s="213"/>
      <c r="AE36" s="60" t="str">
        <f>IF($L36=$P36,$L36,FALSE)</f>
        <v>A3</v>
      </c>
      <c r="AF36" s="60">
        <v>22</v>
      </c>
      <c r="BD36" s="60" t="s">
        <v>871</v>
      </c>
      <c r="BE36" s="60" t="s">
        <v>867</v>
      </c>
    </row>
    <row r="37" spans="1:67" ht="39.75" customHeight="1" x14ac:dyDescent="0.25">
      <c r="A37" s="65" t="s">
        <v>51</v>
      </c>
      <c r="B37" s="65" t="s">
        <v>51</v>
      </c>
      <c r="C37" s="66" t="s">
        <v>48</v>
      </c>
      <c r="D37" s="65"/>
      <c r="E37" s="652"/>
      <c r="F37" s="652"/>
      <c r="G37" s="280">
        <f>COUNTA($L38:$L42)</f>
        <v>5</v>
      </c>
      <c r="H37" s="737"/>
      <c r="I37" s="737"/>
      <c r="J37" s="737"/>
      <c r="K37" s="234"/>
      <c r="L37" s="754">
        <f>COUNTA($L38:$L42)</f>
        <v>5</v>
      </c>
      <c r="M37" s="286" t="str">
        <f xml:space="preserve"> (COUNTIF($L38:$L42, "A1") &amp; "A1")&amp;" + "&amp; (COUNTIF($L38:$L42, "A2") &amp; "A2")&amp;" + "&amp; (COUNTIF($L38:$L42, "A3") &amp; "A3")&amp;" + "&amp; (COUNTIF($L38:$L42, "A4") &amp; "A4")</f>
        <v>0A1 + 3A2 + 1A3 + 1A4</v>
      </c>
      <c r="N37" s="297"/>
      <c r="O37" s="297"/>
      <c r="P37" s="311">
        <f>COUNTA($Q38:$Q42)</f>
        <v>5</v>
      </c>
      <c r="Q37" s="340">
        <f>COUNTA($Q38:$Q42)</f>
        <v>5</v>
      </c>
      <c r="R37" s="312" t="str">
        <f xml:space="preserve"> (COUNTIF($Q38:$Q42, "A1") &amp; "A1")&amp;" + "&amp; (COUNTIF($Q38:$Q42, "A2") &amp; "A2")&amp;" + "&amp; (COUNTIF($Q38:$Q42, "A3") &amp; "A3")&amp;" + "&amp; (COUNTIF($Q38:$Q42, "A4") &amp; "A4")</f>
        <v>2A1 + 1A2 + 1A3 + 1A4</v>
      </c>
      <c r="S37" s="661"/>
      <c r="T37" s="661"/>
      <c r="U37" s="174">
        <f>COUNTA($U38:$U42)</f>
        <v>5</v>
      </c>
      <c r="V37" s="175" t="str">
        <f xml:space="preserve"> (COUNTIF($U38:$U42, "A1") &amp; "A1")&amp;" + "&amp; (COUNTIF($U38:$U42, "A2") &amp; "A2")&amp;" + "&amp; (COUNTIF($U38:$U42, "A3") &amp; "A3")&amp;" + "&amp; (COUNTIF($U38:$U42, "A4") &amp; "A4")</f>
        <v>2A1 + 1A2 + 1A3 + 1A4</v>
      </c>
      <c r="W37" s="321"/>
      <c r="X37" s="321"/>
      <c r="Y37" s="793"/>
      <c r="Z37" s="95"/>
      <c r="AA37" s="95"/>
      <c r="AB37" s="228"/>
      <c r="AC37" s="775"/>
      <c r="AD37" s="213"/>
      <c r="AE37" s="60"/>
      <c r="AF37" s="60"/>
      <c r="AG37" s="60"/>
      <c r="AK37" s="158"/>
      <c r="AL37" s="158"/>
      <c r="AM37" s="158"/>
      <c r="AN37" s="158"/>
      <c r="AO37" s="158"/>
      <c r="AP37" s="158"/>
      <c r="AQ37" s="158"/>
      <c r="AR37" s="158"/>
      <c r="AS37" s="158"/>
      <c r="AT37" s="158"/>
      <c r="AU37" s="158"/>
      <c r="AV37" s="158"/>
      <c r="AW37" s="158"/>
      <c r="AX37" s="158"/>
      <c r="AY37" s="158"/>
      <c r="AZ37" s="158"/>
      <c r="BA37" s="158"/>
      <c r="BB37" s="158"/>
      <c r="BD37" s="60" t="s">
        <v>871</v>
      </c>
      <c r="BF37" s="59"/>
      <c r="BG37" s="59"/>
    </row>
    <row r="38" spans="1:67" s="70" customFormat="1" ht="31.5" customHeight="1" x14ac:dyDescent="0.25">
      <c r="A38" s="63">
        <f>IF(D38="","",SUBTOTAL(3,$D$8:D38))</f>
        <v>25</v>
      </c>
      <c r="B38" s="63" t="s">
        <v>23</v>
      </c>
      <c r="C38" s="75" t="s">
        <v>1131</v>
      </c>
      <c r="D38" s="1162" t="s">
        <v>1132</v>
      </c>
      <c r="E38" s="652"/>
      <c r="F38" s="652"/>
      <c r="G38" s="282" t="str">
        <f>IF($H38&lt;&gt;0,"A1",IF($I38&lt;&gt;0,"A2",IF($J38&lt;&gt;0,"A3","A4")))</f>
        <v>A4</v>
      </c>
      <c r="H38" s="737"/>
      <c r="I38" s="737"/>
      <c r="J38" s="737"/>
      <c r="K38" s="234"/>
      <c r="L38" s="294" t="s">
        <v>83</v>
      </c>
      <c r="M38" s="1142" t="s">
        <v>1133</v>
      </c>
      <c r="N38" s="291">
        <f>IFERROR(VLOOKUP($D38,'P.TS-ĐT'!$C$10:$AM$26,22,0),0)</f>
        <v>1</v>
      </c>
      <c r="O38" s="291">
        <f>IFERROR(VLOOKUP($D38,'P.TS-ĐT'!$C$10:$AM$26,36,0),0)</f>
        <v>1</v>
      </c>
      <c r="P38" s="313" t="str">
        <f>IF(AND($W38&gt;=2,$X38&gt;=3,$Y38&gt;=1,H38&lt;&gt;0),"A1",IF(AND($W38&gt;=3,$X38&gt;=1,$Y38&gt;=1,H38&lt;&gt;0),"A1",IF(AND($W38&gt;=4,$X38&gt;=0,$Y38&gt;=1,H38&lt;&gt;0),"A1",IF(AND($W38&gt;=2,$X38&gt;=2,$Y38&gt;=1,I38&lt;&gt;0),"A2",IF(AND($W38&gt;=3,$X38&gt;=0,$Y38&gt;=1,I38&lt;&gt;0),"A2",IF(AND(OR($W38&gt;=1,$X38&gt;=2),J38&lt;&gt;0,$Y38&gt;=-2),"A3","A4"))))))</f>
        <v>A4</v>
      </c>
      <c r="Q38" s="341" t="str">
        <f>P38</f>
        <v>A4</v>
      </c>
      <c r="R38" s="346"/>
      <c r="S38" s="664"/>
      <c r="T38" s="664"/>
      <c r="U38" s="176" t="str">
        <f>$Q38</f>
        <v>A4</v>
      </c>
      <c r="V38" s="180"/>
      <c r="W38" s="330">
        <f>IFERROR(VLOOKUP($D38,'P.TS-ĐT'!$C$10:$AM$26,23,0),0)</f>
        <v>1</v>
      </c>
      <c r="X38" s="330">
        <f>IFERROR(VLOOKUP($D38,'P.TS-ĐT'!$C$10:$AM$26,37,0),0)</f>
        <v>1</v>
      </c>
      <c r="Y38" s="952">
        <v>1</v>
      </c>
      <c r="Z38" s="68"/>
      <c r="AA38" s="68"/>
      <c r="AB38" s="724"/>
      <c r="AC38" s="837"/>
      <c r="AD38" s="213"/>
      <c r="AE38" s="60" t="str">
        <f>IF($L38=$P38,$L38,FALSE)</f>
        <v>A4</v>
      </c>
      <c r="AF38" s="60">
        <v>25</v>
      </c>
      <c r="AG38" s="60"/>
      <c r="AK38" s="158"/>
      <c r="AL38" s="158"/>
      <c r="AM38" s="158"/>
      <c r="AN38" s="158"/>
      <c r="AO38" s="158"/>
      <c r="AP38" s="158"/>
      <c r="AQ38" s="158"/>
      <c r="AR38" s="158"/>
      <c r="AS38" s="158"/>
      <c r="AT38" s="158"/>
      <c r="AU38" s="158"/>
      <c r="AV38" s="158"/>
      <c r="AW38" s="158"/>
      <c r="AX38" s="158"/>
      <c r="AY38" s="158"/>
      <c r="AZ38" s="158"/>
      <c r="BA38" s="158"/>
      <c r="BB38" s="158"/>
      <c r="BD38" s="60" t="s">
        <v>871</v>
      </c>
      <c r="BE38" s="60" t="s">
        <v>867</v>
      </c>
    </row>
    <row r="39" spans="1:67" s="57" customFormat="1" ht="29.25" customHeight="1" x14ac:dyDescent="0.25">
      <c r="A39" s="63">
        <f>IF(D39="","",SUBTOTAL(3,$D$8:D39))</f>
        <v>26</v>
      </c>
      <c r="B39" s="63" t="s">
        <v>21</v>
      </c>
      <c r="C39" s="71" t="s">
        <v>367</v>
      </c>
      <c r="D39" s="72" t="s">
        <v>78</v>
      </c>
      <c r="E39" s="652"/>
      <c r="F39" s="652"/>
      <c r="G39" s="282" t="str">
        <f t="shared" si="6"/>
        <v>A2</v>
      </c>
      <c r="H39" s="737"/>
      <c r="I39" s="737" t="s">
        <v>955</v>
      </c>
      <c r="J39" s="737" t="s">
        <v>954</v>
      </c>
      <c r="K39" s="234"/>
      <c r="L39" s="294" t="s">
        <v>84</v>
      </c>
      <c r="M39" s="295"/>
      <c r="N39" s="291">
        <f>IFERROR(VLOOKUP($D39,'P.TS-ĐT'!$C$10:$AM$26,22,0),0)</f>
        <v>4</v>
      </c>
      <c r="O39" s="291">
        <f>IFERROR(VLOOKUP($D39,'P.TS-ĐT'!$C$10:$AM$26,36,0),0)</f>
        <v>0</v>
      </c>
      <c r="P39" s="313" t="str">
        <f t="shared" si="9"/>
        <v>A2</v>
      </c>
      <c r="Q39" s="341" t="str">
        <f t="shared" ref="Q39:Q41" si="12">P39</f>
        <v>A2</v>
      </c>
      <c r="R39" s="315"/>
      <c r="S39" s="667"/>
      <c r="T39" s="667"/>
      <c r="U39" s="176" t="str">
        <f t="shared" si="10"/>
        <v>A2</v>
      </c>
      <c r="V39" s="179"/>
      <c r="W39" s="330">
        <f>IFERROR(VLOOKUP($D39,'P.TS-ĐT'!$C$10:$AM$26,23,0),0)</f>
        <v>4</v>
      </c>
      <c r="X39" s="330">
        <f>IFERROR(VLOOKUP($D39,'P.TS-ĐT'!$C$10:$AM$26,37,0),0)</f>
        <v>0</v>
      </c>
      <c r="Y39" s="952">
        <v>1</v>
      </c>
      <c r="Z39" s="68"/>
      <c r="AA39" s="68"/>
      <c r="AB39" s="228"/>
      <c r="AC39" s="775"/>
      <c r="AD39" s="790"/>
      <c r="AE39" s="60" t="str">
        <f t="shared" si="3"/>
        <v>A2</v>
      </c>
      <c r="AF39" s="60">
        <v>24</v>
      </c>
      <c r="AG39" s="60"/>
      <c r="AH39" s="542"/>
      <c r="AI39" s="542"/>
      <c r="AK39" s="600"/>
      <c r="AL39" s="601"/>
      <c r="AM39" s="601"/>
      <c r="AN39" s="602"/>
      <c r="AO39" s="601"/>
      <c r="AP39" s="602"/>
      <c r="AQ39" s="601"/>
      <c r="AR39" s="602"/>
      <c r="AS39" s="601"/>
      <c r="AT39" s="602"/>
      <c r="AU39" s="601"/>
      <c r="AV39" s="601"/>
      <c r="AW39" s="601"/>
      <c r="AX39" s="601"/>
      <c r="AY39" s="601"/>
      <c r="AZ39" s="601"/>
      <c r="BA39" s="601"/>
      <c r="BB39" s="601"/>
      <c r="BD39" s="60" t="s">
        <v>871</v>
      </c>
      <c r="BE39" s="60" t="s">
        <v>867</v>
      </c>
    </row>
    <row r="40" spans="1:67" s="70" customFormat="1" ht="65.25" customHeight="1" x14ac:dyDescent="0.25">
      <c r="A40" s="63">
        <f>IF(D40="","",SUBTOTAL(3,$D$8:D40))</f>
        <v>27</v>
      </c>
      <c r="B40" s="63" t="s">
        <v>22</v>
      </c>
      <c r="C40" s="71" t="s">
        <v>368</v>
      </c>
      <c r="D40" s="72" t="s">
        <v>79</v>
      </c>
      <c r="E40" s="652"/>
      <c r="F40" s="652"/>
      <c r="G40" s="282" t="str">
        <f t="shared" si="6"/>
        <v>A2</v>
      </c>
      <c r="H40" s="737"/>
      <c r="I40" s="737" t="s">
        <v>966</v>
      </c>
      <c r="J40" s="737" t="s">
        <v>954</v>
      </c>
      <c r="K40" s="234"/>
      <c r="L40" s="294" t="s">
        <v>84</v>
      </c>
      <c r="M40" s="295"/>
      <c r="N40" s="291">
        <f>IFERROR(VLOOKUP($D40,'P.TS-ĐT'!$C$10:$AM$26,22,0),0)</f>
        <v>6</v>
      </c>
      <c r="O40" s="291">
        <f>IFERROR(VLOOKUP($D40,'P.TS-ĐT'!$C$10:$AM$26,36,0),0)</f>
        <v>3</v>
      </c>
      <c r="P40" s="313" t="str">
        <f t="shared" si="9"/>
        <v>A2</v>
      </c>
      <c r="Q40" s="1196" t="s">
        <v>82</v>
      </c>
      <c r="R40" s="345"/>
      <c r="S40" s="667"/>
      <c r="T40" s="667"/>
      <c r="U40" s="176" t="str">
        <f t="shared" si="10"/>
        <v>A1</v>
      </c>
      <c r="V40" s="179"/>
      <c r="W40" s="330">
        <f>IFERROR(VLOOKUP($D40,'P.TS-ĐT'!$C$10:$AM$26,23,0),0)</f>
        <v>6</v>
      </c>
      <c r="X40" s="330">
        <f>IFERROR(VLOOKUP($D40,'P.TS-ĐT'!$C$10:$AM$26,37,0),0)</f>
        <v>3</v>
      </c>
      <c r="Y40" s="952">
        <v>1</v>
      </c>
      <c r="Z40" s="68"/>
      <c r="AA40" s="68"/>
      <c r="AB40" s="228" t="s">
        <v>82</v>
      </c>
      <c r="AC40" s="775" t="s">
        <v>1144</v>
      </c>
      <c r="AD40" s="213"/>
      <c r="AE40" s="60" t="str">
        <f t="shared" si="3"/>
        <v>A2</v>
      </c>
      <c r="AF40" s="60">
        <v>28</v>
      </c>
      <c r="AG40" s="60"/>
      <c r="AK40" s="600"/>
      <c r="AL40" s="601"/>
      <c r="AM40" s="601"/>
      <c r="AN40" s="602"/>
      <c r="AO40" s="601"/>
      <c r="AP40" s="602"/>
      <c r="AQ40" s="601"/>
      <c r="AR40" s="602"/>
      <c r="AS40" s="601"/>
      <c r="AT40" s="602"/>
      <c r="AU40" s="601"/>
      <c r="AV40" s="601"/>
      <c r="AW40" s="601"/>
      <c r="AX40" s="601"/>
      <c r="AY40" s="601"/>
      <c r="AZ40" s="601"/>
      <c r="BA40" s="601"/>
      <c r="BB40" s="601"/>
      <c r="BD40" s="60" t="s">
        <v>871</v>
      </c>
      <c r="BE40" s="60" t="s">
        <v>867</v>
      </c>
    </row>
    <row r="41" spans="1:67" s="70" customFormat="1" ht="29.25" customHeight="1" x14ac:dyDescent="0.25">
      <c r="A41" s="63">
        <f>IF(D41="","",SUBTOTAL(3,$D$8:D41))</f>
        <v>28</v>
      </c>
      <c r="B41" s="63" t="s">
        <v>23</v>
      </c>
      <c r="C41" s="75" t="s">
        <v>369</v>
      </c>
      <c r="D41" s="76" t="s">
        <v>80</v>
      </c>
      <c r="E41" s="652"/>
      <c r="F41" s="652"/>
      <c r="G41" s="282" t="str">
        <f t="shared" si="6"/>
        <v>A3</v>
      </c>
      <c r="H41" s="737"/>
      <c r="I41" s="737"/>
      <c r="J41" s="737" t="s">
        <v>954</v>
      </c>
      <c r="K41" s="234"/>
      <c r="L41" s="294" t="s">
        <v>85</v>
      </c>
      <c r="M41" s="1142"/>
      <c r="N41" s="291">
        <f>IFERROR(VLOOKUP($D41,'P.TS-ĐT'!$C$10:$AM$26,22,0),0)</f>
        <v>5</v>
      </c>
      <c r="O41" s="291">
        <f>IFERROR(VLOOKUP($D41,'P.TS-ĐT'!$C$10:$AM$26,36,0),0)</f>
        <v>4</v>
      </c>
      <c r="P41" s="313" t="str">
        <f t="shared" si="9"/>
        <v>A3</v>
      </c>
      <c r="Q41" s="341" t="str">
        <f t="shared" si="12"/>
        <v>A3</v>
      </c>
      <c r="R41" s="346"/>
      <c r="S41" s="664"/>
      <c r="T41" s="664"/>
      <c r="U41" s="176" t="str">
        <f t="shared" si="10"/>
        <v>A3</v>
      </c>
      <c r="V41" s="180"/>
      <c r="W41" s="330">
        <f>IFERROR(VLOOKUP($D41,'P.TS-ĐT'!$C$10:$AM$26,23,0),0)</f>
        <v>5</v>
      </c>
      <c r="X41" s="330">
        <f>IFERROR(VLOOKUP($D41,'P.TS-ĐT'!$C$10:$AM$26,37,0),0)</f>
        <v>4</v>
      </c>
      <c r="Y41" s="952">
        <v>1</v>
      </c>
      <c r="Z41" s="68"/>
      <c r="AA41" s="68"/>
      <c r="AB41" s="724"/>
      <c r="AC41" s="837"/>
      <c r="AD41" s="213"/>
      <c r="AE41" s="60" t="str">
        <f t="shared" si="3"/>
        <v>A3</v>
      </c>
      <c r="AF41" s="60">
        <v>25</v>
      </c>
      <c r="AG41" s="60"/>
      <c r="AK41" s="158"/>
      <c r="AL41" s="158"/>
      <c r="AM41" s="158"/>
      <c r="AN41" s="158"/>
      <c r="AO41" s="158"/>
      <c r="AP41" s="158"/>
      <c r="AQ41" s="158"/>
      <c r="AR41" s="158"/>
      <c r="AS41" s="158"/>
      <c r="AT41" s="158"/>
      <c r="AU41" s="158"/>
      <c r="AV41" s="158"/>
      <c r="AW41" s="158"/>
      <c r="AX41" s="158"/>
      <c r="AY41" s="158"/>
      <c r="AZ41" s="158"/>
      <c r="BA41" s="158"/>
      <c r="BB41" s="158"/>
      <c r="BD41" s="60" t="s">
        <v>871</v>
      </c>
      <c r="BE41" s="60" t="s">
        <v>867</v>
      </c>
    </row>
    <row r="42" spans="1:67" s="70" customFormat="1" ht="48.75" customHeight="1" x14ac:dyDescent="0.25">
      <c r="A42" s="63">
        <f>IF(D42="","",SUBTOTAL(3,$D$8:D42))</f>
        <v>29</v>
      </c>
      <c r="B42" s="63" t="s">
        <v>24</v>
      </c>
      <c r="C42" s="71" t="s">
        <v>370</v>
      </c>
      <c r="D42" s="72" t="s">
        <v>81</v>
      </c>
      <c r="E42" s="652"/>
      <c r="F42" s="652"/>
      <c r="G42" s="282" t="str">
        <f>IF($H42&lt;&gt;0,"A1",IF($I42&lt;&gt;0,"A2",IF($J42&lt;&gt;0,"A3","A4")))</f>
        <v>A2</v>
      </c>
      <c r="H42" s="737"/>
      <c r="I42" s="772" t="s">
        <v>1067</v>
      </c>
      <c r="J42" s="737" t="s">
        <v>954</v>
      </c>
      <c r="K42" s="334" t="s">
        <v>1070</v>
      </c>
      <c r="L42" s="294" t="s">
        <v>84</v>
      </c>
      <c r="M42" s="1142"/>
      <c r="N42" s="291">
        <f>IFERROR(VLOOKUP($D42,'P.TS-ĐT'!$C$10:$AM$26,22,0),0)</f>
        <v>7</v>
      </c>
      <c r="O42" s="291">
        <f>IFERROR(VLOOKUP($D42,'P.TS-ĐT'!$C$10:$AM$26,36,0),0)</f>
        <v>1</v>
      </c>
      <c r="P42" s="313" t="str">
        <f>IF(AND($W42&gt;=2,$X42&gt;=3,$Y42&gt;=1,H42&lt;&gt;0),"A1",IF(AND($W42&gt;=3,$X42&gt;=1,$Y42&gt;=1,H42&lt;&gt;0),"A1",IF(AND($W42&gt;=4,$X42&gt;=0,$Y42&gt;=1,H42&lt;&gt;0),"A1",IF(AND($W42&gt;=2,$X42&gt;=2,$Y42&gt;=1,I42&lt;&gt;0),"A2",IF(AND($W42&gt;=3,$X42&gt;=0,$Y42&gt;=1,I42&lt;&gt;0),"A2",IF(AND(OR($W42&gt;=1,$X42&gt;=2),J42&lt;&gt;0,$Y42&gt;=-2),"A3","A4"))))))</f>
        <v>A2</v>
      </c>
      <c r="Q42" s="1196" t="s">
        <v>82</v>
      </c>
      <c r="R42" s="315"/>
      <c r="S42" s="664"/>
      <c r="T42" s="664"/>
      <c r="U42" s="176" t="str">
        <f>$Q42</f>
        <v>A1</v>
      </c>
      <c r="V42" s="180"/>
      <c r="W42" s="330">
        <f>IFERROR(VLOOKUP($D42,'P.TS-ĐT'!$C$10:$AM$26,23,0),0)</f>
        <v>7</v>
      </c>
      <c r="X42" s="330">
        <f>IFERROR(VLOOKUP($D42,'P.TS-ĐT'!$C$10:$AM$26,37,0),0)</f>
        <v>1</v>
      </c>
      <c r="Y42" s="952">
        <v>1</v>
      </c>
      <c r="Z42" s="2"/>
      <c r="AA42" s="2"/>
      <c r="AB42" s="218" t="s">
        <v>82</v>
      </c>
      <c r="AC42" s="837" t="s">
        <v>1110</v>
      </c>
      <c r="AD42" s="213"/>
      <c r="AE42" s="60" t="str">
        <f>IF($L42=$P42,$L42,FALSE)</f>
        <v>A2</v>
      </c>
      <c r="AF42" s="60">
        <v>25</v>
      </c>
      <c r="AG42" s="60"/>
      <c r="AH42" s="607"/>
      <c r="AI42" s="607"/>
      <c r="AK42" s="600"/>
      <c r="AL42" s="601"/>
      <c r="AM42" s="601"/>
      <c r="AN42" s="602"/>
      <c r="AO42" s="601"/>
      <c r="AP42" s="602"/>
      <c r="AQ42" s="601"/>
      <c r="AR42" s="602"/>
      <c r="AS42" s="601"/>
      <c r="AT42" s="602"/>
      <c r="AU42" s="601"/>
      <c r="AV42" s="601"/>
      <c r="AW42" s="601"/>
      <c r="AX42" s="601"/>
      <c r="AY42" s="601"/>
      <c r="AZ42" s="601"/>
      <c r="BA42" s="601"/>
      <c r="BB42" s="601"/>
      <c r="BD42" s="60" t="s">
        <v>871</v>
      </c>
      <c r="BE42" s="60" t="s">
        <v>867</v>
      </c>
    </row>
    <row r="43" spans="1:67" ht="51" customHeight="1" x14ac:dyDescent="0.25">
      <c r="A43" s="62" t="s">
        <v>724</v>
      </c>
      <c r="B43" s="62" t="s">
        <v>724</v>
      </c>
      <c r="C43" s="64" t="s">
        <v>558</v>
      </c>
      <c r="D43" s="62"/>
      <c r="E43" s="691" t="s">
        <v>949</v>
      </c>
      <c r="F43" s="691" t="s">
        <v>950</v>
      </c>
      <c r="G43" s="280">
        <f>$L$44+$L$57</f>
        <v>27</v>
      </c>
      <c r="H43" s="737"/>
      <c r="I43" s="737"/>
      <c r="J43" s="737"/>
      <c r="K43" s="234"/>
      <c r="L43" s="500">
        <f>$L$44+$L$57</f>
        <v>27</v>
      </c>
      <c r="M43" s="286" t="str">
        <f xml:space="preserve"> (COUNTIF($L$45:$L$72, "A1") &amp; "A1")&amp;" + "&amp; (COUNTIF($L$45:$L$72, "A2") &amp; "A2")&amp;" + "&amp; (COUNTIF($L$45:$L$72, "A3") &amp; "A3")&amp;" + "&amp; (COUNTIF($L$45:$L$72, "A4") &amp; "A4")&amp;" + "&amp; (COUNTIF($L$45:$L$72, "A DN") &amp; "A DN")</f>
        <v>4A1 + 5A2 + 5A3 + 12A4 + 1A DN</v>
      </c>
      <c r="N43" s="500"/>
      <c r="O43" s="500"/>
      <c r="P43" s="311">
        <f>$Q$44+$Q$57</f>
        <v>27</v>
      </c>
      <c r="Q43" s="340">
        <f>$Q$44+$Q$57</f>
        <v>27</v>
      </c>
      <c r="R43" s="312" t="str">
        <f xml:space="preserve"> (COUNTIF($Q$45:$Q$72, "A1") &amp; "A1")&amp;" + "&amp; (COUNTIF($Q$45:$Q$72, "A2") &amp; "A2")&amp;" + "&amp; (COUNTIF($Q$45:$Q$72, "A3") &amp; "A3")&amp;" + "&amp; (COUNTIF($Q$45:$Q$72, "A4") &amp; "A4")&amp;" + "&amp; (COUNTIF($Q$45:$Q$72, "A DN") &amp; "A DN")</f>
        <v>5A1 + 7A2 + 10A3 + 4A4 + 1A DN</v>
      </c>
      <c r="S43" s="691" t="s">
        <v>949</v>
      </c>
      <c r="T43" s="691" t="s">
        <v>950</v>
      </c>
      <c r="U43" s="174">
        <f>$U$44+$U$57</f>
        <v>27</v>
      </c>
      <c r="V43" s="175" t="str">
        <f xml:space="preserve"> (COUNTIF($U$45:$U$72, "A1") &amp; "A1")&amp;" + "&amp; (COUNTIF($U$45:$U$72, "A2") &amp; "A2")&amp;" + "&amp; (COUNTIF($U$45:$U$72, "A3") &amp; "A3")&amp;" + "&amp; (COUNTIF($U$45:$U$72, "A4") &amp; "A4")&amp;" + "&amp; (COUNTIF($U$45:$U$72, "A DN") &amp; "A DN")</f>
        <v>5A1 + 8A2 + 9A3 + 4A4 + 1A DN</v>
      </c>
      <c r="W43" s="501"/>
      <c r="X43" s="501"/>
      <c r="Y43" s="556"/>
      <c r="Z43" s="95"/>
      <c r="AA43" s="95"/>
      <c r="AB43" s="242"/>
      <c r="AC43" s="1353"/>
      <c r="AD43" s="219"/>
      <c r="AE43" s="60"/>
      <c r="AF43" s="60"/>
      <c r="AG43" s="607"/>
      <c r="AH43" s="608"/>
      <c r="AI43" s="608"/>
      <c r="AK43" s="1327" t="s">
        <v>906</v>
      </c>
      <c r="AL43" s="1327"/>
      <c r="AM43" s="1327"/>
      <c r="AN43" s="1327"/>
      <c r="AO43" s="1327"/>
      <c r="AP43" s="1327"/>
      <c r="AQ43" s="1327"/>
      <c r="AR43" s="1327"/>
      <c r="AS43" s="1327"/>
      <c r="AT43" s="1327"/>
      <c r="AU43" s="1327"/>
      <c r="AV43" s="1327"/>
      <c r="AW43" s="1327"/>
      <c r="AX43" s="1327"/>
      <c r="AY43" s="1327"/>
      <c r="AZ43" s="1327"/>
      <c r="BA43" s="1327"/>
      <c r="BB43" s="1327"/>
      <c r="BF43" s="60">
        <f>COUNTIF($BE$45:$BE$72,"CBQL")</f>
        <v>3</v>
      </c>
      <c r="BG43" s="60">
        <f>COUNTIF($BE$45:$BE$72,"GV") + COUNTIF($BE$45:$BE$72,"NV")</f>
        <v>24</v>
      </c>
    </row>
    <row r="44" spans="1:67" ht="37.5" customHeight="1" x14ac:dyDescent="0.25">
      <c r="A44" s="65" t="s">
        <v>45</v>
      </c>
      <c r="B44" s="65" t="s">
        <v>45</v>
      </c>
      <c r="C44" s="66" t="s">
        <v>551</v>
      </c>
      <c r="D44" s="65"/>
      <c r="E44" s="692">
        <f>COUNTIF($L48:$L72,"A1")</f>
        <v>1</v>
      </c>
      <c r="F44" s="692">
        <f>COUNTIF($L48:$L72,"A2")</f>
        <v>5</v>
      </c>
      <c r="G44" s="280">
        <f>COUNTA($L$45:$L$56)</f>
        <v>12</v>
      </c>
      <c r="H44" s="234"/>
      <c r="I44" s="234"/>
      <c r="J44" s="234"/>
      <c r="K44" s="234"/>
      <c r="L44" s="500">
        <f>COUNTA($L$45:$L$56)</f>
        <v>12</v>
      </c>
      <c r="M44" s="286" t="str">
        <f xml:space="preserve"> (COUNTIF($L$45:$L$56, "A1") &amp; "A1")&amp;" + "&amp; (COUNTIF($L$45:$L$56, "A2") &amp; "A2")&amp;" + "&amp; (COUNTIF($L$45:$L$56, "A3") &amp; "A3")&amp;" + "&amp; (COUNTIF($L$45:$L$56, "A4") &amp; "A4")&amp;" + "&amp; (COUNTIF($L$45:$L$56, "A DN") &amp; "A DN")</f>
        <v>4A1 + 5A2 + 2A3 + 1A4 + 0A DN</v>
      </c>
      <c r="N44" s="500"/>
      <c r="O44" s="500"/>
      <c r="P44" s="311">
        <f>COUNTA($Q$45:$Q$56)</f>
        <v>12</v>
      </c>
      <c r="Q44" s="340">
        <f>COUNTA($Q$45:$Q$56)</f>
        <v>12</v>
      </c>
      <c r="R44" s="312" t="str">
        <f xml:space="preserve"> (COUNTIF($Q$45:$Q$56, "A1") &amp; "A1")&amp;" + "&amp; (COUNTIF($Q$45:$Q$56, "A2") &amp; "A2")&amp;" + "&amp; (COUNTIF($Q$45:$Q$56, "A3") &amp; "A3")&amp;" + "&amp; (COUNTIF($Q$45:$Q$56, "A4") &amp; "A4")&amp;" + "&amp; (COUNTIF($Q$45:$Q$56, "A DN") &amp; "A DN")</f>
        <v>5A1 + 4A2 + 3A3 + 0A4 + 0A DN</v>
      </c>
      <c r="S44" s="692">
        <f>COUNTIF($U48:$U72,"A1")</f>
        <v>2</v>
      </c>
      <c r="T44" s="692">
        <f>COUNTIF($U48:$U72,"A2")</f>
        <v>8</v>
      </c>
      <c r="U44" s="174">
        <f>COUNTA($U$45:$U$56)</f>
        <v>12</v>
      </c>
      <c r="V44" s="175" t="str">
        <f xml:space="preserve"> (COUNTIF($U$45:$U$56, "A1") &amp; "A1")&amp;" + "&amp; (COUNTIF($U$45:$U$56, "A2") &amp; "A2")&amp;" + "&amp; (COUNTIF($U$45:$U$56, "A3") &amp; "A3")&amp;" + "&amp; (COUNTIF($U$45:$U$56, "A4") &amp; "A4")&amp;" + "&amp; (COUNTIF($U$45:$U$56, "A DN") &amp; "A DN")</f>
        <v>5A1 + 5A2 + 2A3 + 0A4 + 0A DN</v>
      </c>
      <c r="W44" s="501"/>
      <c r="X44" s="501"/>
      <c r="Y44" s="556"/>
      <c r="Z44" s="95"/>
      <c r="AA44" s="95"/>
      <c r="AB44" s="242"/>
      <c r="AC44" s="1354"/>
      <c r="AD44" s="213"/>
      <c r="AE44" s="60"/>
      <c r="AF44" s="60"/>
      <c r="AG44" s="1328" t="s">
        <v>915</v>
      </c>
      <c r="AH44" s="1328"/>
      <c r="AI44" s="1328"/>
      <c r="AK44" s="598" t="s">
        <v>916</v>
      </c>
      <c r="AL44" s="598" t="s">
        <v>907</v>
      </c>
      <c r="AM44" s="1329" t="s">
        <v>897</v>
      </c>
      <c r="AN44" s="1329"/>
      <c r="AO44" s="1329" t="s">
        <v>898</v>
      </c>
      <c r="AP44" s="1329"/>
      <c r="AQ44" s="1329" t="s">
        <v>899</v>
      </c>
      <c r="AR44" s="1329"/>
      <c r="AS44" s="1329" t="s">
        <v>900</v>
      </c>
      <c r="AT44" s="1329"/>
      <c r="AU44" s="1329" t="s">
        <v>902</v>
      </c>
      <c r="AV44" s="1329"/>
      <c r="AW44" s="1329" t="s">
        <v>903</v>
      </c>
      <c r="AX44" s="1329"/>
      <c r="AY44" s="1329" t="s">
        <v>904</v>
      </c>
      <c r="AZ44" s="1329"/>
      <c r="BA44" s="1329" t="s">
        <v>905</v>
      </c>
      <c r="BB44" s="1329"/>
      <c r="BF44" s="59"/>
      <c r="BG44" s="59"/>
    </row>
    <row r="45" spans="1:67" s="57" customFormat="1" ht="45" customHeight="1" x14ac:dyDescent="0.25">
      <c r="A45" s="63">
        <f>IF(D45="","",SUBTOTAL(3,$D$8:D45))</f>
        <v>30</v>
      </c>
      <c r="B45" s="63" t="s">
        <v>5</v>
      </c>
      <c r="C45" s="67" t="s">
        <v>371</v>
      </c>
      <c r="D45" s="63" t="s">
        <v>710</v>
      </c>
      <c r="E45" s="693">
        <f>E44/$AL$47</f>
        <v>4.1666666666666664E-2</v>
      </c>
      <c r="F45" s="693">
        <f>F44/$AL$47</f>
        <v>0.20833333333333334</v>
      </c>
      <c r="G45" s="282" t="str">
        <f t="shared" ref="G45:G72" si="13">IF($H45&lt;&gt;0,"A1",IF($I45&lt;&gt;0,"A2",IF($J45&lt;&gt;0,"A3","A4")))</f>
        <v>A1</v>
      </c>
      <c r="H45" s="737" t="s">
        <v>1061</v>
      </c>
      <c r="I45" s="737" t="s">
        <v>965</v>
      </c>
      <c r="J45" s="737" t="s">
        <v>954</v>
      </c>
      <c r="K45" s="234"/>
      <c r="L45" s="298" t="s">
        <v>82</v>
      </c>
      <c r="M45" s="1142" t="s">
        <v>1194</v>
      </c>
      <c r="N45" s="291">
        <f>IFERROR(VLOOKUP($D45,TCHC!$C$10:$AE$37,14,0),0)</f>
        <v>3</v>
      </c>
      <c r="O45" s="291">
        <f>IFERROR(VLOOKUP($D45,TCHC!$C$10:$AE$37,28,0),0)</f>
        <v>2</v>
      </c>
      <c r="P45" s="313" t="str">
        <f>IF(AND($W45&gt;=2,$X45&gt;=3,$Y45&gt;=1,H45&lt;&gt;0),"A1",IF(AND($W45&gt;=3,$X45&gt;=1,$Y45&gt;=1,H45&lt;&gt;0),"A1",IF(AND($W45&gt;=4,$X45&gt;=0,$Y45&gt;=1,H45&lt;&gt;0),"A1",IF(AND($W45&gt;=2,$X45&gt;=2,$Y45&gt;=1,I45&lt;&gt;0),"A2",IF(AND($W45&gt;=3,$X45&gt;=0,$Y45&gt;=1,I45&lt;&gt;0),"A2",IF(AND(OR($W45&gt;=1,$X45&gt;=2),J45&lt;&gt;0,$Y45&gt;=-2),"A3","A4"))))))</f>
        <v>A1</v>
      </c>
      <c r="Q45" s="341" t="str">
        <f t="shared" ref="Q45:Q69" si="14">P45</f>
        <v>A1</v>
      </c>
      <c r="R45" s="315"/>
      <c r="S45" s="693">
        <f>S44/$AL$47</f>
        <v>8.3333333333333329E-2</v>
      </c>
      <c r="T45" s="693">
        <f>T44/$AL$47</f>
        <v>0.33333333333333331</v>
      </c>
      <c r="U45" s="176" t="str">
        <f t="shared" ref="U45:U72" si="15">$Q45</f>
        <v>A1</v>
      </c>
      <c r="V45" s="177"/>
      <c r="W45" s="330">
        <f>IFERROR(VLOOKUP($D45,TCHC!$C$10:$AE$37,15,0),0)</f>
        <v>3</v>
      </c>
      <c r="X45" s="330">
        <f>IFERROR(VLOOKUP($D45,TCHC!$C$10:$AE$37,29,0),0)</f>
        <v>2</v>
      </c>
      <c r="Y45" s="89">
        <v>1</v>
      </c>
      <c r="Z45" s="4"/>
      <c r="AA45" s="4"/>
      <c r="AB45" s="721"/>
      <c r="AC45" s="838"/>
      <c r="AD45" s="213"/>
      <c r="AE45" s="60" t="str">
        <f t="shared" si="3"/>
        <v>A1</v>
      </c>
      <c r="AF45" s="60"/>
      <c r="AG45" s="592" t="s">
        <v>845</v>
      </c>
      <c r="AH45" s="592"/>
      <c r="AI45" s="605">
        <f>AH45/$L43</f>
        <v>0</v>
      </c>
      <c r="AJ45" s="551"/>
      <c r="AK45" s="594"/>
      <c r="AL45" s="595">
        <f>AL46+AL47</f>
        <v>27</v>
      </c>
      <c r="AM45" s="596" t="s">
        <v>896</v>
      </c>
      <c r="AN45" s="596" t="s">
        <v>844</v>
      </c>
      <c r="AO45" s="596" t="s">
        <v>896</v>
      </c>
      <c r="AP45" s="596" t="s">
        <v>844</v>
      </c>
      <c r="AQ45" s="596" t="s">
        <v>896</v>
      </c>
      <c r="AR45" s="596" t="s">
        <v>844</v>
      </c>
      <c r="AS45" s="596" t="s">
        <v>896</v>
      </c>
      <c r="AT45" s="596" t="s">
        <v>844</v>
      </c>
      <c r="AU45" s="596" t="s">
        <v>896</v>
      </c>
      <c r="AV45" s="596" t="s">
        <v>844</v>
      </c>
      <c r="AW45" s="596" t="s">
        <v>896</v>
      </c>
      <c r="AX45" s="596" t="s">
        <v>844</v>
      </c>
      <c r="AY45" s="596" t="s">
        <v>896</v>
      </c>
      <c r="AZ45" s="596" t="s">
        <v>844</v>
      </c>
      <c r="BA45" s="596" t="s">
        <v>896</v>
      </c>
      <c r="BB45" s="596" t="s">
        <v>844</v>
      </c>
      <c r="BD45" s="60" t="s">
        <v>872</v>
      </c>
      <c r="BE45" s="60" t="s">
        <v>866</v>
      </c>
    </row>
    <row r="46" spans="1:67" s="57" customFormat="1" ht="51.75" customHeight="1" x14ac:dyDescent="0.25">
      <c r="A46" s="63">
        <f>IF(D46="","",SUBTOTAL(3,$D$8:D46))</f>
        <v>31</v>
      </c>
      <c r="B46" s="63" t="s">
        <v>15</v>
      </c>
      <c r="C46" s="10" t="s">
        <v>377</v>
      </c>
      <c r="D46" s="143" t="s">
        <v>681</v>
      </c>
      <c r="E46" s="652"/>
      <c r="F46" s="652"/>
      <c r="G46" s="282" t="str">
        <f t="shared" si="13"/>
        <v>A1</v>
      </c>
      <c r="H46" s="737" t="s">
        <v>1062</v>
      </c>
      <c r="I46" s="737" t="s">
        <v>965</v>
      </c>
      <c r="J46" s="737" t="s">
        <v>954</v>
      </c>
      <c r="K46" s="234"/>
      <c r="L46" s="294" t="s">
        <v>82</v>
      </c>
      <c r="M46" s="1278" t="s">
        <v>1197</v>
      </c>
      <c r="N46" s="291">
        <f>IFERROR(VLOOKUP($D46,TCHC!$C$10:$AE$37,14,0),0)</f>
        <v>3</v>
      </c>
      <c r="O46" s="291">
        <f>IFERROR(VLOOKUP($D46,TCHC!$C$10:$AE$37,28,0),0)</f>
        <v>2</v>
      </c>
      <c r="P46" s="313" t="str">
        <f t="shared" ref="P46:P72" si="16">IF(AND($W46&gt;=2,$X46&gt;=3,$Y46&gt;=1,H46&lt;&gt;0),"A1",IF(AND($W46&gt;=3,$X46&gt;=1,$Y46&gt;=1,H46&lt;&gt;0),"A1",IF(AND($W46&gt;=4,$X46&gt;=0,$Y46&gt;=1,H46&lt;&gt;0),"A1",IF(AND($W46&gt;=2,$X46&gt;=2,$Y46&gt;=1,I46&lt;&gt;0),"A2",IF(AND($W46&gt;=3,$X46&gt;=0,$Y46&gt;=1,I46&lt;&gt;0),"A2",IF(AND(OR($W46&gt;=1,$X46&gt;=2),J46&lt;&gt;0,$Y46&gt;=-2),"A3","A4"))))))</f>
        <v>A1</v>
      </c>
      <c r="Q46" s="341" t="str">
        <f t="shared" si="14"/>
        <v>A1</v>
      </c>
      <c r="R46" s="315"/>
      <c r="S46" s="668"/>
      <c r="T46" s="668"/>
      <c r="U46" s="176" t="str">
        <f t="shared" si="15"/>
        <v>A1</v>
      </c>
      <c r="V46" s="178"/>
      <c r="W46" s="330">
        <f>IFERROR(VLOOKUP($D46,TCHC!$C$10:$AE$37,15,0),0)</f>
        <v>3</v>
      </c>
      <c r="X46" s="330">
        <f>IFERROR(VLOOKUP($D46,TCHC!$C$10:$AE$37,29,0),0)</f>
        <v>2</v>
      </c>
      <c r="Y46" s="89">
        <v>1</v>
      </c>
      <c r="Z46" s="68"/>
      <c r="AA46" s="68"/>
      <c r="AB46" s="723"/>
      <c r="AC46" s="839"/>
      <c r="AD46" s="213"/>
      <c r="AE46" s="60" t="str">
        <f t="shared" si="3"/>
        <v>A1</v>
      </c>
      <c r="AF46" s="60"/>
      <c r="AG46" s="592" t="s">
        <v>846</v>
      </c>
      <c r="AH46" s="592"/>
      <c r="AI46" s="605">
        <f>AH46/$L43</f>
        <v>0</v>
      </c>
      <c r="AK46" s="597" t="s">
        <v>864</v>
      </c>
      <c r="AL46" s="595">
        <f>COUNTIF($BE$45:$BE$72,"CBQL")</f>
        <v>3</v>
      </c>
      <c r="AM46" s="595">
        <f>COUNTIF($U45:$U47,"A1")</f>
        <v>3</v>
      </c>
      <c r="AN46" s="611">
        <f>AM46/$AL$46</f>
        <v>1</v>
      </c>
      <c r="AO46" s="595">
        <f>COUNTIF($U45:$U47,"A2")</f>
        <v>0</v>
      </c>
      <c r="AP46" s="611">
        <f>AO46/$AL$45</f>
        <v>0</v>
      </c>
      <c r="AQ46" s="595">
        <f>COUNTIF($U45:$U47,"A3")</f>
        <v>0</v>
      </c>
      <c r="AR46" s="611">
        <f>AQ46/$AL$45</f>
        <v>0</v>
      </c>
      <c r="AS46" s="595">
        <f>COUNTIF($U45:$U47,"A4")</f>
        <v>0</v>
      </c>
      <c r="AT46" s="611">
        <f>AS46/$AL$45</f>
        <v>0</v>
      </c>
      <c r="AU46" s="595"/>
      <c r="AV46" s="595"/>
      <c r="AW46" s="595"/>
      <c r="AX46" s="595"/>
      <c r="AY46" s="595"/>
      <c r="AZ46" s="595"/>
      <c r="BA46" s="595"/>
      <c r="BB46" s="595"/>
      <c r="BD46" s="60" t="s">
        <v>872</v>
      </c>
      <c r="BE46" s="60" t="s">
        <v>866</v>
      </c>
    </row>
    <row r="47" spans="1:67" s="57" customFormat="1" ht="42" customHeight="1" x14ac:dyDescent="0.25">
      <c r="A47" s="63">
        <f>IF(D47="","",SUBTOTAL(3,$D$8:D47))</f>
        <v>32</v>
      </c>
      <c r="B47" s="63" t="s">
        <v>6</v>
      </c>
      <c r="C47" s="10" t="s">
        <v>478</v>
      </c>
      <c r="D47" s="92" t="s">
        <v>695</v>
      </c>
      <c r="E47" s="652"/>
      <c r="F47" s="652"/>
      <c r="G47" s="282" t="str">
        <f t="shared" si="13"/>
        <v>A1</v>
      </c>
      <c r="H47" s="737" t="s">
        <v>1062</v>
      </c>
      <c r="I47" s="737" t="s">
        <v>965</v>
      </c>
      <c r="J47" s="737" t="s">
        <v>954</v>
      </c>
      <c r="K47" s="234"/>
      <c r="L47" s="294" t="s">
        <v>82</v>
      </c>
      <c r="M47" s="1142" t="s">
        <v>1193</v>
      </c>
      <c r="N47" s="291">
        <f>IFERROR(VLOOKUP($D47,TCHC!$C$10:$AE$37,14,0),0)</f>
        <v>3</v>
      </c>
      <c r="O47" s="291">
        <f>IFERROR(VLOOKUP($D47,TCHC!$C$10:$AE$37,28,0),0)</f>
        <v>2</v>
      </c>
      <c r="P47" s="313" t="str">
        <f t="shared" si="16"/>
        <v>A1</v>
      </c>
      <c r="Q47" s="341" t="str">
        <f t="shared" si="14"/>
        <v>A1</v>
      </c>
      <c r="R47" s="317"/>
      <c r="S47" s="663"/>
      <c r="T47" s="663"/>
      <c r="U47" s="176" t="str">
        <f t="shared" si="15"/>
        <v>A1</v>
      </c>
      <c r="V47" s="180">
        <f>R47</f>
        <v>0</v>
      </c>
      <c r="W47" s="330">
        <f>IFERROR(VLOOKUP($D47,TCHC!$C$10:$AE$37,15,0),0)</f>
        <v>3</v>
      </c>
      <c r="X47" s="330">
        <f>IFERROR(VLOOKUP($D47,TCHC!$C$10:$AE$37,29,0),0)</f>
        <v>2</v>
      </c>
      <c r="Y47" s="89">
        <v>1</v>
      </c>
      <c r="Z47" s="4"/>
      <c r="AA47" s="4"/>
      <c r="AB47" s="723"/>
      <c r="AC47" s="722"/>
      <c r="AD47" s="790"/>
      <c r="AE47" s="60" t="str">
        <f t="shared" si="3"/>
        <v>A1</v>
      </c>
      <c r="AF47" s="60"/>
      <c r="AG47" s="592"/>
      <c r="AH47" s="591">
        <f>AH45+AH46</f>
        <v>0</v>
      </c>
      <c r="AI47" s="606">
        <f>AI45+AI46</f>
        <v>0</v>
      </c>
      <c r="AK47" s="597" t="s">
        <v>865</v>
      </c>
      <c r="AL47" s="595">
        <f>COUNTIF($BE$45:$BE$72,"GV") + COUNTIF($BE$45:$BE$72,"NV")</f>
        <v>24</v>
      </c>
      <c r="AM47" s="595">
        <f>COUNTIF($U48:$U72,"A1")</f>
        <v>2</v>
      </c>
      <c r="AN47" s="611">
        <f>AM47/$AL$47</f>
        <v>8.3333333333333329E-2</v>
      </c>
      <c r="AO47" s="595">
        <f>COUNTIF($U48:$U72,"A2")</f>
        <v>8</v>
      </c>
      <c r="AP47" s="611">
        <f>AO47/$AL$47</f>
        <v>0.33333333333333331</v>
      </c>
      <c r="AQ47" s="595">
        <f>COUNTIF($U48:$U72,"A3")</f>
        <v>9</v>
      </c>
      <c r="AR47" s="611">
        <f>AQ47/$AL$47</f>
        <v>0.375</v>
      </c>
      <c r="AS47" s="595">
        <f>COUNTIF($U48:$U72,"A4")</f>
        <v>4</v>
      </c>
      <c r="AT47" s="611">
        <f>AS47/$AL$47</f>
        <v>0.16666666666666666</v>
      </c>
      <c r="AU47" s="595"/>
      <c r="AV47" s="595"/>
      <c r="AW47" s="595"/>
      <c r="AX47" s="595"/>
      <c r="AY47" s="595"/>
      <c r="AZ47" s="595"/>
      <c r="BA47" s="595"/>
      <c r="BB47" s="595"/>
      <c r="BD47" s="60" t="s">
        <v>872</v>
      </c>
      <c r="BE47" s="60" t="s">
        <v>866</v>
      </c>
    </row>
    <row r="48" spans="1:67" s="57" customFormat="1" ht="56.25" customHeight="1" x14ac:dyDescent="0.25">
      <c r="A48" s="63">
        <f>IF(D48="","",SUBTOTAL(3,$D$8:D48))</f>
        <v>33</v>
      </c>
      <c r="B48" s="63" t="s">
        <v>10</v>
      </c>
      <c r="C48" s="147" t="s">
        <v>372</v>
      </c>
      <c r="D48" s="63" t="s">
        <v>701</v>
      </c>
      <c r="E48" s="652"/>
      <c r="F48" s="652"/>
      <c r="G48" s="282" t="str">
        <f t="shared" si="13"/>
        <v>A2</v>
      </c>
      <c r="H48" s="737"/>
      <c r="I48" s="737" t="s">
        <v>965</v>
      </c>
      <c r="J48" s="737" t="s">
        <v>954</v>
      </c>
      <c r="K48" s="234"/>
      <c r="L48" s="298" t="s">
        <v>84</v>
      </c>
      <c r="M48" s="290"/>
      <c r="N48" s="291">
        <f>IFERROR(VLOOKUP($D48,TCHC!$C$10:$AE$37,14,0),0)</f>
        <v>3</v>
      </c>
      <c r="O48" s="291">
        <f>IFERROR(VLOOKUP($D48,TCHC!$C$10:$AE$37,28,0),0)</f>
        <v>1</v>
      </c>
      <c r="P48" s="313" t="str">
        <f t="shared" si="16"/>
        <v>A2</v>
      </c>
      <c r="Q48" s="341" t="str">
        <f t="shared" si="14"/>
        <v>A2</v>
      </c>
      <c r="R48" s="317"/>
      <c r="S48" s="664"/>
      <c r="T48" s="664"/>
      <c r="U48" s="176" t="str">
        <f t="shared" si="15"/>
        <v>A2</v>
      </c>
      <c r="V48" s="178"/>
      <c r="W48" s="330">
        <f>IFERROR(VLOOKUP($D48,TCHC!$C$10:$AE$37,15,0),0)</f>
        <v>3</v>
      </c>
      <c r="X48" s="330">
        <f>IFERROR(VLOOKUP($D48,TCHC!$C$10:$AE$37,29,0),0)</f>
        <v>1</v>
      </c>
      <c r="Y48" s="89">
        <v>2</v>
      </c>
      <c r="Z48" s="68"/>
      <c r="AA48" s="68"/>
      <c r="AB48" s="723"/>
      <c r="AC48" s="839"/>
      <c r="AD48" s="790"/>
      <c r="AE48" s="60" t="str">
        <f t="shared" si="3"/>
        <v>A2</v>
      </c>
      <c r="AF48" s="60"/>
      <c r="AG48" s="601"/>
      <c r="AH48" s="601"/>
      <c r="AI48" s="609"/>
      <c r="AK48" s="589"/>
      <c r="AL48" s="589"/>
      <c r="AM48" s="589"/>
      <c r="AN48" s="589"/>
      <c r="AO48" s="589"/>
      <c r="AP48" s="589"/>
      <c r="AQ48" s="589"/>
      <c r="AR48" s="589"/>
      <c r="AS48" s="589"/>
      <c r="AT48" s="589"/>
      <c r="AU48" s="589"/>
      <c r="AV48" s="589"/>
      <c r="AW48" s="589"/>
      <c r="AX48" s="589"/>
      <c r="AY48" s="589"/>
      <c r="AZ48" s="589"/>
      <c r="BA48" s="589"/>
      <c r="BB48" s="589"/>
      <c r="BD48" s="60" t="s">
        <v>872</v>
      </c>
      <c r="BE48" s="60" t="s">
        <v>867</v>
      </c>
    </row>
    <row r="49" spans="1:57" s="57" customFormat="1" ht="46.5" customHeight="1" x14ac:dyDescent="0.25">
      <c r="A49" s="63">
        <f>IF(D49="","",SUBTOTAL(3,$D$8:D49))</f>
        <v>34</v>
      </c>
      <c r="B49" s="63" t="s">
        <v>11</v>
      </c>
      <c r="C49" s="10" t="s">
        <v>373</v>
      </c>
      <c r="D49" s="63" t="s">
        <v>688</v>
      </c>
      <c r="E49" s="652"/>
      <c r="F49" s="652"/>
      <c r="G49" s="282" t="str">
        <f t="shared" si="13"/>
        <v>A2</v>
      </c>
      <c r="H49" s="737"/>
      <c r="I49" s="737" t="s">
        <v>965</v>
      </c>
      <c r="J49" s="737" t="s">
        <v>954</v>
      </c>
      <c r="K49" s="234"/>
      <c r="L49" s="298" t="s">
        <v>84</v>
      </c>
      <c r="M49" s="295"/>
      <c r="N49" s="291">
        <f>IFERROR(VLOOKUP($D49,TCHC!$C$10:$AE$37,14,0),0)</f>
        <v>3</v>
      </c>
      <c r="O49" s="291">
        <f>IFERROR(VLOOKUP($D49,TCHC!$C$10:$AE$37,28,0),0)</f>
        <v>1</v>
      </c>
      <c r="P49" s="313" t="str">
        <f t="shared" si="16"/>
        <v>A2</v>
      </c>
      <c r="Q49" s="1196" t="s">
        <v>82</v>
      </c>
      <c r="R49" s="317"/>
      <c r="S49" s="664"/>
      <c r="T49" s="664"/>
      <c r="U49" s="176" t="str">
        <f t="shared" si="15"/>
        <v>A1</v>
      </c>
      <c r="V49" s="178"/>
      <c r="W49" s="330">
        <f>IFERROR(VLOOKUP($D49,TCHC!$C$10:$AE$37,15,0),0)</f>
        <v>3</v>
      </c>
      <c r="X49" s="330">
        <f>IFERROR(VLOOKUP($D49,TCHC!$C$10:$AE$37,29,0),0)</f>
        <v>1</v>
      </c>
      <c r="Y49" s="89">
        <v>1</v>
      </c>
      <c r="Z49" s="68"/>
      <c r="AA49" s="68"/>
      <c r="AB49" s="724" t="s">
        <v>82</v>
      </c>
      <c r="AC49" s="839" t="s">
        <v>1118</v>
      </c>
      <c r="AD49" s="213"/>
      <c r="AE49" s="60" t="str">
        <f t="shared" si="3"/>
        <v>A2</v>
      </c>
      <c r="AF49" s="60"/>
      <c r="AG49" s="601"/>
      <c r="AH49" s="601"/>
      <c r="AI49" s="609"/>
      <c r="AK49" s="589"/>
      <c r="AL49" s="589"/>
      <c r="AM49" s="589"/>
      <c r="AN49" s="589"/>
      <c r="AO49" s="589"/>
      <c r="AP49" s="589"/>
      <c r="AQ49" s="589"/>
      <c r="AR49" s="589"/>
      <c r="AS49" s="589"/>
      <c r="AT49" s="589"/>
      <c r="AU49" s="589"/>
      <c r="AV49" s="589"/>
      <c r="AW49" s="589"/>
      <c r="AX49" s="589"/>
      <c r="AY49" s="589"/>
      <c r="AZ49" s="589"/>
      <c r="BA49" s="589"/>
      <c r="BB49" s="589"/>
      <c r="BD49" s="60" t="s">
        <v>872</v>
      </c>
      <c r="BE49" s="60" t="s">
        <v>867</v>
      </c>
    </row>
    <row r="50" spans="1:57" s="57" customFormat="1" ht="40.5" customHeight="1" x14ac:dyDescent="0.25">
      <c r="A50" s="63">
        <f>IF(D50="","",SUBTOTAL(3,$D$8:D50))</f>
        <v>35</v>
      </c>
      <c r="B50" s="63" t="s">
        <v>12</v>
      </c>
      <c r="C50" s="147" t="s">
        <v>374</v>
      </c>
      <c r="D50" s="63" t="s">
        <v>702</v>
      </c>
      <c r="E50" s="652"/>
      <c r="F50" s="652"/>
      <c r="G50" s="282" t="str">
        <f t="shared" si="13"/>
        <v>A2</v>
      </c>
      <c r="H50" s="737"/>
      <c r="I50" s="737" t="s">
        <v>965</v>
      </c>
      <c r="J50" s="737" t="s">
        <v>954</v>
      </c>
      <c r="K50" s="234"/>
      <c r="L50" s="298" t="s">
        <v>84</v>
      </c>
      <c r="M50" s="299"/>
      <c r="N50" s="291">
        <f>IFERROR(VLOOKUP($D50,TCHC!$C$10:$AE$37,14,0),0)</f>
        <v>3</v>
      </c>
      <c r="O50" s="291">
        <f>IFERROR(VLOOKUP($D50,TCHC!$C$10:$AE$37,28,0),0)</f>
        <v>1</v>
      </c>
      <c r="P50" s="313" t="str">
        <f t="shared" si="16"/>
        <v>A2</v>
      </c>
      <c r="Q50" s="341" t="str">
        <f t="shared" si="14"/>
        <v>A2</v>
      </c>
      <c r="R50" s="317"/>
      <c r="S50" s="663"/>
      <c r="T50" s="663"/>
      <c r="U50" s="176" t="str">
        <f t="shared" si="15"/>
        <v>A2</v>
      </c>
      <c r="V50" s="178"/>
      <c r="W50" s="330">
        <f>IFERROR(VLOOKUP($D50,TCHC!$C$10:$AE$37,15,0),0)</f>
        <v>3</v>
      </c>
      <c r="X50" s="330">
        <f>IFERROR(VLOOKUP($D50,TCHC!$C$10:$AE$37,29,0),0)</f>
        <v>1</v>
      </c>
      <c r="Y50" s="89">
        <v>1</v>
      </c>
      <c r="Z50" s="2"/>
      <c r="AA50" s="2"/>
      <c r="AB50" s="723"/>
      <c r="AC50" s="839"/>
      <c r="AD50" s="213"/>
      <c r="AE50" s="60" t="str">
        <f t="shared" si="3"/>
        <v>A2</v>
      </c>
      <c r="AF50" s="60"/>
      <c r="AG50" s="601"/>
      <c r="AH50" s="94"/>
      <c r="AI50" s="610"/>
      <c r="AK50" s="589"/>
      <c r="AL50" s="589"/>
      <c r="AM50" s="589"/>
      <c r="AN50" s="589"/>
      <c r="AO50" s="589"/>
      <c r="AP50" s="589"/>
      <c r="AQ50" s="589"/>
      <c r="AR50" s="589"/>
      <c r="AS50" s="589"/>
      <c r="AT50" s="589"/>
      <c r="AU50" s="589"/>
      <c r="AV50" s="589"/>
      <c r="AW50" s="589"/>
      <c r="AX50" s="589"/>
      <c r="AY50" s="589"/>
      <c r="AZ50" s="589"/>
      <c r="BA50" s="589"/>
      <c r="BB50" s="589"/>
      <c r="BD50" s="60" t="s">
        <v>872</v>
      </c>
      <c r="BE50" s="60" t="s">
        <v>867</v>
      </c>
    </row>
    <row r="51" spans="1:57" s="57" customFormat="1" ht="34.5" customHeight="1" x14ac:dyDescent="0.25">
      <c r="A51" s="63">
        <f>IF(D51="","",SUBTOTAL(3,$D$8:D51))</f>
        <v>36</v>
      </c>
      <c r="B51" s="63" t="s">
        <v>13</v>
      </c>
      <c r="C51" s="10" t="s">
        <v>375</v>
      </c>
      <c r="D51" s="63" t="s">
        <v>700</v>
      </c>
      <c r="E51" s="652"/>
      <c r="F51" s="652"/>
      <c r="G51" s="282" t="str">
        <f t="shared" si="13"/>
        <v>A2</v>
      </c>
      <c r="H51" s="737"/>
      <c r="I51" s="737" t="s">
        <v>1012</v>
      </c>
      <c r="J51" s="737" t="s">
        <v>954</v>
      </c>
      <c r="K51" s="234"/>
      <c r="L51" s="298" t="s">
        <v>85</v>
      </c>
      <c r="M51" s="835"/>
      <c r="N51" s="291">
        <f>IFERROR(VLOOKUP($D51,TCHC!$C$10:$AE$37,14,0),0)</f>
        <v>2</v>
      </c>
      <c r="O51" s="291">
        <f>IFERROR(VLOOKUP($D51,TCHC!$C$10:$AE$37,28,0),0)</f>
        <v>1</v>
      </c>
      <c r="P51" s="313" t="str">
        <f t="shared" si="16"/>
        <v>A3</v>
      </c>
      <c r="Q51" s="341" t="str">
        <f t="shared" si="14"/>
        <v>A3</v>
      </c>
      <c r="R51" s="317"/>
      <c r="S51" s="663"/>
      <c r="T51" s="663"/>
      <c r="U51" s="176" t="str">
        <f t="shared" si="15"/>
        <v>A3</v>
      </c>
      <c r="V51" s="180">
        <f t="shared" ref="V51" si="17">R51</f>
        <v>0</v>
      </c>
      <c r="W51" s="330">
        <f>IFERROR(VLOOKUP($D51,TCHC!$C$10:$AE$37,15,0),0)</f>
        <v>2</v>
      </c>
      <c r="X51" s="330">
        <f>IFERROR(VLOOKUP($D51,TCHC!$C$10:$AE$37,29,0),0)</f>
        <v>1</v>
      </c>
      <c r="Y51" s="89">
        <v>1</v>
      </c>
      <c r="Z51" s="68"/>
      <c r="AA51" s="68"/>
      <c r="AB51" s="723"/>
      <c r="AC51" s="839"/>
      <c r="AD51" s="790"/>
      <c r="AE51" s="60" t="str">
        <f t="shared" si="3"/>
        <v>A3</v>
      </c>
      <c r="AF51" s="60"/>
      <c r="AG51" s="60"/>
      <c r="AH51" s="542"/>
      <c r="AI51" s="542"/>
      <c r="AK51" s="589"/>
      <c r="AL51" s="589"/>
      <c r="AM51" s="589"/>
      <c r="AN51" s="589"/>
      <c r="AO51" s="589"/>
      <c r="AP51" s="589"/>
      <c r="AQ51" s="589"/>
      <c r="AR51" s="589"/>
      <c r="AS51" s="589"/>
      <c r="AT51" s="589"/>
      <c r="AU51" s="589"/>
      <c r="AV51" s="589"/>
      <c r="AW51" s="589"/>
      <c r="AX51" s="589"/>
      <c r="AY51" s="589"/>
      <c r="AZ51" s="589"/>
      <c r="BA51" s="589"/>
      <c r="BB51" s="589"/>
      <c r="BD51" s="60" t="s">
        <v>872</v>
      </c>
      <c r="BE51" s="60" t="s">
        <v>867</v>
      </c>
    </row>
    <row r="52" spans="1:57" s="57" customFormat="1" ht="33.75" customHeight="1" x14ac:dyDescent="0.25">
      <c r="A52" s="63">
        <f>IF(D52="","",SUBTOTAL(3,$D$8:D52))</f>
        <v>37</v>
      </c>
      <c r="B52" s="63" t="s">
        <v>14</v>
      </c>
      <c r="C52" s="10" t="s">
        <v>376</v>
      </c>
      <c r="D52" s="143" t="s">
        <v>682</v>
      </c>
      <c r="E52" s="652"/>
      <c r="F52" s="652"/>
      <c r="G52" s="282" t="str">
        <f t="shared" si="13"/>
        <v>A1</v>
      </c>
      <c r="H52" s="737" t="s">
        <v>1062</v>
      </c>
      <c r="I52" s="737" t="s">
        <v>965</v>
      </c>
      <c r="J52" s="737" t="s">
        <v>954</v>
      </c>
      <c r="K52" s="234"/>
      <c r="L52" s="298" t="s">
        <v>82</v>
      </c>
      <c r="M52" s="300"/>
      <c r="N52" s="291">
        <f>IFERROR(VLOOKUP($D52,TCHC!$C$10:$AE$37,14,0),0)</f>
        <v>3</v>
      </c>
      <c r="O52" s="291">
        <f>IFERROR(VLOOKUP($D52,TCHC!$C$10:$AE$37,28,0),0)</f>
        <v>1</v>
      </c>
      <c r="P52" s="313" t="str">
        <f t="shared" si="16"/>
        <v>A1</v>
      </c>
      <c r="Q52" s="341" t="str">
        <f t="shared" si="14"/>
        <v>A1</v>
      </c>
      <c r="R52" s="315"/>
      <c r="S52" s="663"/>
      <c r="T52" s="663"/>
      <c r="U52" s="176" t="str">
        <f t="shared" si="15"/>
        <v>A1</v>
      </c>
      <c r="V52" s="178"/>
      <c r="W52" s="330">
        <f>IFERROR(VLOOKUP($D52,TCHC!$C$10:$AE$37,15,0),0)</f>
        <v>3</v>
      </c>
      <c r="X52" s="330">
        <f>IFERROR(VLOOKUP($D52,TCHC!$C$10:$AE$37,29,0),0)</f>
        <v>1</v>
      </c>
      <c r="Y52" s="89">
        <v>1</v>
      </c>
      <c r="Z52" s="68"/>
      <c r="AA52" s="68"/>
      <c r="AB52" s="724"/>
      <c r="AC52" s="839"/>
      <c r="AD52" s="213"/>
      <c r="AE52" s="60" t="str">
        <f t="shared" si="3"/>
        <v>A1</v>
      </c>
      <c r="AF52" s="60"/>
      <c r="AG52" s="60"/>
      <c r="AH52" s="542"/>
      <c r="AI52" s="542"/>
      <c r="AK52" s="589"/>
      <c r="AL52" s="589"/>
      <c r="AM52" s="589"/>
      <c r="AN52" s="589"/>
      <c r="AO52" s="589"/>
      <c r="AP52" s="589"/>
      <c r="AQ52" s="589"/>
      <c r="AR52" s="589"/>
      <c r="AS52" s="589"/>
      <c r="AT52" s="589"/>
      <c r="AU52" s="589"/>
      <c r="AV52" s="589"/>
      <c r="AW52" s="589"/>
      <c r="AX52" s="589"/>
      <c r="AY52" s="589"/>
      <c r="AZ52" s="589"/>
      <c r="BA52" s="589"/>
      <c r="BB52" s="589"/>
      <c r="BD52" s="60" t="s">
        <v>872</v>
      </c>
      <c r="BE52" s="60" t="s">
        <v>867</v>
      </c>
    </row>
    <row r="53" spans="1:57" s="57" customFormat="1" ht="33" customHeight="1" x14ac:dyDescent="0.25">
      <c r="A53" s="63">
        <f>IF(D53="","",SUBTOTAL(3,$D$8:D53))</f>
        <v>38</v>
      </c>
      <c r="B53" s="63" t="s">
        <v>16</v>
      </c>
      <c r="C53" s="10" t="s">
        <v>378</v>
      </c>
      <c r="D53" s="63" t="s">
        <v>697</v>
      </c>
      <c r="E53" s="652"/>
      <c r="F53" s="652"/>
      <c r="G53" s="282" t="str">
        <f t="shared" si="13"/>
        <v>A2</v>
      </c>
      <c r="H53" s="737"/>
      <c r="I53" s="737" t="s">
        <v>966</v>
      </c>
      <c r="J53" s="737" t="s">
        <v>954</v>
      </c>
      <c r="K53" s="234"/>
      <c r="L53" s="298" t="s">
        <v>84</v>
      </c>
      <c r="M53" s="300"/>
      <c r="N53" s="291">
        <f>IFERROR(VLOOKUP($D53,TCHC!$C$10:$AE$37,14,0),0)</f>
        <v>3</v>
      </c>
      <c r="O53" s="291">
        <f>IFERROR(VLOOKUP($D53,TCHC!$C$10:$AE$37,28,0),0)</f>
        <v>1</v>
      </c>
      <c r="P53" s="313" t="str">
        <f t="shared" si="16"/>
        <v>A2</v>
      </c>
      <c r="Q53" s="341" t="str">
        <f t="shared" si="14"/>
        <v>A2</v>
      </c>
      <c r="R53" s="315"/>
      <c r="S53" s="664"/>
      <c r="T53" s="664"/>
      <c r="U53" s="176" t="str">
        <f t="shared" si="15"/>
        <v>A2</v>
      </c>
      <c r="V53" s="179"/>
      <c r="W53" s="330">
        <f>IFERROR(VLOOKUP($D53,TCHC!$C$10:$AE$37,15,0),0)</f>
        <v>3</v>
      </c>
      <c r="X53" s="330">
        <f>IFERROR(VLOOKUP($D53,TCHC!$C$10:$AE$37,29,0),0)</f>
        <v>1</v>
      </c>
      <c r="Y53" s="333">
        <v>1</v>
      </c>
      <c r="Z53" s="68"/>
      <c r="AA53" s="68"/>
      <c r="AB53" s="723"/>
      <c r="AC53" s="839"/>
      <c r="AD53" s="213"/>
      <c r="AE53" s="60" t="str">
        <f t="shared" si="3"/>
        <v>A2</v>
      </c>
      <c r="AF53" s="60"/>
      <c r="AG53" s="60"/>
      <c r="AH53" s="542"/>
      <c r="AI53" s="542"/>
      <c r="AK53" s="589"/>
      <c r="AL53" s="589"/>
      <c r="AM53" s="589"/>
      <c r="AN53" s="589"/>
      <c r="AO53" s="589"/>
      <c r="AP53" s="589"/>
      <c r="AQ53" s="589"/>
      <c r="AR53" s="589"/>
      <c r="AS53" s="589"/>
      <c r="AT53" s="589"/>
      <c r="AU53" s="589"/>
      <c r="AV53" s="589"/>
      <c r="AW53" s="589"/>
      <c r="AX53" s="589"/>
      <c r="AY53" s="589"/>
      <c r="AZ53" s="589"/>
      <c r="BA53" s="589"/>
      <c r="BB53" s="589"/>
      <c r="BD53" s="60" t="s">
        <v>872</v>
      </c>
      <c r="BE53" s="60" t="s">
        <v>867</v>
      </c>
    </row>
    <row r="54" spans="1:57" s="57" customFormat="1" ht="33.75" customHeight="1" x14ac:dyDescent="0.25">
      <c r="A54" s="63">
        <f>IF(D54="","",SUBTOTAL(3,$D$8:D54))</f>
        <v>39</v>
      </c>
      <c r="B54" s="63" t="s">
        <v>17</v>
      </c>
      <c r="C54" s="10" t="s">
        <v>379</v>
      </c>
      <c r="D54" s="63" t="s">
        <v>698</v>
      </c>
      <c r="E54" s="652"/>
      <c r="F54" s="652"/>
      <c r="G54" s="282" t="str">
        <f t="shared" si="13"/>
        <v>A2</v>
      </c>
      <c r="H54" s="737"/>
      <c r="I54" s="737" t="s">
        <v>965</v>
      </c>
      <c r="J54" s="737" t="s">
        <v>954</v>
      </c>
      <c r="K54" s="234"/>
      <c r="L54" s="298" t="s">
        <v>85</v>
      </c>
      <c r="M54" s="300"/>
      <c r="N54" s="291">
        <f>IFERROR(VLOOKUP($D54,TCHC!$C$10:$AE$37,14,0),0)</f>
        <v>2</v>
      </c>
      <c r="O54" s="291">
        <f>IFERROR(VLOOKUP($D54,TCHC!$C$10:$AE$37,28,0),0)</f>
        <v>1</v>
      </c>
      <c r="P54" s="313" t="str">
        <f t="shared" si="16"/>
        <v>A3</v>
      </c>
      <c r="Q54" s="341" t="str">
        <f t="shared" si="14"/>
        <v>A3</v>
      </c>
      <c r="R54" s="317"/>
      <c r="S54" s="664"/>
      <c r="T54" s="664"/>
      <c r="U54" s="176" t="str">
        <f t="shared" si="15"/>
        <v>A3</v>
      </c>
      <c r="V54" s="179"/>
      <c r="W54" s="330">
        <f>IFERROR(VLOOKUP($D54,TCHC!$C$10:$AE$37,15,0),0)</f>
        <v>2</v>
      </c>
      <c r="X54" s="330">
        <f>IFERROR(VLOOKUP($D54,TCHC!$C$10:$AE$37,29,0),0)</f>
        <v>1</v>
      </c>
      <c r="Y54" s="333">
        <v>1</v>
      </c>
      <c r="Z54" s="2"/>
      <c r="AA54" s="2"/>
      <c r="AB54" s="723"/>
      <c r="AC54" s="722"/>
      <c r="AD54" s="213"/>
      <c r="AE54" s="60" t="str">
        <f t="shared" si="3"/>
        <v>A3</v>
      </c>
      <c r="AF54" s="60"/>
      <c r="AG54" s="60"/>
      <c r="AH54" s="542"/>
      <c r="AI54" s="542"/>
      <c r="AK54" s="589"/>
      <c r="AL54" s="589"/>
      <c r="AM54" s="589"/>
      <c r="AN54" s="589"/>
      <c r="AO54" s="589"/>
      <c r="AP54" s="589"/>
      <c r="AQ54" s="589"/>
      <c r="AR54" s="589"/>
      <c r="AS54" s="589"/>
      <c r="AT54" s="589"/>
      <c r="AU54" s="589"/>
      <c r="AV54" s="589"/>
      <c r="AW54" s="589"/>
      <c r="AX54" s="589"/>
      <c r="AY54" s="589"/>
      <c r="AZ54" s="589"/>
      <c r="BA54" s="589"/>
      <c r="BB54" s="589"/>
      <c r="BD54" s="60" t="s">
        <v>872</v>
      </c>
      <c r="BE54" s="60" t="s">
        <v>867</v>
      </c>
    </row>
    <row r="55" spans="1:57" s="57" customFormat="1" ht="33" customHeight="1" x14ac:dyDescent="0.25">
      <c r="A55" s="63">
        <f>IF(D55="","",SUBTOTAL(3,$D$8:D55))</f>
        <v>40</v>
      </c>
      <c r="B55" s="63" t="s">
        <v>18</v>
      </c>
      <c r="C55" s="10" t="s">
        <v>380</v>
      </c>
      <c r="D55" s="63" t="s">
        <v>694</v>
      </c>
      <c r="E55" s="652"/>
      <c r="F55" s="652"/>
      <c r="G55" s="282" t="str">
        <f>IF($H55&lt;&gt;0,"A1",IF($I55&lt;&gt;0,"A2",IF($J55&lt;&gt;0,"A3","A4")))</f>
        <v>A2</v>
      </c>
      <c r="H55" s="737"/>
      <c r="I55" s="737" t="s">
        <v>1012</v>
      </c>
      <c r="J55" s="737" t="s">
        <v>954</v>
      </c>
      <c r="K55" s="234"/>
      <c r="L55" s="298" t="s">
        <v>84</v>
      </c>
      <c r="M55" s="300"/>
      <c r="N55" s="291">
        <f>IFERROR(VLOOKUP($D55,TCHC!$C$10:$AE$37,14,0),0)</f>
        <v>3</v>
      </c>
      <c r="O55" s="291">
        <f>IFERROR(VLOOKUP($D55,TCHC!$C$10:$AE$37,28,0),0)</f>
        <v>1</v>
      </c>
      <c r="P55" s="313" t="str">
        <f t="shared" si="16"/>
        <v>A2</v>
      </c>
      <c r="Q55" s="341" t="str">
        <f t="shared" si="14"/>
        <v>A2</v>
      </c>
      <c r="R55" s="317"/>
      <c r="S55" s="664"/>
      <c r="T55" s="664"/>
      <c r="U55" s="176" t="str">
        <f>$Q55</f>
        <v>A2</v>
      </c>
      <c r="V55" s="178"/>
      <c r="W55" s="330">
        <f>IFERROR(VLOOKUP($D55,TCHC!$C$10:$AE$37,15,0),0)</f>
        <v>3</v>
      </c>
      <c r="X55" s="330">
        <f>IFERROR(VLOOKUP($D55,TCHC!$C$10:$AE$37,29,0),0)</f>
        <v>1</v>
      </c>
      <c r="Y55" s="333">
        <v>1</v>
      </c>
      <c r="Z55" s="857"/>
      <c r="AA55" s="859"/>
      <c r="AB55" s="723"/>
      <c r="AC55" s="722"/>
      <c r="AD55" s="213"/>
      <c r="AE55" s="60" t="str">
        <f>IF($L55=$P55,$L55,FALSE)</f>
        <v>A2</v>
      </c>
      <c r="AF55" s="60"/>
      <c r="AG55" s="60"/>
      <c r="AH55" s="542"/>
      <c r="AI55" s="542"/>
      <c r="AK55" s="589"/>
      <c r="AL55" s="589"/>
      <c r="AM55" s="589"/>
      <c r="AN55" s="589"/>
      <c r="AO55" s="589"/>
      <c r="AP55" s="589"/>
      <c r="AQ55" s="589"/>
      <c r="AR55" s="589"/>
      <c r="AS55" s="589"/>
      <c r="AT55" s="589"/>
      <c r="AU55" s="589"/>
      <c r="AV55" s="589"/>
      <c r="AW55" s="589"/>
      <c r="AX55" s="589"/>
      <c r="AY55" s="589"/>
      <c r="AZ55" s="589"/>
      <c r="BA55" s="589"/>
      <c r="BB55" s="589"/>
      <c r="BD55" s="60" t="s">
        <v>872</v>
      </c>
      <c r="BE55" s="60" t="s">
        <v>867</v>
      </c>
    </row>
    <row r="56" spans="1:57" s="795" customFormat="1" ht="33" customHeight="1" x14ac:dyDescent="0.25">
      <c r="A56" s="63">
        <f>IF(D56="","",SUBTOTAL(3,$D$8:D56))</f>
        <v>41</v>
      </c>
      <c r="B56" s="802"/>
      <c r="C56" s="803" t="s">
        <v>1078</v>
      </c>
      <c r="D56" s="802" t="s">
        <v>1079</v>
      </c>
      <c r="E56" s="804"/>
      <c r="F56" s="804"/>
      <c r="G56" s="805" t="s">
        <v>83</v>
      </c>
      <c r="H56" s="806"/>
      <c r="I56" s="806"/>
      <c r="J56" s="806"/>
      <c r="K56" s="804"/>
      <c r="L56" s="807" t="s">
        <v>83</v>
      </c>
      <c r="M56" s="808"/>
      <c r="N56" s="291">
        <f>IFERROR(VLOOKUP($D56,TCHC!$C$10:$AE$37,14,0),0)</f>
        <v>2</v>
      </c>
      <c r="O56" s="291">
        <f>IFERROR(VLOOKUP($D56,TCHC!$C$10:$AE$37,28,0),0)</f>
        <v>1</v>
      </c>
      <c r="P56" s="313" t="str">
        <f t="shared" si="16"/>
        <v>A4</v>
      </c>
      <c r="Q56" s="1196" t="s">
        <v>85</v>
      </c>
      <c r="R56" s="809"/>
      <c r="S56" s="810"/>
      <c r="T56" s="810"/>
      <c r="U56" s="1289" t="s">
        <v>84</v>
      </c>
      <c r="V56" s="811"/>
      <c r="W56" s="330">
        <f>IFERROR(VLOOKUP($D56,TCHC!$C$10:$AE$37,15,0),0)</f>
        <v>2</v>
      </c>
      <c r="X56" s="330">
        <f>IFERROR(VLOOKUP($D56,TCHC!$C$10:$AE$37,29,0),0)</f>
        <v>1</v>
      </c>
      <c r="Y56" s="89">
        <v>1</v>
      </c>
      <c r="Z56" s="812"/>
      <c r="AA56" s="812"/>
      <c r="AB56" s="1106" t="s">
        <v>85</v>
      </c>
      <c r="AC56" s="1135" t="s">
        <v>1118</v>
      </c>
      <c r="AD56" s="213"/>
      <c r="AE56" s="60" t="str">
        <f t="shared" si="3"/>
        <v>A4</v>
      </c>
      <c r="AF56" s="60"/>
      <c r="AG56" s="60"/>
      <c r="BD56" s="60" t="s">
        <v>872</v>
      </c>
      <c r="BE56" s="60" t="s">
        <v>867</v>
      </c>
    </row>
    <row r="57" spans="1:57" s="57" customFormat="1" ht="34.5" customHeight="1" x14ac:dyDescent="0.25">
      <c r="A57" s="65" t="s">
        <v>51</v>
      </c>
      <c r="B57" s="65" t="s">
        <v>51</v>
      </c>
      <c r="C57" s="66" t="s">
        <v>48</v>
      </c>
      <c r="D57" s="65"/>
      <c r="E57" s="652"/>
      <c r="F57" s="652"/>
      <c r="G57" s="280">
        <f>COUNTA($L$58:$L$72)</f>
        <v>15</v>
      </c>
      <c r="H57" s="737"/>
      <c r="I57" s="737"/>
      <c r="J57" s="737"/>
      <c r="K57" s="234"/>
      <c r="L57" s="500">
        <f>COUNTA($L$58:$L$72)</f>
        <v>15</v>
      </c>
      <c r="M57" s="286" t="str">
        <f xml:space="preserve"> (COUNTIF($L$58:$L$72, "A1") &amp; "A1")&amp;" + "&amp; (COUNTIF($L$58:$L$72, "A2") &amp; "A2")&amp;" + "&amp; (COUNTIF($L$58:$L$72, "A3") &amp; "A3")&amp;" + "&amp; (COUNTIF($L$58:$L$72, "A4") &amp; "A4")</f>
        <v>0A1 + 0A2 + 3A3 + 11A4</v>
      </c>
      <c r="N57" s="297"/>
      <c r="O57" s="297">
        <f>[2]TCHC!P21</f>
        <v>0</v>
      </c>
      <c r="P57" s="311">
        <f>COUNTA($Q$58:$Q$72)</f>
        <v>15</v>
      </c>
      <c r="Q57" s="340">
        <f>COUNTA($Q$58:$Q$72)</f>
        <v>15</v>
      </c>
      <c r="R57" s="312" t="str">
        <f xml:space="preserve"> (COUNTIF($Q$58:$Q$72, "A1") &amp; "A1")&amp;" + "&amp; (COUNTIF($Q$58:$Q$72, "A2") &amp; "A2")&amp;" + "&amp; (COUNTIF($Q$58:$Q$72, "A3") &amp; "A3")&amp;" + "&amp; (COUNTIF($Q$58:$Q$72, "A4") &amp; "A4")</f>
        <v>0A1 + 3A2 + 7A3 + 4A4</v>
      </c>
      <c r="S57" s="661"/>
      <c r="T57" s="661"/>
      <c r="U57" s="174">
        <f>COUNTA($U$58:$U$72)</f>
        <v>15</v>
      </c>
      <c r="V57" s="175" t="str">
        <f xml:space="preserve"> (COUNTIF($U$58:$U$72, "A1") &amp; "A1")&amp;" + "&amp; (COUNTIF($U$58:$U$72, "A2") &amp; "A2")&amp;" + "&amp; (COUNTIF($U$58:$U$72, "A3") &amp; "A3")&amp;" + "&amp; (COUNTIF($U$58:$U$72, "A4") &amp; "A4")</f>
        <v>0A1 + 3A2 + 7A3 + 4A4</v>
      </c>
      <c r="W57" s="321"/>
      <c r="X57" s="321"/>
      <c r="Y57" s="556"/>
      <c r="Z57" s="95"/>
      <c r="AA57" s="95"/>
      <c r="AB57" s="723"/>
      <c r="AC57" s="722"/>
      <c r="AD57" s="213"/>
      <c r="AE57" s="60"/>
      <c r="AF57" s="60"/>
      <c r="AG57" s="60"/>
      <c r="AH57" s="542"/>
      <c r="AI57" s="542"/>
      <c r="AK57" s="589"/>
      <c r="AL57" s="589"/>
      <c r="AM57" s="589"/>
      <c r="AN57" s="589"/>
      <c r="AO57" s="589"/>
      <c r="AP57" s="589"/>
      <c r="AQ57" s="589"/>
      <c r="AR57" s="589"/>
      <c r="AS57" s="589"/>
      <c r="AT57" s="589"/>
      <c r="AU57" s="589"/>
      <c r="AV57" s="589"/>
      <c r="AW57" s="589"/>
      <c r="AX57" s="589"/>
      <c r="AY57" s="589"/>
      <c r="AZ57" s="589"/>
      <c r="BA57" s="589"/>
      <c r="BB57" s="589"/>
      <c r="BD57" s="60"/>
      <c r="BE57" s="60"/>
    </row>
    <row r="58" spans="1:57" s="57" customFormat="1" ht="47.25" customHeight="1" x14ac:dyDescent="0.25">
      <c r="A58" s="63">
        <f>IF(D58="","",SUBTOTAL(3,$D$8:D58))</f>
        <v>42</v>
      </c>
      <c r="B58" s="63" t="s">
        <v>19</v>
      </c>
      <c r="C58" s="10" t="s">
        <v>381</v>
      </c>
      <c r="D58" s="63" t="s">
        <v>699</v>
      </c>
      <c r="E58" s="652"/>
      <c r="F58" s="652"/>
      <c r="G58" s="282" t="str">
        <f t="shared" si="13"/>
        <v>A2</v>
      </c>
      <c r="H58" s="737"/>
      <c r="I58" s="737" t="s">
        <v>1011</v>
      </c>
      <c r="J58" s="737" t="s">
        <v>969</v>
      </c>
      <c r="K58" s="737"/>
      <c r="L58" s="298" t="s">
        <v>85</v>
      </c>
      <c r="M58" s="300"/>
      <c r="N58" s="291">
        <f>IFERROR(VLOOKUP($D58,TCHC!$C$10:$AE$37,14,0),0)</f>
        <v>2</v>
      </c>
      <c r="O58" s="291">
        <f>IFERROR(VLOOKUP($D58,TCHC!$C$10:$AE$37,28,0),0)</f>
        <v>1</v>
      </c>
      <c r="P58" s="313" t="str">
        <f t="shared" si="16"/>
        <v>A3</v>
      </c>
      <c r="Q58" s="341" t="str">
        <f t="shared" si="14"/>
        <v>A3</v>
      </c>
      <c r="R58" s="317"/>
      <c r="S58" s="665"/>
      <c r="T58" s="665"/>
      <c r="U58" s="176" t="str">
        <f t="shared" si="15"/>
        <v>A3</v>
      </c>
      <c r="V58" s="178"/>
      <c r="W58" s="330">
        <f>IFERROR(VLOOKUP($D58,TCHC!$C$10:$AE$37,15,0),0)</f>
        <v>2</v>
      </c>
      <c r="X58" s="330">
        <f>IFERROR(VLOOKUP($D58,TCHC!$C$10:$AE$37,29,0),0)</f>
        <v>1</v>
      </c>
      <c r="Y58" s="499">
        <v>1</v>
      </c>
      <c r="Z58" s="68"/>
      <c r="AA58" s="68"/>
      <c r="AB58" s="723"/>
      <c r="AC58" s="839"/>
      <c r="AD58" s="213"/>
      <c r="AE58" s="60" t="str">
        <f t="shared" si="3"/>
        <v>A3</v>
      </c>
      <c r="AF58" s="60"/>
      <c r="AG58" s="60"/>
      <c r="AH58" s="542"/>
      <c r="AI58" s="542"/>
      <c r="AK58" s="589"/>
      <c r="AL58" s="589"/>
      <c r="AM58" s="589"/>
      <c r="AN58" s="589"/>
      <c r="AO58" s="589"/>
      <c r="AP58" s="589"/>
      <c r="AQ58" s="589"/>
      <c r="AR58" s="589"/>
      <c r="AS58" s="589"/>
      <c r="AT58" s="589"/>
      <c r="AU58" s="589"/>
      <c r="AV58" s="589"/>
      <c r="AW58" s="589"/>
      <c r="AX58" s="589"/>
      <c r="AY58" s="589"/>
      <c r="AZ58" s="589"/>
      <c r="BA58" s="589"/>
      <c r="BB58" s="589"/>
      <c r="BD58" s="60" t="s">
        <v>872</v>
      </c>
      <c r="BE58" s="60" t="s">
        <v>867</v>
      </c>
    </row>
    <row r="59" spans="1:57" s="57" customFormat="1" ht="48.75" customHeight="1" x14ac:dyDescent="0.25">
      <c r="A59" s="63">
        <f>IF(D59="","",SUBTOTAL(3,$D$8:D59))</f>
        <v>43</v>
      </c>
      <c r="B59" s="63" t="s">
        <v>22</v>
      </c>
      <c r="C59" s="10" t="s">
        <v>383</v>
      </c>
      <c r="D59" s="63" t="s">
        <v>680</v>
      </c>
      <c r="E59" s="652"/>
      <c r="F59" s="652"/>
      <c r="G59" s="282" t="str">
        <f t="shared" si="13"/>
        <v>A4</v>
      </c>
      <c r="H59" s="737"/>
      <c r="I59" s="737"/>
      <c r="J59" s="737"/>
      <c r="K59" s="234"/>
      <c r="L59" s="298" t="s">
        <v>83</v>
      </c>
      <c r="M59" s="300"/>
      <c r="N59" s="291">
        <f>IFERROR(VLOOKUP($D59,TCHC!$C$10:$AE$37,14,0),0)</f>
        <v>0</v>
      </c>
      <c r="O59" s="291">
        <f>IFERROR(VLOOKUP($D59,TCHC!$C$10:$AE$37,28,0),0)</f>
        <v>2</v>
      </c>
      <c r="P59" s="313" t="str">
        <f t="shared" si="16"/>
        <v>A4</v>
      </c>
      <c r="Q59" s="1196" t="s">
        <v>85</v>
      </c>
      <c r="R59" s="317"/>
      <c r="S59" s="663"/>
      <c r="T59" s="663"/>
      <c r="U59" s="176" t="str">
        <f t="shared" si="15"/>
        <v>A3</v>
      </c>
      <c r="V59" s="178"/>
      <c r="W59" s="330">
        <f>IFERROR(VLOOKUP($D59,TCHC!$C$10:$AE$37,15,0),0)</f>
        <v>0</v>
      </c>
      <c r="X59" s="330">
        <f>IFERROR(VLOOKUP($D59,TCHC!$C$10:$AE$37,29,0),0)</f>
        <v>2</v>
      </c>
      <c r="Y59" s="63"/>
      <c r="Z59" s="68"/>
      <c r="AA59" s="68"/>
      <c r="AB59" s="1020" t="s">
        <v>85</v>
      </c>
      <c r="AC59" s="839" t="s">
        <v>1118</v>
      </c>
      <c r="AD59" s="213"/>
      <c r="AE59" s="60" t="str">
        <f t="shared" si="3"/>
        <v>A4</v>
      </c>
      <c r="AF59" s="60"/>
      <c r="AG59" s="60"/>
      <c r="AH59" s="542"/>
      <c r="AI59" s="542"/>
      <c r="AK59" s="589"/>
      <c r="AL59" s="589"/>
      <c r="AM59" s="589"/>
      <c r="AN59" s="589"/>
      <c r="AO59" s="589"/>
      <c r="AP59" s="589"/>
      <c r="AQ59" s="589"/>
      <c r="AR59" s="589"/>
      <c r="AS59" s="589"/>
      <c r="AT59" s="589"/>
      <c r="AU59" s="589"/>
      <c r="AV59" s="589"/>
      <c r="AW59" s="589"/>
      <c r="AX59" s="589"/>
      <c r="AY59" s="589"/>
      <c r="AZ59" s="589"/>
      <c r="BA59" s="589"/>
      <c r="BB59" s="589"/>
      <c r="BD59" s="60" t="s">
        <v>872</v>
      </c>
      <c r="BE59" s="60" t="s">
        <v>867</v>
      </c>
    </row>
    <row r="60" spans="1:57" s="57" customFormat="1" ht="36.75" customHeight="1" x14ac:dyDescent="0.25">
      <c r="A60" s="63">
        <f>IF(D60="","",SUBTOTAL(3,$D$8:D60))</f>
        <v>44</v>
      </c>
      <c r="B60" s="63" t="s">
        <v>23</v>
      </c>
      <c r="C60" s="10" t="s">
        <v>382</v>
      </c>
      <c r="D60" s="143" t="s">
        <v>683</v>
      </c>
      <c r="E60" s="652"/>
      <c r="F60" s="652"/>
      <c r="G60" s="282" t="str">
        <f t="shared" si="13"/>
        <v>A4</v>
      </c>
      <c r="H60" s="737"/>
      <c r="I60" s="737"/>
      <c r="J60" s="737"/>
      <c r="K60" s="234"/>
      <c r="L60" s="294" t="s">
        <v>83</v>
      </c>
      <c r="M60" s="289"/>
      <c r="N60" s="291">
        <f>IFERROR(VLOOKUP($D60,TCHC!$C$10:$AE$37,14,0),0)</f>
        <v>0</v>
      </c>
      <c r="O60" s="291">
        <f>IFERROR(VLOOKUP($D60,TCHC!$C$10:$AE$37,28,0),0)</f>
        <v>2</v>
      </c>
      <c r="P60" s="313" t="str">
        <f t="shared" si="16"/>
        <v>A4</v>
      </c>
      <c r="Q60" s="341" t="str">
        <f t="shared" si="14"/>
        <v>A4</v>
      </c>
      <c r="R60" s="317"/>
      <c r="S60" s="668"/>
      <c r="T60" s="668"/>
      <c r="U60" s="176" t="str">
        <f t="shared" si="15"/>
        <v>A4</v>
      </c>
      <c r="V60" s="178"/>
      <c r="W60" s="330">
        <f>IFERROR(VLOOKUP($D60,TCHC!$C$10:$AE$37,15,0),0)</f>
        <v>0</v>
      </c>
      <c r="X60" s="330">
        <f>IFERROR(VLOOKUP($D60,TCHC!$C$10:$AE$37,29,0),0)</f>
        <v>2</v>
      </c>
      <c r="Y60" s="63"/>
      <c r="Z60" s="68"/>
      <c r="AA60" s="68"/>
      <c r="AB60" s="723"/>
      <c r="AC60" s="839"/>
      <c r="AD60" s="213"/>
      <c r="AE60" s="60" t="str">
        <f t="shared" si="3"/>
        <v>A4</v>
      </c>
      <c r="AF60" s="60"/>
      <c r="AG60" s="60"/>
      <c r="AH60" s="542"/>
      <c r="AI60" s="542"/>
      <c r="AK60" s="589"/>
      <c r="AL60" s="589"/>
      <c r="AM60" s="589"/>
      <c r="AN60" s="589"/>
      <c r="AO60" s="589"/>
      <c r="AP60" s="589"/>
      <c r="AQ60" s="589"/>
      <c r="AR60" s="589"/>
      <c r="AS60" s="589"/>
      <c r="AT60" s="589"/>
      <c r="AU60" s="589"/>
      <c r="AV60" s="589"/>
      <c r="AW60" s="589"/>
      <c r="AX60" s="589"/>
      <c r="AY60" s="589"/>
      <c r="AZ60" s="589"/>
      <c r="BA60" s="589"/>
      <c r="BB60" s="589"/>
      <c r="BD60" s="60" t="s">
        <v>872</v>
      </c>
      <c r="BE60" s="60" t="s">
        <v>867</v>
      </c>
    </row>
    <row r="61" spans="1:57" s="57" customFormat="1" ht="68.25" customHeight="1" x14ac:dyDescent="0.25">
      <c r="A61" s="63">
        <f>IF(D61="","",SUBTOTAL(3,$D$8:D61))</f>
        <v>45</v>
      </c>
      <c r="B61" s="63" t="s">
        <v>24</v>
      </c>
      <c r="C61" s="10" t="s">
        <v>384</v>
      </c>
      <c r="D61" s="63" t="s">
        <v>692</v>
      </c>
      <c r="E61" s="652"/>
      <c r="F61" s="652"/>
      <c r="G61" s="282" t="str">
        <f t="shared" si="13"/>
        <v>A4</v>
      </c>
      <c r="H61" s="737"/>
      <c r="I61" s="737"/>
      <c r="J61" s="737"/>
      <c r="K61" s="234"/>
      <c r="L61" s="298" t="s">
        <v>83</v>
      </c>
      <c r="M61" s="301"/>
      <c r="N61" s="291">
        <f>IFERROR(VLOOKUP($D61,TCHC!$C$10:$AE$37,14,0),0)</f>
        <v>0</v>
      </c>
      <c r="O61" s="291">
        <f>IFERROR(VLOOKUP($D61,TCHC!$C$10:$AE$37,28,0),0)</f>
        <v>3</v>
      </c>
      <c r="P61" s="313" t="str">
        <f t="shared" si="16"/>
        <v>A4</v>
      </c>
      <c r="Q61" s="1196" t="s">
        <v>85</v>
      </c>
      <c r="R61" s="317"/>
      <c r="S61" s="663"/>
      <c r="T61" s="663"/>
      <c r="U61" s="176" t="str">
        <f t="shared" si="15"/>
        <v>A3</v>
      </c>
      <c r="V61" s="178"/>
      <c r="W61" s="330">
        <f>IFERROR(VLOOKUP($D61,TCHC!$C$10:$AE$37,15,0),0)</f>
        <v>0</v>
      </c>
      <c r="X61" s="330">
        <f>IFERROR(VLOOKUP($D61,TCHC!$C$10:$AE$37,29,0),0)</f>
        <v>3</v>
      </c>
      <c r="Y61" s="63"/>
      <c r="Z61" s="68"/>
      <c r="AA61" s="68"/>
      <c r="AB61" s="723" t="s">
        <v>85</v>
      </c>
      <c r="AC61" s="839" t="s">
        <v>1206</v>
      </c>
      <c r="AD61" s="213"/>
      <c r="AE61" s="60" t="str">
        <f t="shared" si="3"/>
        <v>A4</v>
      </c>
      <c r="AF61" s="60"/>
      <c r="AG61" s="60"/>
      <c r="AH61" s="542"/>
      <c r="AI61" s="542"/>
      <c r="AK61" s="589"/>
      <c r="AL61" s="589"/>
      <c r="AM61" s="589"/>
      <c r="AN61" s="589"/>
      <c r="AO61" s="589"/>
      <c r="AP61" s="589"/>
      <c r="AQ61" s="589"/>
      <c r="AR61" s="589"/>
      <c r="AS61" s="589"/>
      <c r="AT61" s="589"/>
      <c r="AU61" s="589"/>
      <c r="AV61" s="589"/>
      <c r="AW61" s="589"/>
      <c r="AX61" s="589"/>
      <c r="AY61" s="589"/>
      <c r="AZ61" s="589"/>
      <c r="BA61" s="589"/>
      <c r="BB61" s="589"/>
      <c r="BD61" s="60" t="s">
        <v>872</v>
      </c>
      <c r="BE61" s="60" t="s">
        <v>867</v>
      </c>
    </row>
    <row r="62" spans="1:57" s="57" customFormat="1" ht="29.25" customHeight="1" x14ac:dyDescent="0.25">
      <c r="A62" s="63">
        <f>IF(D62="","",SUBTOTAL(3,$D$8:D62))</f>
        <v>46</v>
      </c>
      <c r="B62" s="63" t="s">
        <v>25</v>
      </c>
      <c r="C62" s="10" t="s">
        <v>385</v>
      </c>
      <c r="D62" s="63" t="s">
        <v>684</v>
      </c>
      <c r="E62" s="652"/>
      <c r="F62" s="652"/>
      <c r="G62" s="282" t="str">
        <f t="shared" si="13"/>
        <v>A4</v>
      </c>
      <c r="H62" s="737"/>
      <c r="I62" s="737"/>
      <c r="J62" s="737"/>
      <c r="K62" s="234"/>
      <c r="L62" s="298" t="s">
        <v>83</v>
      </c>
      <c r="M62" s="299"/>
      <c r="N62" s="291">
        <f>IFERROR(VLOOKUP($D62,TCHC!$C$10:$AE$37,14,0),0)</f>
        <v>0</v>
      </c>
      <c r="O62" s="291">
        <f>IFERROR(VLOOKUP($D62,TCHC!$C$10:$AE$37,28,0),0)</f>
        <v>2</v>
      </c>
      <c r="P62" s="313" t="str">
        <f t="shared" si="16"/>
        <v>A4</v>
      </c>
      <c r="Q62" s="341" t="str">
        <f t="shared" si="14"/>
        <v>A4</v>
      </c>
      <c r="R62" s="317"/>
      <c r="S62" s="668"/>
      <c r="T62" s="668"/>
      <c r="U62" s="176" t="str">
        <f t="shared" si="15"/>
        <v>A4</v>
      </c>
      <c r="V62" s="178"/>
      <c r="W62" s="330">
        <f>IFERROR(VLOOKUP($D62,TCHC!$C$10:$AE$37,15,0),0)</f>
        <v>0</v>
      </c>
      <c r="X62" s="330">
        <f>IFERROR(VLOOKUP($D62,TCHC!$C$10:$AE$37,29,0),0)</f>
        <v>2</v>
      </c>
      <c r="Y62" s="63"/>
      <c r="Z62" s="68"/>
      <c r="AA62" s="68"/>
      <c r="AB62" s="723"/>
      <c r="AC62" s="955"/>
      <c r="AD62" s="213"/>
      <c r="AE62" s="60" t="str">
        <f t="shared" si="3"/>
        <v>A4</v>
      </c>
      <c r="AF62" s="60"/>
      <c r="AG62" s="60"/>
      <c r="AH62" s="542"/>
      <c r="AI62" s="542"/>
      <c r="AK62" s="589"/>
      <c r="AL62" s="589"/>
      <c r="AM62" s="589"/>
      <c r="AN62" s="589"/>
      <c r="AO62" s="589"/>
      <c r="AP62" s="589"/>
      <c r="AQ62" s="589"/>
      <c r="AR62" s="589"/>
      <c r="AS62" s="589"/>
      <c r="AT62" s="589"/>
      <c r="AU62" s="589"/>
      <c r="AV62" s="589"/>
      <c r="AW62" s="589"/>
      <c r="AX62" s="589"/>
      <c r="AY62" s="589"/>
      <c r="AZ62" s="589"/>
      <c r="BA62" s="589"/>
      <c r="BB62" s="589"/>
      <c r="BD62" s="60" t="s">
        <v>872</v>
      </c>
      <c r="BE62" s="60" t="s">
        <v>867</v>
      </c>
    </row>
    <row r="63" spans="1:57" s="57" customFormat="1" ht="34.5" customHeight="1" x14ac:dyDescent="0.25">
      <c r="A63" s="63">
        <f>IF(D63="","",SUBTOTAL(3,$D$8:D63))</f>
        <v>47</v>
      </c>
      <c r="B63" s="63" t="s">
        <v>26</v>
      </c>
      <c r="C63" s="10" t="s">
        <v>386</v>
      </c>
      <c r="D63" s="63" t="s">
        <v>690</v>
      </c>
      <c r="E63" s="652"/>
      <c r="F63" s="652"/>
      <c r="G63" s="282" t="str">
        <f t="shared" si="13"/>
        <v>A2</v>
      </c>
      <c r="H63" s="737"/>
      <c r="I63" s="737" t="s">
        <v>955</v>
      </c>
      <c r="J63" s="737" t="s">
        <v>954</v>
      </c>
      <c r="K63" s="234"/>
      <c r="L63" s="298" t="s">
        <v>85</v>
      </c>
      <c r="M63" s="299"/>
      <c r="N63" s="291">
        <f>IFERROR(VLOOKUP($D63,TCHC!$C$10:$AE$37,14,0),0)</f>
        <v>0</v>
      </c>
      <c r="O63" s="291">
        <f>IFERROR(VLOOKUP($D63,TCHC!$C$10:$AE$37,28,0),0)</f>
        <v>2</v>
      </c>
      <c r="P63" s="313" t="str">
        <f t="shared" si="16"/>
        <v>A3</v>
      </c>
      <c r="Q63" s="341" t="str">
        <f t="shared" si="14"/>
        <v>A3</v>
      </c>
      <c r="R63" s="317"/>
      <c r="S63" s="663"/>
      <c r="T63" s="663"/>
      <c r="U63" s="176" t="str">
        <f t="shared" si="15"/>
        <v>A3</v>
      </c>
      <c r="V63" s="180">
        <f>R63</f>
        <v>0</v>
      </c>
      <c r="W63" s="330">
        <f>IFERROR(VLOOKUP($D63,TCHC!$C$10:$AE$37,15,0),0)</f>
        <v>0</v>
      </c>
      <c r="X63" s="330">
        <f>IFERROR(VLOOKUP($D63,TCHC!$C$10:$AE$37,29,0),0)</f>
        <v>2</v>
      </c>
      <c r="Y63" s="63"/>
      <c r="Z63" s="68"/>
      <c r="AA63" s="68"/>
      <c r="AB63" s="723"/>
      <c r="AC63" s="955"/>
      <c r="AD63" s="213"/>
      <c r="AE63" s="60" t="str">
        <f t="shared" si="3"/>
        <v>A3</v>
      </c>
      <c r="AF63" s="60"/>
      <c r="AG63" s="60"/>
      <c r="AH63" s="542"/>
      <c r="AI63" s="542"/>
      <c r="AK63" s="589"/>
      <c r="AL63" s="589"/>
      <c r="AM63" s="589"/>
      <c r="AN63" s="589"/>
      <c r="AO63" s="589"/>
      <c r="AP63" s="589"/>
      <c r="AQ63" s="589"/>
      <c r="AR63" s="589"/>
      <c r="AS63" s="589"/>
      <c r="AT63" s="589"/>
      <c r="AU63" s="589"/>
      <c r="AV63" s="589"/>
      <c r="AW63" s="589"/>
      <c r="AX63" s="589"/>
      <c r="AY63" s="589"/>
      <c r="AZ63" s="589"/>
      <c r="BA63" s="589"/>
      <c r="BB63" s="589"/>
      <c r="BD63" s="60" t="s">
        <v>872</v>
      </c>
      <c r="BE63" s="60" t="s">
        <v>867</v>
      </c>
    </row>
    <row r="64" spans="1:57" s="57" customFormat="1" ht="49.5" customHeight="1" x14ac:dyDescent="0.25">
      <c r="A64" s="63">
        <f>IF(D64="","",SUBTOTAL(3,$D$8:D64))</f>
        <v>48</v>
      </c>
      <c r="B64" s="63" t="s">
        <v>27</v>
      </c>
      <c r="C64" s="10" t="s">
        <v>779</v>
      </c>
      <c r="D64" s="63" t="s">
        <v>685</v>
      </c>
      <c r="E64" s="652"/>
      <c r="F64" s="652"/>
      <c r="G64" s="282" t="str">
        <f t="shared" si="13"/>
        <v>A3</v>
      </c>
      <c r="H64" s="737"/>
      <c r="I64" s="737"/>
      <c r="J64" s="737" t="s">
        <v>954</v>
      </c>
      <c r="K64" s="234"/>
      <c r="L64" s="298" t="s">
        <v>85</v>
      </c>
      <c r="M64" s="301"/>
      <c r="N64" s="291">
        <f>IFERROR(VLOOKUP($D64,TCHC!$C$10:$AE$37,14,0),0)</f>
        <v>1</v>
      </c>
      <c r="O64" s="291">
        <f>IFERROR(VLOOKUP($D64,TCHC!$C$10:$AE$37,28,0),0)</f>
        <v>3</v>
      </c>
      <c r="P64" s="313" t="str">
        <f t="shared" si="16"/>
        <v>A3</v>
      </c>
      <c r="Q64" s="1196" t="s">
        <v>84</v>
      </c>
      <c r="R64" s="317"/>
      <c r="S64" s="664"/>
      <c r="T64" s="664"/>
      <c r="U64" s="176" t="str">
        <f t="shared" si="15"/>
        <v>A2</v>
      </c>
      <c r="V64" s="178"/>
      <c r="W64" s="330">
        <f>IFERROR(VLOOKUP($D64,TCHC!$C$10:$AE$37,15,0),0)</f>
        <v>1</v>
      </c>
      <c r="X64" s="330">
        <f>IFERROR(VLOOKUP($D64,TCHC!$C$10:$AE$37,29,0),0)</f>
        <v>3</v>
      </c>
      <c r="Y64" s="499">
        <v>1</v>
      </c>
      <c r="Z64" s="68"/>
      <c r="AA64" s="68"/>
      <c r="AB64" s="723" t="s">
        <v>84</v>
      </c>
      <c r="AC64" s="839" t="s">
        <v>1118</v>
      </c>
      <c r="AD64" s="213"/>
      <c r="AE64" s="60" t="str">
        <f t="shared" si="3"/>
        <v>A3</v>
      </c>
      <c r="AF64" s="60"/>
      <c r="AG64" s="60"/>
      <c r="AH64" s="542"/>
      <c r="AI64" s="542"/>
      <c r="AK64" s="589"/>
      <c r="AL64" s="589"/>
      <c r="AM64" s="589"/>
      <c r="AN64" s="589"/>
      <c r="AO64" s="589"/>
      <c r="AP64" s="589"/>
      <c r="AQ64" s="589"/>
      <c r="AR64" s="589"/>
      <c r="AS64" s="589"/>
      <c r="AT64" s="589"/>
      <c r="AU64" s="589"/>
      <c r="AV64" s="589"/>
      <c r="AW64" s="589"/>
      <c r="AX64" s="589"/>
      <c r="AY64" s="589"/>
      <c r="AZ64" s="589"/>
      <c r="BA64" s="589"/>
      <c r="BB64" s="589"/>
      <c r="BD64" s="60" t="s">
        <v>872</v>
      </c>
      <c r="BE64" s="60" t="s">
        <v>867</v>
      </c>
    </row>
    <row r="65" spans="1:59" s="57" customFormat="1" ht="39" customHeight="1" x14ac:dyDescent="0.25">
      <c r="A65" s="63">
        <f>IF(D65="","",SUBTOTAL(3,$D$8:D65))</f>
        <v>49</v>
      </c>
      <c r="B65" s="63" t="s">
        <v>28</v>
      </c>
      <c r="C65" s="10" t="s">
        <v>387</v>
      </c>
      <c r="D65" s="63" t="s">
        <v>686</v>
      </c>
      <c r="E65" s="652"/>
      <c r="F65" s="652"/>
      <c r="G65" s="282" t="str">
        <f t="shared" si="13"/>
        <v>A4</v>
      </c>
      <c r="H65" s="737"/>
      <c r="I65" s="737"/>
      <c r="J65" s="737"/>
      <c r="K65" s="234"/>
      <c r="L65" s="298" t="s">
        <v>20</v>
      </c>
      <c r="M65" s="299" t="s">
        <v>1138</v>
      </c>
      <c r="N65" s="291">
        <f>IFERROR(VLOOKUP($D65,TCHC!$C$10:$AE$37,14,0),0)</f>
        <v>0</v>
      </c>
      <c r="O65" s="291">
        <f>IFERROR(VLOOKUP($D65,TCHC!$C$10:$AE$37,28,0),0)</f>
        <v>0</v>
      </c>
      <c r="P65" s="313" t="s">
        <v>20</v>
      </c>
      <c r="Q65" s="341" t="str">
        <f t="shared" si="14"/>
        <v>A DN</v>
      </c>
      <c r="R65" s="317" t="s">
        <v>1138</v>
      </c>
      <c r="S65" s="668"/>
      <c r="T65" s="668"/>
      <c r="U65" s="176" t="str">
        <f t="shared" si="15"/>
        <v>A DN</v>
      </c>
      <c r="V65" s="178" t="s">
        <v>1138</v>
      </c>
      <c r="W65" s="330">
        <f>IFERROR(VLOOKUP($D65,TCHC!$C$10:$AE$37,15,0),0)</f>
        <v>0</v>
      </c>
      <c r="X65" s="330">
        <f>IFERROR(VLOOKUP($D65,TCHC!$C$10:$AE$37,29,0),0)</f>
        <v>0</v>
      </c>
      <c r="Y65" s="63"/>
      <c r="Z65" s="857"/>
      <c r="AA65" s="850"/>
      <c r="AB65" s="723"/>
      <c r="AC65" s="839"/>
      <c r="AD65" s="213"/>
      <c r="AE65" s="60" t="str">
        <f t="shared" si="3"/>
        <v>A DN</v>
      </c>
      <c r="AF65" s="60"/>
      <c r="AG65" s="60"/>
      <c r="AH65" s="542"/>
      <c r="AI65" s="542"/>
      <c r="AK65" s="589"/>
      <c r="AL65" s="589"/>
      <c r="AM65" s="589"/>
      <c r="AN65" s="589"/>
      <c r="AO65" s="589"/>
      <c r="AP65" s="589"/>
      <c r="AQ65" s="589"/>
      <c r="AR65" s="589"/>
      <c r="AS65" s="589"/>
      <c r="AT65" s="589"/>
      <c r="AU65" s="589"/>
      <c r="AV65" s="589"/>
      <c r="AW65" s="589"/>
      <c r="AX65" s="589"/>
      <c r="AY65" s="589"/>
      <c r="AZ65" s="589"/>
      <c r="BA65" s="589"/>
      <c r="BB65" s="589"/>
      <c r="BD65" s="60" t="s">
        <v>872</v>
      </c>
      <c r="BE65" s="60" t="s">
        <v>867</v>
      </c>
    </row>
    <row r="66" spans="1:59" s="57" customFormat="1" ht="36.75" customHeight="1" x14ac:dyDescent="0.25">
      <c r="A66" s="63">
        <f>IF(D66="","",SUBTOTAL(3,$D$8:D66))</f>
        <v>50</v>
      </c>
      <c r="B66" s="63" t="s">
        <v>29</v>
      </c>
      <c r="C66" s="10" t="s">
        <v>388</v>
      </c>
      <c r="D66" s="63" t="s">
        <v>687</v>
      </c>
      <c r="E66" s="652"/>
      <c r="F66" s="652"/>
      <c r="G66" s="282" t="str">
        <f t="shared" si="13"/>
        <v>A4</v>
      </c>
      <c r="H66" s="737"/>
      <c r="I66" s="737"/>
      <c r="J66" s="737"/>
      <c r="K66" s="234"/>
      <c r="L66" s="298" t="s">
        <v>83</v>
      </c>
      <c r="M66" s="301"/>
      <c r="N66" s="291">
        <f>IFERROR(VLOOKUP($D66,TCHC!$C$10:$AE$37,14,0),0)</f>
        <v>0</v>
      </c>
      <c r="O66" s="291">
        <f>IFERROR(VLOOKUP($D66,TCHC!$C$10:$AE$37,28,0),0)</f>
        <v>2</v>
      </c>
      <c r="P66" s="313" t="str">
        <f t="shared" si="16"/>
        <v>A4</v>
      </c>
      <c r="Q66" s="1196" t="s">
        <v>85</v>
      </c>
      <c r="R66" s="317"/>
      <c r="S66" s="669"/>
      <c r="T66" s="669"/>
      <c r="U66" s="176" t="str">
        <f t="shared" si="15"/>
        <v>A3</v>
      </c>
      <c r="V66" s="178"/>
      <c r="W66" s="330">
        <f>IFERROR(VLOOKUP($D66,TCHC!$C$10:$AE$37,15,0),0)</f>
        <v>0</v>
      </c>
      <c r="X66" s="330">
        <f>IFERROR(VLOOKUP($D66,TCHC!$C$10:$AE$37,29,0),0)</f>
        <v>2</v>
      </c>
      <c r="Y66" s="63"/>
      <c r="Z66" s="68"/>
      <c r="AA66" s="68"/>
      <c r="AB66" s="723" t="s">
        <v>85</v>
      </c>
      <c r="AC66" s="839" t="s">
        <v>1205</v>
      </c>
      <c r="AD66" s="213"/>
      <c r="AE66" s="60" t="str">
        <f t="shared" si="3"/>
        <v>A4</v>
      </c>
      <c r="AF66" s="60"/>
      <c r="AG66" s="60"/>
      <c r="AH66" s="542"/>
      <c r="AI66" s="542"/>
      <c r="AK66" s="589"/>
      <c r="AL66" s="589"/>
      <c r="AM66" s="589"/>
      <c r="AN66" s="589"/>
      <c r="AO66" s="589"/>
      <c r="AP66" s="589"/>
      <c r="AQ66" s="589"/>
      <c r="AR66" s="589"/>
      <c r="AS66" s="589"/>
      <c r="AT66" s="589"/>
      <c r="AU66" s="589"/>
      <c r="AV66" s="589"/>
      <c r="AW66" s="589"/>
      <c r="AX66" s="589"/>
      <c r="AY66" s="589"/>
      <c r="AZ66" s="589"/>
      <c r="BA66" s="589"/>
      <c r="BB66" s="589"/>
      <c r="BD66" s="60" t="s">
        <v>872</v>
      </c>
      <c r="BE66" s="60" t="s">
        <v>867</v>
      </c>
    </row>
    <row r="67" spans="1:59" s="57" customFormat="1" ht="36.75" customHeight="1" x14ac:dyDescent="0.25">
      <c r="A67" s="63">
        <f>IF(D67="","",SUBTOTAL(3,$D$8:D67))</f>
        <v>51</v>
      </c>
      <c r="B67" s="63" t="s">
        <v>31</v>
      </c>
      <c r="C67" s="10" t="s">
        <v>390</v>
      </c>
      <c r="D67" s="63" t="s">
        <v>689</v>
      </c>
      <c r="E67" s="652"/>
      <c r="F67" s="652"/>
      <c r="G67" s="282" t="str">
        <f t="shared" si="13"/>
        <v>A4</v>
      </c>
      <c r="H67" s="737"/>
      <c r="I67" s="737"/>
      <c r="J67" s="737"/>
      <c r="K67" s="234"/>
      <c r="L67" s="298" t="s">
        <v>83</v>
      </c>
      <c r="M67" s="835"/>
      <c r="N67" s="291">
        <f>IFERROR(VLOOKUP($D67,TCHC!$C$10:$AE$37,14,0),0)</f>
        <v>2</v>
      </c>
      <c r="O67" s="291">
        <f>IFERROR(VLOOKUP($D67,TCHC!$C$10:$AE$37,28,0),0)</f>
        <v>3</v>
      </c>
      <c r="P67" s="313" t="str">
        <f t="shared" ref="P67" si="18">IF(AND($W67&gt;=2,$X67&gt;=3,$Y67&gt;=1,H67&lt;&gt;0),"A1",IF(AND($W67&gt;=3,$X67&gt;=1,$Y67&gt;=1,H67&lt;&gt;0),"A1",IF(AND($W67&gt;=2,$X67&gt;=2,$Y67&gt;=1,I67&lt;&gt;0),"A2",IF(AND($W67&gt;=3,$X67&gt;=0,$Y67&gt;=1,I67&lt;&gt;0),"A2",IF(AND(OR($W67&gt;=1,$X67&gt;=2),J67&lt;&gt;0,$Y67&gt;=0),"A3","A4")))))</f>
        <v>A4</v>
      </c>
      <c r="Q67" s="1196" t="s">
        <v>85</v>
      </c>
      <c r="R67" s="317"/>
      <c r="S67" s="664"/>
      <c r="T67" s="664"/>
      <c r="U67" s="176" t="str">
        <f t="shared" si="15"/>
        <v>A3</v>
      </c>
      <c r="V67" s="178"/>
      <c r="W67" s="330">
        <f>IFERROR(VLOOKUP($D67,TCHC!$C$10:$AE$37,15,0),0)</f>
        <v>2</v>
      </c>
      <c r="X67" s="330">
        <f>IFERROR(VLOOKUP($D67,TCHC!$C$10:$AE$37,29,0),0)</f>
        <v>3</v>
      </c>
      <c r="Y67" s="63"/>
      <c r="Z67" s="68"/>
      <c r="AA67" s="68"/>
      <c r="AB67" s="723" t="s">
        <v>85</v>
      </c>
      <c r="AC67" s="839" t="s">
        <v>1118</v>
      </c>
      <c r="AD67" s="213"/>
      <c r="AE67" s="60" t="str">
        <f t="shared" si="3"/>
        <v>A4</v>
      </c>
      <c r="AF67" s="60"/>
      <c r="AG67" s="60"/>
      <c r="AH67" s="542"/>
      <c r="AI67" s="542"/>
      <c r="AK67" s="589"/>
      <c r="AL67" s="589"/>
      <c r="AM67" s="589"/>
      <c r="AN67" s="589"/>
      <c r="AO67" s="589"/>
      <c r="AP67" s="589"/>
      <c r="AQ67" s="589"/>
      <c r="AR67" s="589"/>
      <c r="AS67" s="589"/>
      <c r="AT67" s="589"/>
      <c r="AU67" s="589"/>
      <c r="AV67" s="589"/>
      <c r="AW67" s="589"/>
      <c r="AX67" s="589"/>
      <c r="AY67" s="589"/>
      <c r="AZ67" s="589"/>
      <c r="BA67" s="589"/>
      <c r="BB67" s="589"/>
      <c r="BD67" s="60" t="s">
        <v>872</v>
      </c>
      <c r="BE67" s="60" t="s">
        <v>867</v>
      </c>
    </row>
    <row r="68" spans="1:59" s="57" customFormat="1" ht="30" customHeight="1" x14ac:dyDescent="0.25">
      <c r="A68" s="63">
        <f>IF(D68="","",SUBTOTAL(3,$D$8:D68))</f>
        <v>52</v>
      </c>
      <c r="B68" s="63" t="s">
        <v>32</v>
      </c>
      <c r="C68" s="144" t="s">
        <v>393</v>
      </c>
      <c r="D68" s="63" t="s">
        <v>719</v>
      </c>
      <c r="E68" s="652"/>
      <c r="F68" s="652"/>
      <c r="G68" s="282" t="str">
        <f t="shared" si="13"/>
        <v>A4</v>
      </c>
      <c r="H68" s="737"/>
      <c r="I68" s="737"/>
      <c r="J68" s="737"/>
      <c r="K68" s="234"/>
      <c r="L68" s="298" t="s">
        <v>83</v>
      </c>
      <c r="M68" s="290"/>
      <c r="N68" s="291">
        <f>IFERROR(VLOOKUP($D68,TCHC!$C$10:$AE$37,14,0),0)</f>
        <v>0</v>
      </c>
      <c r="O68" s="291">
        <f>IFERROR(VLOOKUP($D68,TCHC!$C$10:$AE$37,28,0),0)</f>
        <v>2</v>
      </c>
      <c r="P68" s="313" t="str">
        <f t="shared" si="16"/>
        <v>A4</v>
      </c>
      <c r="Q68" s="341" t="str">
        <f t="shared" si="14"/>
        <v>A4</v>
      </c>
      <c r="R68" s="317"/>
      <c r="S68" s="664"/>
      <c r="T68" s="664"/>
      <c r="U68" s="176" t="str">
        <f t="shared" si="15"/>
        <v>A4</v>
      </c>
      <c r="V68" s="178"/>
      <c r="W68" s="330">
        <f>IFERROR(VLOOKUP($D68,TCHC!$C$10:$AE$37,15,0),0)</f>
        <v>0</v>
      </c>
      <c r="X68" s="330">
        <f>IFERROR(VLOOKUP($D68,TCHC!$C$10:$AE$37,29,0),0)</f>
        <v>2</v>
      </c>
      <c r="Y68" s="63"/>
      <c r="Z68" s="68"/>
      <c r="AA68" s="68"/>
      <c r="AB68" s="723"/>
      <c r="AC68" s="955"/>
      <c r="AD68" s="213"/>
      <c r="AE68" s="60" t="str">
        <f t="shared" si="3"/>
        <v>A4</v>
      </c>
      <c r="AF68" s="60"/>
      <c r="AG68" s="60"/>
      <c r="AH68" s="542"/>
      <c r="AI68" s="542"/>
      <c r="AK68" s="589"/>
      <c r="AL68" s="589"/>
      <c r="AM68" s="589"/>
      <c r="AN68" s="589"/>
      <c r="AO68" s="589"/>
      <c r="AP68" s="589"/>
      <c r="AQ68" s="589"/>
      <c r="AR68" s="589"/>
      <c r="AS68" s="589"/>
      <c r="AT68" s="589"/>
      <c r="AU68" s="589"/>
      <c r="AV68" s="589"/>
      <c r="AW68" s="589"/>
      <c r="AX68" s="589"/>
      <c r="AY68" s="589"/>
      <c r="AZ68" s="589"/>
      <c r="BA68" s="589"/>
      <c r="BB68" s="589"/>
      <c r="BD68" s="60" t="s">
        <v>872</v>
      </c>
      <c r="BE68" s="60" t="s">
        <v>867</v>
      </c>
    </row>
    <row r="69" spans="1:59" s="1105" customFormat="1" ht="36.75" customHeight="1" x14ac:dyDescent="0.25">
      <c r="A69" s="63">
        <f>IF(D69="","",SUBTOTAL(3,$D$8:D69))</f>
        <v>53</v>
      </c>
      <c r="B69" s="63" t="s">
        <v>32</v>
      </c>
      <c r="C69" s="1132" t="s">
        <v>1114</v>
      </c>
      <c r="D69" s="1133" t="s">
        <v>1115</v>
      </c>
      <c r="E69" s="652"/>
      <c r="F69" s="652"/>
      <c r="G69" s="282" t="str">
        <f t="shared" si="13"/>
        <v>A4</v>
      </c>
      <c r="H69" s="737"/>
      <c r="I69" s="737"/>
      <c r="J69" s="737"/>
      <c r="K69" s="234"/>
      <c r="L69" s="298" t="s">
        <v>83</v>
      </c>
      <c r="M69" s="290"/>
      <c r="N69" s="291">
        <f>IFERROR(VLOOKUP($D69,TCHC!$C$10:$AE$37,14,0),0)</f>
        <v>0</v>
      </c>
      <c r="O69" s="291">
        <f>IFERROR(VLOOKUP($D69,TCHC!$C$10:$AE$37,28,0),0)</f>
        <v>2</v>
      </c>
      <c r="P69" s="313" t="str">
        <f t="shared" ref="P69" si="19">IF(AND($W69&gt;=2,$X69&gt;=3,$Y69&gt;=1,H69&lt;&gt;0),"A1",IF(AND($W69&gt;=3,$X69&gt;=1,$Y69&gt;=1,H69&lt;&gt;0),"A1",IF(AND($W69&gt;=4,$X69&gt;=0,$Y69&gt;=1,H69&lt;&gt;0),"A1",IF(AND($W69&gt;=2,$X69&gt;=2,$Y69&gt;=1,I69&lt;&gt;0),"A2",IF(AND($W69&gt;=3,$X69&gt;=0,$Y69&gt;=1,I69&lt;&gt;0),"A2",IF(AND(OR($W69&gt;=1,$X69&gt;=2),J69&lt;&gt;0,$Y69&gt;=-2),"A3","A4"))))))</f>
        <v>A4</v>
      </c>
      <c r="Q69" s="341" t="str">
        <f t="shared" si="14"/>
        <v>A4</v>
      </c>
      <c r="R69" s="317"/>
      <c r="S69" s="664"/>
      <c r="T69" s="664"/>
      <c r="U69" s="176" t="str">
        <f t="shared" si="15"/>
        <v>A4</v>
      </c>
      <c r="V69" s="178"/>
      <c r="W69" s="330">
        <f>IFERROR(VLOOKUP($D69,TCHC!$C$10:$AE$37,15,0),0)</f>
        <v>0</v>
      </c>
      <c r="X69" s="330">
        <f>IFERROR(VLOOKUP($D69,TCHC!$C$10:$AE$37,29,0),0)</f>
        <v>2</v>
      </c>
      <c r="Y69" s="63"/>
      <c r="Z69" s="68"/>
      <c r="AA69" s="68"/>
      <c r="AB69" s="723"/>
      <c r="AC69" s="955"/>
      <c r="AD69" s="790"/>
      <c r="AE69" s="60" t="str">
        <f t="shared" si="3"/>
        <v>A4</v>
      </c>
      <c r="AF69" s="60"/>
      <c r="AG69" s="60"/>
      <c r="BD69" s="60" t="s">
        <v>872</v>
      </c>
      <c r="BE69" s="60" t="s">
        <v>867</v>
      </c>
    </row>
    <row r="70" spans="1:59" s="1134" customFormat="1" ht="30.75" customHeight="1" x14ac:dyDescent="0.25">
      <c r="A70" s="63">
        <f>IF(D70="","",SUBTOTAL(3,$D$8:D70))</f>
        <v>54</v>
      </c>
      <c r="B70" s="63" t="s">
        <v>32</v>
      </c>
      <c r="C70" s="1150" t="s">
        <v>1122</v>
      </c>
      <c r="D70" s="1148" t="s">
        <v>1123</v>
      </c>
      <c r="E70" s="652"/>
      <c r="F70" s="652"/>
      <c r="G70" s="282" t="str">
        <f t="shared" si="13"/>
        <v>A4</v>
      </c>
      <c r="H70" s="737"/>
      <c r="I70" s="737"/>
      <c r="J70" s="737"/>
      <c r="K70" s="234"/>
      <c r="L70" s="298" t="s">
        <v>83</v>
      </c>
      <c r="M70" s="290"/>
      <c r="N70" s="291">
        <f>IFERROR(VLOOKUP($D70,TCHC!$C$10:$AE$37,14,0),0)</f>
        <v>1</v>
      </c>
      <c r="O70" s="291">
        <f>IFERROR(VLOOKUP($D70,TCHC!$C$10:$AE$37,28,0),0)</f>
        <v>2</v>
      </c>
      <c r="P70" s="313" t="str">
        <f t="shared" ref="P70" si="20">IF(AND($W70&gt;=2,$X70&gt;=3,$Y70&gt;=1,H70&lt;&gt;0),"A1",IF(AND($W70&gt;=3,$X70&gt;=1,$Y70&gt;=1,H70&lt;&gt;0),"A1",IF(AND($W70&gt;=4,$X70&gt;=0,$Y70&gt;=1,H70&lt;&gt;0),"A1",IF(AND($W70&gt;=2,$X70&gt;=2,$Y70&gt;=1,I70&lt;&gt;0),"A2",IF(AND($W70&gt;=3,$X70&gt;=0,$Y70&gt;=1,I70&lt;&gt;0),"A2",IF(AND(OR($W70&gt;=1,$X70&gt;=2),J70&lt;&gt;0,$Y70&gt;=-2),"A3","A4"))))))</f>
        <v>A4</v>
      </c>
      <c r="Q70" s="1196" t="s">
        <v>85</v>
      </c>
      <c r="R70" s="317"/>
      <c r="S70" s="664"/>
      <c r="T70" s="664"/>
      <c r="U70" s="176" t="str">
        <f t="shared" si="15"/>
        <v>A3</v>
      </c>
      <c r="V70" s="178"/>
      <c r="W70" s="330">
        <f>IFERROR(VLOOKUP($D70,TCHC!$C$10:$AE$37,15,0),0)</f>
        <v>1</v>
      </c>
      <c r="X70" s="330">
        <f>IFERROR(VLOOKUP($D70,TCHC!$C$10:$AE$37,29,0),0)</f>
        <v>2</v>
      </c>
      <c r="Y70" s="63"/>
      <c r="Z70" s="68"/>
      <c r="AA70" s="68"/>
      <c r="AB70" s="723" t="s">
        <v>85</v>
      </c>
      <c r="AC70" s="839" t="s">
        <v>1118</v>
      </c>
      <c r="AD70" s="790"/>
      <c r="AE70" s="60" t="str">
        <f t="shared" si="3"/>
        <v>A4</v>
      </c>
      <c r="AF70" s="60"/>
      <c r="AG70" s="60"/>
      <c r="BD70" s="60" t="s">
        <v>872</v>
      </c>
      <c r="BE70" s="60" t="s">
        <v>867</v>
      </c>
    </row>
    <row r="71" spans="1:59" s="57" customFormat="1" ht="30.75" customHeight="1" x14ac:dyDescent="0.25">
      <c r="A71" s="63">
        <f>IF(D71="","",SUBTOTAL(3,$D$8:D71))</f>
        <v>55</v>
      </c>
      <c r="B71" s="63" t="s">
        <v>33</v>
      </c>
      <c r="C71" s="10" t="s">
        <v>391</v>
      </c>
      <c r="D71" s="63" t="s">
        <v>693</v>
      </c>
      <c r="E71" s="652"/>
      <c r="F71" s="652"/>
      <c r="G71" s="282" t="str">
        <f t="shared" si="13"/>
        <v>A4</v>
      </c>
      <c r="H71" s="737"/>
      <c r="I71" s="737"/>
      <c r="J71" s="737"/>
      <c r="K71" s="234"/>
      <c r="L71" s="298" t="s">
        <v>83</v>
      </c>
      <c r="M71" s="299"/>
      <c r="N71" s="291">
        <f>IFERROR(VLOOKUP($D71,TCHC!$C$10:$AE$37,14,0),0)</f>
        <v>2</v>
      </c>
      <c r="O71" s="291">
        <f>IFERROR(VLOOKUP($D71,TCHC!$C$10:$AE$37,28,0),0)</f>
        <v>1</v>
      </c>
      <c r="P71" s="313" t="str">
        <f t="shared" si="16"/>
        <v>A4</v>
      </c>
      <c r="Q71" s="1196" t="s">
        <v>84</v>
      </c>
      <c r="R71" s="317"/>
      <c r="S71" s="663"/>
      <c r="T71" s="663"/>
      <c r="U71" s="176" t="str">
        <f t="shared" si="15"/>
        <v>A2</v>
      </c>
      <c r="V71" s="178"/>
      <c r="W71" s="330">
        <f>IFERROR(VLOOKUP($D71,TCHC!$C$10:$AE$37,15,0),0)</f>
        <v>2</v>
      </c>
      <c r="X71" s="330">
        <f>IFERROR(VLOOKUP($D71,TCHC!$C$10:$AE$37,29,0),0)</f>
        <v>1</v>
      </c>
      <c r="Y71" s="63"/>
      <c r="Z71" s="68"/>
      <c r="AA71" s="68"/>
      <c r="AB71" s="1275" t="s">
        <v>84</v>
      </c>
      <c r="AC71" s="839" t="s">
        <v>1118</v>
      </c>
      <c r="AD71" s="213"/>
      <c r="AE71" s="60" t="str">
        <f t="shared" si="3"/>
        <v>A4</v>
      </c>
      <c r="AF71" s="60"/>
      <c r="AG71" s="60"/>
      <c r="AH71" s="542"/>
      <c r="AI71" s="542"/>
      <c r="AK71" s="589"/>
      <c r="AL71" s="589"/>
      <c r="AM71" s="589"/>
      <c r="AN71" s="589"/>
      <c r="AO71" s="589"/>
      <c r="AP71" s="589"/>
      <c r="AQ71" s="589"/>
      <c r="AR71" s="589"/>
      <c r="AS71" s="589"/>
      <c r="AT71" s="589"/>
      <c r="AU71" s="589"/>
      <c r="AV71" s="589"/>
      <c r="AW71" s="589"/>
      <c r="AX71" s="589"/>
      <c r="AY71" s="589"/>
      <c r="AZ71" s="589"/>
      <c r="BA71" s="589"/>
      <c r="BB71" s="589"/>
      <c r="BD71" s="60" t="s">
        <v>872</v>
      </c>
      <c r="BE71" s="60" t="s">
        <v>867</v>
      </c>
    </row>
    <row r="72" spans="1:59" s="57" customFormat="1" ht="30.75" customHeight="1" x14ac:dyDescent="0.25">
      <c r="A72" s="63">
        <f>IF(D72="","",SUBTOTAL(3,$D$8:D72))</f>
        <v>56</v>
      </c>
      <c r="B72" s="63" t="s">
        <v>34</v>
      </c>
      <c r="C72" s="10" t="s">
        <v>392</v>
      </c>
      <c r="D72" s="63" t="s">
        <v>696</v>
      </c>
      <c r="E72" s="652"/>
      <c r="F72" s="652"/>
      <c r="G72" s="282" t="str">
        <f t="shared" si="13"/>
        <v>A4</v>
      </c>
      <c r="H72" s="737"/>
      <c r="I72" s="737"/>
      <c r="J72" s="737"/>
      <c r="K72" s="234"/>
      <c r="L72" s="298" t="s">
        <v>83</v>
      </c>
      <c r="M72" s="299"/>
      <c r="N72" s="291">
        <f>IFERROR(VLOOKUP($D72,TCHC!$C$10:$AE$37,14,0),0)</f>
        <v>2</v>
      </c>
      <c r="O72" s="291">
        <f>IFERROR(VLOOKUP($D72,TCHC!$C$10:$AE$37,28,0),0)</f>
        <v>1</v>
      </c>
      <c r="P72" s="313" t="str">
        <f t="shared" si="16"/>
        <v>A4</v>
      </c>
      <c r="Q72" s="1196" t="s">
        <v>84</v>
      </c>
      <c r="R72" s="317"/>
      <c r="S72" s="663"/>
      <c r="T72" s="663"/>
      <c r="U72" s="176" t="str">
        <f t="shared" si="15"/>
        <v>A2</v>
      </c>
      <c r="V72" s="178"/>
      <c r="W72" s="330">
        <f>IFERROR(VLOOKUP($D72,TCHC!$C$10:$AE$37,15,0),0)</f>
        <v>2</v>
      </c>
      <c r="X72" s="330">
        <f>IFERROR(VLOOKUP($D72,TCHC!$C$10:$AE$37,29,0),0)</f>
        <v>1</v>
      </c>
      <c r="Y72" s="63"/>
      <c r="Z72" s="68"/>
      <c r="AA72" s="68"/>
      <c r="AB72" s="1275" t="s">
        <v>84</v>
      </c>
      <c r="AC72" s="839" t="s">
        <v>1118</v>
      </c>
      <c r="AD72" s="213"/>
      <c r="AE72" s="60" t="str">
        <f t="shared" si="3"/>
        <v>A4</v>
      </c>
      <c r="AF72" s="60"/>
      <c r="AG72" s="60"/>
      <c r="AH72" s="542"/>
      <c r="AI72" s="542"/>
      <c r="AK72" s="589"/>
      <c r="AL72" s="589"/>
      <c r="AM72" s="589"/>
      <c r="AN72" s="589"/>
      <c r="AO72" s="589"/>
      <c r="AP72" s="589"/>
      <c r="AQ72" s="589"/>
      <c r="AR72" s="589"/>
      <c r="AS72" s="589"/>
      <c r="AT72" s="589"/>
      <c r="AU72" s="589"/>
      <c r="AV72" s="589"/>
      <c r="AW72" s="589"/>
      <c r="AX72" s="589"/>
      <c r="AY72" s="589"/>
      <c r="AZ72" s="589"/>
      <c r="BA72" s="589"/>
      <c r="BB72" s="589"/>
      <c r="BD72" s="60" t="s">
        <v>872</v>
      </c>
      <c r="BE72" s="60" t="s">
        <v>867</v>
      </c>
    </row>
    <row r="73" spans="1:59" ht="36.75" customHeight="1" x14ac:dyDescent="0.25">
      <c r="A73" s="62" t="s">
        <v>725</v>
      </c>
      <c r="B73" s="62" t="s">
        <v>725</v>
      </c>
      <c r="C73" s="64" t="s">
        <v>556</v>
      </c>
      <c r="D73" s="62"/>
      <c r="E73" s="652"/>
      <c r="F73" s="652"/>
      <c r="G73" s="280">
        <f>$L$74+$L$82</f>
        <v>15</v>
      </c>
      <c r="H73" s="234"/>
      <c r="I73" s="234"/>
      <c r="J73" s="234"/>
      <c r="K73" s="234"/>
      <c r="L73" s="500">
        <f>$L$74+$L$82</f>
        <v>15</v>
      </c>
      <c r="M73" s="286" t="str">
        <f xml:space="preserve"> (COUNTIF($L75:$L90, "A1") &amp; "A1")&amp;" + "&amp; (COUNTIF($L75:$L90, "A2") &amp; "A2")&amp;" + "&amp; (COUNTIF($L75:$L90, "A3") &amp; "A3")&amp;" + "&amp; (COUNTIF($L75:$L90, "A4") &amp; "A4")&amp;" + "&amp; (COUNTIF($L75:$L90, "B1") &amp; "B1")&amp;" + "&amp; (COUNTIF($L75:$L90, "C1") &amp; "C1")</f>
        <v>1A1 + 3A2 + 7A3 + 4A4 + 0B1 + 0C1</v>
      </c>
      <c r="N73" s="500"/>
      <c r="O73" s="500"/>
      <c r="P73" s="311">
        <f>$Q$74+$Q$82</f>
        <v>15</v>
      </c>
      <c r="Q73" s="340">
        <f>$Q$74+$Q$82</f>
        <v>15</v>
      </c>
      <c r="R73" s="312" t="str">
        <f xml:space="preserve"> (COUNTIF($Q75:$Q90, "A1") &amp; "A1")&amp;" + "&amp; (COUNTIF($Q75:$Q90, "A2") &amp; "A2")&amp;" + "&amp; (COUNTIF($Q75:$Q90, "A3") &amp; "A3")&amp;" + "&amp; (COUNTIF($Q75:$Q90, "A4") &amp; "A4")&amp;" + "&amp; (COUNTIF($Q75:$Q90, "B1") &amp; "B1")&amp;" + "&amp; (COUNTIF($Q75:$Q90, "B2") &amp; "B2")</f>
        <v>1A1 + 3A2 + 8A3 + 3A4 + 0B1 + 0B2</v>
      </c>
      <c r="S73" s="661"/>
      <c r="T73" s="661"/>
      <c r="U73" s="174">
        <f>$U$74+$U$82</f>
        <v>15</v>
      </c>
      <c r="V73" s="175" t="str">
        <f xml:space="preserve"> (COUNTIF($U75:$U90, "A1") &amp; "A1")&amp;" + "&amp; (COUNTIF($U75:$U90, "A2") &amp; "A2")&amp;" + "&amp; (COUNTIF($U75:$U90, "A3") &amp; "A3")&amp;" + "&amp; (COUNTIF($U75:$U90, "A4") &amp; "A4")&amp;" + "&amp; (COUNTIF($U75:$U90, "B1") &amp; "B1")&amp;" + "&amp; (COUNTIF($U75:$U90, "B2") &amp; "B2")</f>
        <v>1A1 + 3A2 + 8A3 + 3A4 + 0B1 + 0B2</v>
      </c>
      <c r="W73" s="501"/>
      <c r="X73" s="501"/>
      <c r="Y73" s="556"/>
      <c r="Z73" s="95"/>
      <c r="AA73" s="95"/>
      <c r="AB73" s="242"/>
      <c r="AC73" s="1355"/>
      <c r="AD73" s="1332"/>
      <c r="AE73" s="60"/>
      <c r="AF73" s="60"/>
      <c r="AG73" s="607"/>
      <c r="AH73" s="608"/>
      <c r="AI73" s="608"/>
      <c r="AK73" s="1327" t="s">
        <v>906</v>
      </c>
      <c r="AL73" s="1327"/>
      <c r="AM73" s="1327"/>
      <c r="AN73" s="1327"/>
      <c r="AO73" s="1327"/>
      <c r="AP73" s="1327"/>
      <c r="AQ73" s="1327"/>
      <c r="AR73" s="1327"/>
      <c r="AS73" s="1327"/>
      <c r="AT73" s="1327"/>
      <c r="AU73" s="1327"/>
      <c r="AV73" s="1327"/>
      <c r="AW73" s="1327"/>
      <c r="AX73" s="1327"/>
      <c r="AY73" s="1327"/>
      <c r="AZ73" s="1327"/>
      <c r="BA73" s="1327"/>
      <c r="BB73" s="1327"/>
      <c r="BF73" s="60">
        <f>COUNTIF($BE$75:$BE$90,"CBQL")</f>
        <v>2</v>
      </c>
      <c r="BG73" s="60">
        <f>COUNTIF($BE$75:$BE$90,"GV") + COUNTIF($BE$75:$BE$90,"NV")</f>
        <v>13</v>
      </c>
    </row>
    <row r="74" spans="1:59" ht="35.25" customHeight="1" x14ac:dyDescent="0.25">
      <c r="A74" s="65" t="s">
        <v>45</v>
      </c>
      <c r="B74" s="65" t="s">
        <v>45</v>
      </c>
      <c r="C74" s="66" t="s">
        <v>46</v>
      </c>
      <c r="D74" s="65"/>
      <c r="E74" s="691" t="s">
        <v>949</v>
      </c>
      <c r="F74" s="691" t="s">
        <v>950</v>
      </c>
      <c r="G74" s="280">
        <f>COUNTA($L75:$L81)</f>
        <v>7</v>
      </c>
      <c r="H74" s="234"/>
      <c r="I74" s="234"/>
      <c r="J74" s="234"/>
      <c r="K74" s="234"/>
      <c r="L74" s="500">
        <f>COUNTA($L75:$L81)</f>
        <v>7</v>
      </c>
      <c r="M74" s="286" t="str">
        <f xml:space="preserve"> (COUNTIF($L75:$L81, "A1") &amp; "A1")&amp;" + "&amp; (COUNTIF($L75:$L81, "A2") &amp; "A2")&amp;" + "&amp; (COUNTIF($L75:$L81, "A3") &amp; "A3")&amp;" + "&amp; (COUNTIF($L75:$L81, "A4") &amp; "A4")&amp;" + "&amp; (COUNTIF($L75:$L81, "B1") &amp; "B1")</f>
        <v>1A1 + 1A2 + 4A3 + 1A4 + 0B1</v>
      </c>
      <c r="N74" s="500"/>
      <c r="O74" s="500"/>
      <c r="P74" s="311">
        <f>COUNTA($Q75:$Q81)</f>
        <v>7</v>
      </c>
      <c r="Q74" s="340">
        <f>COUNTA($Q75:$Q81)</f>
        <v>7</v>
      </c>
      <c r="R74" s="312" t="str">
        <f xml:space="preserve"> (COUNTIF($Q75:$Q81, "A1") &amp; "A1")&amp;" + "&amp; (COUNTIF($Q75:$Q81, "A2") &amp; "A2")&amp;" + "&amp; (COUNTIF($Q75:$Q81, "A3") &amp; "A3")&amp;" + "&amp; (COUNTIF($Q75:$Q81, "A4") &amp; "A4")&amp;" + "&amp; (COUNTIF($Q75:$Q81, "B1") &amp; "B1")</f>
        <v>1A1 + 1A2 + 5A3 + 0A4 + 0B1</v>
      </c>
      <c r="S74" s="691" t="s">
        <v>949</v>
      </c>
      <c r="T74" s="691" t="s">
        <v>950</v>
      </c>
      <c r="U74" s="174">
        <f>COUNTA($U75:$U81)</f>
        <v>7</v>
      </c>
      <c r="V74" s="175" t="str">
        <f xml:space="preserve"> (COUNTIF($U75:$U81, "A1") &amp; "A1")&amp;" + "&amp; (COUNTIF($U75:$U81, "A2") &amp; "A2")&amp;" + "&amp; (COUNTIF($U75:$U81, "A3") &amp; "A3")&amp;" + "&amp; (COUNTIF($U75:$U81, "A4") &amp; "A4")&amp;" + "&amp; (COUNTIF($U75:$U81, "B1") &amp; "B1")</f>
        <v>1A1 + 1A2 + 5A3 + 0A4 + 0B1</v>
      </c>
      <c r="W74" s="501"/>
      <c r="X74" s="501"/>
      <c r="Y74" s="556"/>
      <c r="Z74" s="95"/>
      <c r="AA74" s="95"/>
      <c r="AB74" s="242"/>
      <c r="AC74" s="1363"/>
      <c r="AD74" s="1333"/>
      <c r="AE74" s="60"/>
      <c r="AF74" s="60"/>
      <c r="AG74" s="1328" t="s">
        <v>915</v>
      </c>
      <c r="AH74" s="1328"/>
      <c r="AI74" s="1328"/>
      <c r="AK74" s="598" t="s">
        <v>917</v>
      </c>
      <c r="AL74" s="598" t="s">
        <v>907</v>
      </c>
      <c r="AM74" s="1329" t="s">
        <v>897</v>
      </c>
      <c r="AN74" s="1329"/>
      <c r="AO74" s="1329" t="s">
        <v>898</v>
      </c>
      <c r="AP74" s="1329"/>
      <c r="AQ74" s="1329" t="s">
        <v>899</v>
      </c>
      <c r="AR74" s="1329"/>
      <c r="AS74" s="1329" t="s">
        <v>900</v>
      </c>
      <c r="AT74" s="1329"/>
      <c r="AU74" s="1329" t="s">
        <v>952</v>
      </c>
      <c r="AV74" s="1329"/>
      <c r="AW74" s="1329" t="s">
        <v>903</v>
      </c>
      <c r="AX74" s="1329"/>
      <c r="AY74" s="1329" t="s">
        <v>904</v>
      </c>
      <c r="AZ74" s="1329"/>
      <c r="BA74" s="1329" t="s">
        <v>905</v>
      </c>
      <c r="BB74" s="1329"/>
      <c r="BF74" s="59"/>
      <c r="BG74" s="59"/>
    </row>
    <row r="75" spans="1:59" s="57" customFormat="1" ht="47.25" customHeight="1" x14ac:dyDescent="0.25">
      <c r="A75" s="63">
        <f>IF(D75="","",SUBTOTAL(3,$D$8:D75))</f>
        <v>57</v>
      </c>
      <c r="B75" s="63" t="s">
        <v>5</v>
      </c>
      <c r="C75" s="147" t="s">
        <v>142</v>
      </c>
      <c r="D75" s="91" t="s">
        <v>86</v>
      </c>
      <c r="E75" s="692">
        <f>COUNTIF($L77:$L90,"A1")</f>
        <v>0</v>
      </c>
      <c r="F75" s="692">
        <f>COUNTIF($L77:$L90,"A2")</f>
        <v>3</v>
      </c>
      <c r="G75" s="282" t="str">
        <f t="shared" ref="G75:G88" si="21">IF($H75&lt;&gt;0,"A1",IF($I75&lt;&gt;0,"A2",IF($J75&lt;&gt;0,"A3","A4")))</f>
        <v>A2</v>
      </c>
      <c r="H75" s="234"/>
      <c r="I75" s="737" t="s">
        <v>966</v>
      </c>
      <c r="J75" s="737" t="s">
        <v>963</v>
      </c>
      <c r="K75" s="234"/>
      <c r="L75" s="289" t="s">
        <v>83</v>
      </c>
      <c r="M75" s="1279" t="s">
        <v>1150</v>
      </c>
      <c r="N75" s="291">
        <f>IFERROR(VLOOKUP($D75,'P.TTGD-CTSV'!$C$10:$AE$24,14,0),0)</f>
        <v>2</v>
      </c>
      <c r="O75" s="291">
        <f>IFERROR(VLOOKUP($D75,'P.TTGD-CTSV'!$C$10:$AE$24,28,0),0)</f>
        <v>2</v>
      </c>
      <c r="P75" s="313" t="str">
        <f t="shared" ref="P75:P90" si="22">IF(AND($W75&gt;=2,$X75&gt;=3,$Y75&gt;=1,H75&lt;&gt;0),"A1",IF(AND($W75&gt;=3,$X75&gt;=1,$Y75&gt;=1,H75&lt;&gt;0),"A1",IF(AND($W75&gt;=4,$X75&gt;=0,$Y75&gt;=1,H75&lt;&gt;0),"A1",IF(AND($W75&gt;=2,$X75&gt;=2,$Y75&gt;=1,I75&lt;&gt;0),"A2",IF(AND($W75&gt;=3,$X75&gt;=0,$Y75&gt;=1,I75&lt;&gt;0),"A2",IF(AND(OR($W75&gt;=1,$X75&gt;=2),J75&lt;&gt;0,$Y75&gt;=-2),"A3","A4"))))))</f>
        <v>A2</v>
      </c>
      <c r="Q75" s="1196" t="s">
        <v>85</v>
      </c>
      <c r="R75" s="315"/>
      <c r="S75" s="692">
        <f>COUNTIF($U77:$U90,"A1")</f>
        <v>0</v>
      </c>
      <c r="T75" s="692">
        <f>COUNTIF($U77:$U90,"A2")</f>
        <v>3</v>
      </c>
      <c r="U75" s="176" t="str">
        <f t="shared" ref="U75:U87" si="23">$Q75</f>
        <v>A3</v>
      </c>
      <c r="V75" s="180">
        <f t="shared" ref="V75:V76" si="24">R75</f>
        <v>0</v>
      </c>
      <c r="W75" s="313">
        <f>IFERROR(VLOOKUP($D75,'P.TTGD-CTSV'!$C$10:$AE$24,15,0),0)</f>
        <v>2</v>
      </c>
      <c r="X75" s="313">
        <f>IFERROR(VLOOKUP($D75,'P.TTGD-CTSV'!$C$10:$AE$24,29,0),0)</f>
        <v>2</v>
      </c>
      <c r="Y75" s="1193">
        <v>4</v>
      </c>
      <c r="Z75" s="256"/>
      <c r="AA75" s="256"/>
      <c r="AB75" s="228"/>
      <c r="AC75" s="565"/>
      <c r="AD75" s="213"/>
      <c r="AE75" s="60" t="b">
        <f t="shared" si="3"/>
        <v>0</v>
      </c>
      <c r="AF75" s="60">
        <v>26</v>
      </c>
      <c r="AG75" s="592" t="s">
        <v>845</v>
      </c>
      <c r="AH75" s="592"/>
      <c r="AI75" s="605">
        <f>AH75/$L73</f>
        <v>0</v>
      </c>
      <c r="AJ75" s="589"/>
      <c r="AK75" s="594"/>
      <c r="AL75" s="595">
        <f>AL76+AL77</f>
        <v>15</v>
      </c>
      <c r="AM75" s="596" t="s">
        <v>896</v>
      </c>
      <c r="AN75" s="596" t="s">
        <v>844</v>
      </c>
      <c r="AO75" s="596" t="s">
        <v>896</v>
      </c>
      <c r="AP75" s="596" t="s">
        <v>844</v>
      </c>
      <c r="AQ75" s="596" t="s">
        <v>896</v>
      </c>
      <c r="AR75" s="596" t="s">
        <v>844</v>
      </c>
      <c r="AS75" s="596" t="s">
        <v>896</v>
      </c>
      <c r="AT75" s="596" t="s">
        <v>844</v>
      </c>
      <c r="AU75" s="596" t="s">
        <v>896</v>
      </c>
      <c r="AV75" s="596" t="s">
        <v>844</v>
      </c>
      <c r="AW75" s="596" t="s">
        <v>896</v>
      </c>
      <c r="AX75" s="596" t="s">
        <v>844</v>
      </c>
      <c r="AY75" s="596" t="s">
        <v>896</v>
      </c>
      <c r="AZ75" s="596" t="s">
        <v>844</v>
      </c>
      <c r="BA75" s="596" t="s">
        <v>896</v>
      </c>
      <c r="BB75" s="596" t="s">
        <v>844</v>
      </c>
      <c r="BD75" s="60" t="s">
        <v>873</v>
      </c>
      <c r="BE75" s="60" t="s">
        <v>866</v>
      </c>
    </row>
    <row r="76" spans="1:59" s="57" customFormat="1" ht="51.75" customHeight="1" x14ac:dyDescent="0.25">
      <c r="A76" s="63">
        <f>IF(D76="","",SUBTOTAL(3,$D$8:D76))</f>
        <v>58</v>
      </c>
      <c r="B76" s="63" t="s">
        <v>10</v>
      </c>
      <c r="C76" s="147" t="s">
        <v>143</v>
      </c>
      <c r="D76" s="91" t="s">
        <v>87</v>
      </c>
      <c r="E76" s="693">
        <f>E75/$AL$77</f>
        <v>0</v>
      </c>
      <c r="F76" s="693">
        <f>F75/$AL$77</f>
        <v>0.23076923076923078</v>
      </c>
      <c r="G76" s="282" t="str">
        <f t="shared" si="21"/>
        <v>A2</v>
      </c>
      <c r="H76" s="234"/>
      <c r="I76" s="737" t="s">
        <v>965</v>
      </c>
      <c r="J76" s="737" t="s">
        <v>954</v>
      </c>
      <c r="K76" s="234"/>
      <c r="L76" s="289" t="s">
        <v>82</v>
      </c>
      <c r="M76" s="1143" t="s">
        <v>1186</v>
      </c>
      <c r="N76" s="291">
        <f>IFERROR(VLOOKUP($D76,'P.TTGD-CTSV'!$C$10:$AE$24,14,0),0)</f>
        <v>0</v>
      </c>
      <c r="O76" s="291">
        <f>IFERROR(VLOOKUP($D76,'P.TTGD-CTSV'!$C$10:$AE$24,28,0),0)</f>
        <v>2</v>
      </c>
      <c r="P76" s="313" t="s">
        <v>82</v>
      </c>
      <c r="Q76" s="341" t="str">
        <f t="shared" ref="Q76:Q90" si="25">P76</f>
        <v>A1</v>
      </c>
      <c r="R76" s="317"/>
      <c r="S76" s="693">
        <f>S75/$AL$77</f>
        <v>0</v>
      </c>
      <c r="T76" s="693">
        <f>T75/$AL$77</f>
        <v>0.23076923076923078</v>
      </c>
      <c r="U76" s="176" t="str">
        <f t="shared" si="23"/>
        <v>A1</v>
      </c>
      <c r="V76" s="180">
        <f t="shared" si="24"/>
        <v>0</v>
      </c>
      <c r="W76" s="313">
        <f>IFERROR(VLOOKUP($D76,'P.TTGD-CTSV'!$C$10:$AE$24,15,0),0)</f>
        <v>0</v>
      </c>
      <c r="X76" s="313">
        <f>IFERROR(VLOOKUP($D76,'P.TTGD-CTSV'!$C$10:$AE$24,29,0),0)</f>
        <v>2</v>
      </c>
      <c r="Y76" s="1193">
        <v>4</v>
      </c>
      <c r="Z76" s="258"/>
      <c r="AA76" s="258"/>
      <c r="AB76" s="228"/>
      <c r="AC76" s="565"/>
      <c r="AD76" s="213"/>
      <c r="AE76" s="60" t="str">
        <f t="shared" si="3"/>
        <v>A1</v>
      </c>
      <c r="AF76" s="60">
        <v>24</v>
      </c>
      <c r="AG76" s="592" t="s">
        <v>846</v>
      </c>
      <c r="AH76" s="592"/>
      <c r="AI76" s="605">
        <f>AH76/$L73</f>
        <v>0</v>
      </c>
      <c r="AJ76" s="589"/>
      <c r="AK76" s="597" t="s">
        <v>864</v>
      </c>
      <c r="AL76" s="595">
        <f>COUNTIF($BE$75:$BE$90,"CBQL")</f>
        <v>2</v>
      </c>
      <c r="AM76" s="595">
        <f>COUNTIF($U75:$U76,"A1")</f>
        <v>1</v>
      </c>
      <c r="AN76" s="611">
        <f>AM76/$AL$76</f>
        <v>0.5</v>
      </c>
      <c r="AO76" s="595">
        <f>COUNTIF($U75:$U76,"A2")</f>
        <v>0</v>
      </c>
      <c r="AP76" s="611">
        <f>AO76/$AL$76</f>
        <v>0</v>
      </c>
      <c r="AQ76" s="595">
        <f>COUNTIF($U75:$U76,"A3")</f>
        <v>1</v>
      </c>
      <c r="AR76" s="611">
        <f>AQ76/$AL$75</f>
        <v>6.6666666666666666E-2</v>
      </c>
      <c r="AS76" s="595">
        <f>COUNTIF($U75:$U76,"A4")</f>
        <v>0</v>
      </c>
      <c r="AT76" s="611">
        <f>AS76/$AL$75</f>
        <v>0</v>
      </c>
      <c r="AU76" s="595"/>
      <c r="AV76" s="595"/>
      <c r="AW76" s="595"/>
      <c r="AX76" s="595"/>
      <c r="AY76" s="595"/>
      <c r="AZ76" s="595"/>
      <c r="BA76" s="595"/>
      <c r="BB76" s="595"/>
      <c r="BD76" s="60" t="s">
        <v>873</v>
      </c>
      <c r="BE76" s="60" t="s">
        <v>866</v>
      </c>
    </row>
    <row r="77" spans="1:59" s="57" customFormat="1" ht="41.25" customHeight="1" x14ac:dyDescent="0.25">
      <c r="A77" s="63">
        <f>IF(D77="","",SUBTOTAL(3,$D$8:D77))</f>
        <v>59</v>
      </c>
      <c r="B77" s="63" t="s">
        <v>11</v>
      </c>
      <c r="C77" s="147" t="s">
        <v>144</v>
      </c>
      <c r="D77" s="91" t="s">
        <v>88</v>
      </c>
      <c r="E77" s="652"/>
      <c r="F77" s="652"/>
      <c r="G77" s="282" t="str">
        <f t="shared" si="21"/>
        <v>A2</v>
      </c>
      <c r="H77" s="234"/>
      <c r="I77" s="737" t="s">
        <v>965</v>
      </c>
      <c r="J77" s="737" t="s">
        <v>954</v>
      </c>
      <c r="K77" s="234"/>
      <c r="L77" s="289" t="s">
        <v>85</v>
      </c>
      <c r="M77" s="1144"/>
      <c r="N77" s="291">
        <f>IFERROR(VLOOKUP($D77,'P.TTGD-CTSV'!$C$10:$AE$24,14,0),0)</f>
        <v>0</v>
      </c>
      <c r="O77" s="291">
        <f>IFERROR(VLOOKUP($D77,'P.TTGD-CTSV'!$C$10:$AE$24,28,0),0)</f>
        <v>3</v>
      </c>
      <c r="P77" s="313" t="str">
        <f t="shared" si="22"/>
        <v>A3</v>
      </c>
      <c r="Q77" s="341" t="str">
        <f t="shared" si="25"/>
        <v>A3</v>
      </c>
      <c r="R77" s="317"/>
      <c r="S77" s="664"/>
      <c r="T77" s="664"/>
      <c r="U77" s="176" t="str">
        <f t="shared" si="23"/>
        <v>A3</v>
      </c>
      <c r="V77" s="179"/>
      <c r="W77" s="313">
        <f>IFERROR(VLOOKUP($D77,'P.TTGD-CTSV'!$C$10:$AE$24,15,0),0)</f>
        <v>0</v>
      </c>
      <c r="X77" s="313">
        <f>IFERROR(VLOOKUP($D77,'P.TTGD-CTSV'!$C$10:$AE$24,29,0),0)</f>
        <v>3</v>
      </c>
      <c r="Y77" s="1193">
        <v>2</v>
      </c>
      <c r="Z77" s="258"/>
      <c r="AA77" s="841"/>
      <c r="AB77" s="348"/>
      <c r="AC77" s="351"/>
      <c r="AD77" s="1119"/>
      <c r="AE77" s="60" t="str">
        <f t="shared" si="3"/>
        <v>A3</v>
      </c>
      <c r="AF77" s="60">
        <v>21</v>
      </c>
      <c r="AG77" s="592"/>
      <c r="AH77" s="591">
        <f>AH75+AH76</f>
        <v>0</v>
      </c>
      <c r="AI77" s="606">
        <f>AI75+AI76</f>
        <v>0</v>
      </c>
      <c r="AJ77" s="589"/>
      <c r="AK77" s="597" t="s">
        <v>865</v>
      </c>
      <c r="AL77" s="595">
        <f>COUNTIF($BE$75:$BE$90,"GV") + COUNTIF($BE$75:$BE$90,"NV")</f>
        <v>13</v>
      </c>
      <c r="AM77" s="595">
        <f>COUNTIF($U77:$U90,"A1")</f>
        <v>0</v>
      </c>
      <c r="AN77" s="611">
        <f>AM77/$AL$77</f>
        <v>0</v>
      </c>
      <c r="AO77" s="595">
        <f>COUNTIF($U77:$U90,"A2")</f>
        <v>3</v>
      </c>
      <c r="AP77" s="611">
        <f>AO77/$AL$77</f>
        <v>0.23076923076923078</v>
      </c>
      <c r="AQ77" s="595">
        <f>COUNTIF($U77:$U90,"A3")</f>
        <v>7</v>
      </c>
      <c r="AR77" s="611">
        <f>AQ77/$AL$77</f>
        <v>0.53846153846153844</v>
      </c>
      <c r="AS77" s="595">
        <f>COUNTIF($U77:$U90,"A4")</f>
        <v>3</v>
      </c>
      <c r="AT77" s="611">
        <f>AS77/$AL$77</f>
        <v>0.23076923076923078</v>
      </c>
      <c r="AU77" s="595">
        <f>COUNTIF($U77:$U90,"A DN")</f>
        <v>0</v>
      </c>
      <c r="AV77" s="611">
        <f>AU77/$AL$75</f>
        <v>0</v>
      </c>
      <c r="AW77" s="595"/>
      <c r="AX77" s="595"/>
      <c r="AY77" s="595"/>
      <c r="AZ77" s="595"/>
      <c r="BA77" s="595"/>
      <c r="BB77" s="595"/>
      <c r="BD77" s="60" t="s">
        <v>873</v>
      </c>
      <c r="BE77" s="60" t="s">
        <v>867</v>
      </c>
    </row>
    <row r="78" spans="1:59" s="57" customFormat="1" ht="25.5" customHeight="1" x14ac:dyDescent="0.25">
      <c r="A78" s="63">
        <f>IF(D78="","",SUBTOTAL(3,$D$8:D78))</f>
        <v>60</v>
      </c>
      <c r="B78" s="63" t="s">
        <v>12</v>
      </c>
      <c r="C78" s="147" t="s">
        <v>145</v>
      </c>
      <c r="D78" s="91" t="s">
        <v>89</v>
      </c>
      <c r="E78" s="652"/>
      <c r="F78" s="652"/>
      <c r="G78" s="282" t="str">
        <f t="shared" si="21"/>
        <v>A3</v>
      </c>
      <c r="H78" s="234"/>
      <c r="I78" s="234"/>
      <c r="J78" s="737" t="s">
        <v>954</v>
      </c>
      <c r="K78" s="234"/>
      <c r="L78" s="289" t="s">
        <v>85</v>
      </c>
      <c r="M78" s="1143"/>
      <c r="N78" s="291">
        <f>IFERROR(VLOOKUP($D78,'P.TTGD-CTSV'!$C$10:$AE$24,14,0),0)</f>
        <v>0</v>
      </c>
      <c r="O78" s="291">
        <f>IFERROR(VLOOKUP($D78,'P.TTGD-CTSV'!$C$10:$AE$24,28,0),0)</f>
        <v>3</v>
      </c>
      <c r="P78" s="313" t="str">
        <f t="shared" si="22"/>
        <v>A3</v>
      </c>
      <c r="Q78" s="341" t="str">
        <f t="shared" si="25"/>
        <v>A3</v>
      </c>
      <c r="R78" s="323"/>
      <c r="S78" s="670"/>
      <c r="T78" s="670"/>
      <c r="U78" s="176" t="str">
        <f t="shared" si="23"/>
        <v>A3</v>
      </c>
      <c r="V78" s="257"/>
      <c r="W78" s="313">
        <f>IFERROR(VLOOKUP($D78,'P.TTGD-CTSV'!$C$10:$AE$24,15,0),0)</f>
        <v>0</v>
      </c>
      <c r="X78" s="313">
        <f>IFERROR(VLOOKUP($D78,'P.TTGD-CTSV'!$C$10:$AE$24,29,0),0)</f>
        <v>3</v>
      </c>
      <c r="Y78" s="1194">
        <v>2</v>
      </c>
      <c r="Z78" s="258"/>
      <c r="AA78" s="258"/>
      <c r="AB78" s="228"/>
      <c r="AC78" s="775"/>
      <c r="AD78" s="213"/>
      <c r="AE78" s="60" t="str">
        <f t="shared" ref="AE78:AE131" si="26">IF($L78=$P78,$L78,FALSE)</f>
        <v>A3</v>
      </c>
      <c r="AF78" s="60">
        <v>25</v>
      </c>
      <c r="AG78" s="60"/>
      <c r="AH78" s="542"/>
      <c r="AI78" s="542"/>
      <c r="AK78" s="589"/>
      <c r="AL78" s="589"/>
      <c r="AM78" s="589"/>
      <c r="AN78" s="589"/>
      <c r="AO78" s="589"/>
      <c r="AP78" s="589"/>
      <c r="AQ78" s="589"/>
      <c r="AR78" s="589"/>
      <c r="AS78" s="589"/>
      <c r="AT78" s="589"/>
      <c r="AU78" s="589"/>
      <c r="AV78" s="589"/>
      <c r="AW78" s="589"/>
      <c r="AX78" s="589"/>
      <c r="AY78" s="589"/>
      <c r="AZ78" s="589"/>
      <c r="BA78" s="589"/>
      <c r="BB78" s="589"/>
      <c r="BD78" s="60" t="s">
        <v>873</v>
      </c>
      <c r="BE78" s="60" t="s">
        <v>867</v>
      </c>
    </row>
    <row r="79" spans="1:59" s="57" customFormat="1" ht="25.5" customHeight="1" x14ac:dyDescent="0.25">
      <c r="A79" s="63">
        <f>IF(D79="","",SUBTOTAL(3,$D$8:D79))</f>
        <v>61</v>
      </c>
      <c r="B79" s="63" t="s">
        <v>13</v>
      </c>
      <c r="C79" s="147" t="s">
        <v>146</v>
      </c>
      <c r="D79" s="91" t="s">
        <v>90</v>
      </c>
      <c r="E79" s="652"/>
      <c r="F79" s="652"/>
      <c r="G79" s="282" t="str">
        <f t="shared" si="21"/>
        <v>A2</v>
      </c>
      <c r="H79" s="234"/>
      <c r="I79" s="737" t="s">
        <v>970</v>
      </c>
      <c r="J79" s="737" t="s">
        <v>954</v>
      </c>
      <c r="K79" s="234"/>
      <c r="L79" s="289" t="s">
        <v>84</v>
      </c>
      <c r="M79" s="1144"/>
      <c r="N79" s="291">
        <f>IFERROR(VLOOKUP($D79,'P.TTGD-CTSV'!$C$10:$AE$24,14,0),0)</f>
        <v>2</v>
      </c>
      <c r="O79" s="291">
        <f>IFERROR(VLOOKUP($D79,'P.TTGD-CTSV'!$C$10:$AE$24,28,0),0)</f>
        <v>2</v>
      </c>
      <c r="P79" s="313" t="str">
        <f t="shared" si="22"/>
        <v>A2</v>
      </c>
      <c r="Q79" s="341" t="str">
        <f t="shared" si="25"/>
        <v>A2</v>
      </c>
      <c r="R79" s="317"/>
      <c r="S79" s="663"/>
      <c r="T79" s="663"/>
      <c r="U79" s="176" t="str">
        <f t="shared" si="23"/>
        <v>A2</v>
      </c>
      <c r="V79" s="178"/>
      <c r="W79" s="313">
        <f>IFERROR(VLOOKUP($D79,'P.TTGD-CTSV'!$C$10:$AE$24,15,0),0)</f>
        <v>2</v>
      </c>
      <c r="X79" s="313">
        <f>IFERROR(VLOOKUP($D79,'P.TTGD-CTSV'!$C$10:$AE$24,29,0),0)</f>
        <v>2</v>
      </c>
      <c r="Y79" s="1193">
        <v>4</v>
      </c>
      <c r="Z79" s="256"/>
      <c r="AA79" s="256"/>
      <c r="AB79" s="228"/>
      <c r="AC79" s="775"/>
      <c r="AD79" s="213"/>
      <c r="AE79" s="60" t="str">
        <f t="shared" si="26"/>
        <v>A2</v>
      </c>
      <c r="AF79" s="60">
        <v>25</v>
      </c>
      <c r="AG79" s="60"/>
      <c r="AH79" s="542"/>
      <c r="AI79" s="542"/>
      <c r="AK79" s="589"/>
      <c r="AL79" s="589"/>
      <c r="AM79" s="589"/>
      <c r="AN79" s="589"/>
      <c r="AO79" s="589"/>
      <c r="AP79" s="589"/>
      <c r="AQ79" s="589"/>
      <c r="AR79" s="589"/>
      <c r="AS79" s="589"/>
      <c r="AT79" s="589"/>
      <c r="AU79" s="589"/>
      <c r="AV79" s="589"/>
      <c r="AW79" s="589"/>
      <c r="AX79" s="589"/>
      <c r="AY79" s="589"/>
      <c r="AZ79" s="589"/>
      <c r="BA79" s="589"/>
      <c r="BB79" s="589"/>
      <c r="BD79" s="60" t="s">
        <v>873</v>
      </c>
      <c r="BE79" s="60" t="s">
        <v>867</v>
      </c>
    </row>
    <row r="80" spans="1:59" s="57" customFormat="1" ht="42.75" customHeight="1" x14ac:dyDescent="0.25">
      <c r="A80" s="63">
        <f>IF(D80="","",SUBTOTAL(3,$D$8:D80))</f>
        <v>62</v>
      </c>
      <c r="B80" s="63" t="s">
        <v>14</v>
      </c>
      <c r="C80" s="147" t="s">
        <v>147</v>
      </c>
      <c r="D80" s="91" t="s">
        <v>91</v>
      </c>
      <c r="E80" s="652"/>
      <c r="F80" s="652"/>
      <c r="G80" s="282" t="str">
        <f t="shared" si="21"/>
        <v>A2</v>
      </c>
      <c r="H80" s="234"/>
      <c r="I80" s="737" t="s">
        <v>966</v>
      </c>
      <c r="J80" s="737" t="s">
        <v>954</v>
      </c>
      <c r="K80" s="234"/>
      <c r="L80" s="289" t="s">
        <v>85</v>
      </c>
      <c r="M80" s="1143" t="s">
        <v>1146</v>
      </c>
      <c r="N80" s="291">
        <f>IFERROR(VLOOKUP($D80,'P.TTGD-CTSV'!$C$10:$AE$24,14,0),0)</f>
        <v>0</v>
      </c>
      <c r="O80" s="291">
        <f>IFERROR(VLOOKUP($D80,'P.TTGD-CTSV'!$C$10:$AE$24,28,0),0)</f>
        <v>2</v>
      </c>
      <c r="P80" s="313" t="str">
        <f t="shared" si="22"/>
        <v>A3</v>
      </c>
      <c r="Q80" s="341" t="str">
        <f t="shared" si="25"/>
        <v>A3</v>
      </c>
      <c r="R80" s="323"/>
      <c r="S80" s="670"/>
      <c r="T80" s="670"/>
      <c r="U80" s="176" t="str">
        <f t="shared" si="23"/>
        <v>A3</v>
      </c>
      <c r="V80" s="180">
        <f>R80</f>
        <v>0</v>
      </c>
      <c r="W80" s="313">
        <f>IFERROR(VLOOKUP($D80,'P.TTGD-CTSV'!$C$10:$AE$24,15,0),0)</f>
        <v>0</v>
      </c>
      <c r="X80" s="313">
        <f>IFERROR(VLOOKUP($D80,'P.TTGD-CTSV'!$C$10:$AE$24,29,0),0)</f>
        <v>2</v>
      </c>
      <c r="Y80" s="1194"/>
      <c r="Z80" s="258"/>
      <c r="AA80" s="258"/>
      <c r="AB80" s="1136"/>
      <c r="AC80" s="1137"/>
      <c r="AD80" s="213"/>
      <c r="AE80" s="60" t="str">
        <f t="shared" si="26"/>
        <v>A3</v>
      </c>
      <c r="AF80" s="60">
        <v>24</v>
      </c>
      <c r="AG80" s="60"/>
      <c r="AH80" s="542"/>
      <c r="AI80" s="542"/>
      <c r="AK80" s="589"/>
      <c r="AL80" s="589"/>
      <c r="AM80" s="589"/>
      <c r="AN80" s="589"/>
      <c r="AO80" s="589"/>
      <c r="AP80" s="589"/>
      <c r="AQ80" s="589"/>
      <c r="AR80" s="589"/>
      <c r="AS80" s="589"/>
      <c r="AT80" s="589"/>
      <c r="AU80" s="589"/>
      <c r="AV80" s="589"/>
      <c r="AW80" s="589"/>
      <c r="AX80" s="589"/>
      <c r="AY80" s="589"/>
      <c r="AZ80" s="589"/>
      <c r="BA80" s="589"/>
      <c r="BB80" s="589"/>
      <c r="BD80" s="60" t="s">
        <v>873</v>
      </c>
      <c r="BE80" s="60" t="s">
        <v>867</v>
      </c>
    </row>
    <row r="81" spans="1:59" s="70" customFormat="1" ht="30.75" customHeight="1" x14ac:dyDescent="0.25">
      <c r="A81" s="63">
        <f>IF(D81="","",SUBTOTAL(3,$D$8:D81))</f>
        <v>63</v>
      </c>
      <c r="B81" s="63" t="s">
        <v>16</v>
      </c>
      <c r="C81" s="147" t="s">
        <v>149</v>
      </c>
      <c r="D81" s="91" t="s">
        <v>93</v>
      </c>
      <c r="E81" s="652"/>
      <c r="F81" s="652"/>
      <c r="G81" s="282" t="str">
        <f t="shared" si="21"/>
        <v>A3</v>
      </c>
      <c r="H81" s="234"/>
      <c r="I81" s="234"/>
      <c r="J81" s="737" t="s">
        <v>954</v>
      </c>
      <c r="K81" s="234"/>
      <c r="L81" s="289" t="s">
        <v>85</v>
      </c>
      <c r="M81" s="1143"/>
      <c r="N81" s="291">
        <f>IFERROR(VLOOKUP($D81,'P.TTGD-CTSV'!$C$10:$AE$24,14,0),0)</f>
        <v>0</v>
      </c>
      <c r="O81" s="291">
        <f>IFERROR(VLOOKUP($D81,'P.TTGD-CTSV'!$C$10:$AE$24,28,0),0)</f>
        <v>2</v>
      </c>
      <c r="P81" s="313" t="str">
        <f t="shared" si="22"/>
        <v>A3</v>
      </c>
      <c r="Q81" s="341" t="str">
        <f t="shared" si="25"/>
        <v>A3</v>
      </c>
      <c r="R81" s="323"/>
      <c r="S81" s="670"/>
      <c r="T81" s="670"/>
      <c r="U81" s="176" t="str">
        <f t="shared" si="23"/>
        <v>A3</v>
      </c>
      <c r="V81" s="257"/>
      <c r="W81" s="313">
        <f>IFERROR(VLOOKUP($D81,'P.TTGD-CTSV'!$C$10:$AE$24,15,0),0)</f>
        <v>0</v>
      </c>
      <c r="X81" s="313">
        <f>IFERROR(VLOOKUP($D81,'P.TTGD-CTSV'!$C$10:$AE$24,29,0),0)</f>
        <v>2</v>
      </c>
      <c r="Y81" s="1195">
        <v>2</v>
      </c>
      <c r="Z81" s="258"/>
      <c r="AA81" s="258"/>
      <c r="AB81" s="1136"/>
      <c r="AC81" s="1137"/>
      <c r="AD81" s="213"/>
      <c r="AE81" s="60" t="str">
        <f t="shared" si="26"/>
        <v>A3</v>
      </c>
      <c r="AF81" s="60">
        <v>21</v>
      </c>
      <c r="AG81" s="60"/>
      <c r="BD81" s="60" t="s">
        <v>873</v>
      </c>
      <c r="BE81" s="60" t="s">
        <v>867</v>
      </c>
    </row>
    <row r="82" spans="1:59" ht="35.25" customHeight="1" x14ac:dyDescent="0.25">
      <c r="A82" s="65" t="s">
        <v>51</v>
      </c>
      <c r="B82" s="65" t="s">
        <v>51</v>
      </c>
      <c r="C82" s="66" t="s">
        <v>48</v>
      </c>
      <c r="D82" s="65"/>
      <c r="E82" s="652"/>
      <c r="F82" s="652"/>
      <c r="G82" s="280">
        <f>COUNTA($L83:$L90)</f>
        <v>8</v>
      </c>
      <c r="H82" s="234"/>
      <c r="I82" s="234"/>
      <c r="J82" s="234"/>
      <c r="K82" s="234"/>
      <c r="L82" s="303">
        <f>COUNTA($L83:$L90)</f>
        <v>8</v>
      </c>
      <c r="M82" s="286" t="str">
        <f xml:space="preserve"> (COUNTIF($L83:$L90, "A1") &amp; "A1")&amp;" + "&amp; (COUNTIF($L83:$L90, "A2") &amp; "A2")&amp;" + "&amp; (COUNTIF($L83:$L90, "A3") &amp; "A3")&amp;" + "&amp; (COUNTIF($L83:$L90, "A4") &amp; "A4")&amp;" + "&amp; (COUNTIF($L83:$L90, "C1") &amp; "C1")</f>
        <v>0A1 + 2A2 + 3A3 + 3A4 + 0C1</v>
      </c>
      <c r="N82" s="297"/>
      <c r="O82" s="297"/>
      <c r="P82" s="311">
        <f>COUNTA($Q83:$Q90)</f>
        <v>8</v>
      </c>
      <c r="Q82" s="340">
        <f>COUNTA($Q83:$Q90)</f>
        <v>8</v>
      </c>
      <c r="R82" s="312" t="str">
        <f xml:space="preserve"> (COUNTIF($Q83:$Q90, "A1") &amp; "A1")&amp;" + "&amp; (COUNTIF($Q83:$Q90, "A2") &amp; "A2")&amp;" + "&amp; (COUNTIF($Q83:$Q90, "A3") &amp; "A3")&amp;" + "&amp; (COUNTIF($Q83:$Q90, "A4") &amp; "A4")&amp;" + "&amp; (COUNTIF($Q83:$Q90, "B2") &amp; "B2")</f>
        <v>0A1 + 2A2 + 3A3 + 3A4 + 0B2</v>
      </c>
      <c r="S82" s="661"/>
      <c r="T82" s="661"/>
      <c r="U82" s="174">
        <f>COUNTA($U83:$U90)</f>
        <v>8</v>
      </c>
      <c r="V82" s="175" t="str">
        <f xml:space="preserve"> (COUNTIF($U83:$U90, "A1") &amp; "A1")&amp;" + "&amp; (COUNTIF($U83:$U90, "A2") &amp; "A2")&amp;" + "&amp; (COUNTIF($U83:$U90, "A3") &amp; "A3")&amp;" + "&amp; (COUNTIF($U83:$U90, "A4") &amp; "A4")&amp;" + "&amp; (COUNTIF($U83:$U90, "B2") &amp; "B2")</f>
        <v>0A1 + 2A2 + 3A3 + 3A4 + 0B2</v>
      </c>
      <c r="W82" s="321"/>
      <c r="X82" s="321"/>
      <c r="Y82" s="1195"/>
      <c r="Z82" s="95"/>
      <c r="AA82" s="95"/>
      <c r="AB82" s="242"/>
      <c r="AC82" s="836"/>
      <c r="AD82" s="213"/>
      <c r="AE82" s="60"/>
      <c r="AF82" s="60"/>
      <c r="AG82" s="60"/>
      <c r="BD82" s="60" t="s">
        <v>873</v>
      </c>
      <c r="BF82" s="59"/>
      <c r="BG82" s="59"/>
    </row>
    <row r="83" spans="1:59" s="60" customFormat="1" ht="36.75" customHeight="1" x14ac:dyDescent="0.25">
      <c r="A83" s="63">
        <f>IF(D83="","",SUBTOTAL(3,$D$8:D83))</f>
        <v>64</v>
      </c>
      <c r="B83" s="74" t="s">
        <v>18</v>
      </c>
      <c r="C83" s="148" t="s">
        <v>150</v>
      </c>
      <c r="D83" s="74" t="s">
        <v>94</v>
      </c>
      <c r="E83" s="652"/>
      <c r="F83" s="652"/>
      <c r="G83" s="282" t="str">
        <f t="shared" si="21"/>
        <v>A2</v>
      </c>
      <c r="H83" s="234"/>
      <c r="I83" s="737" t="s">
        <v>966</v>
      </c>
      <c r="J83" s="737" t="s">
        <v>954</v>
      </c>
      <c r="K83" s="234"/>
      <c r="L83" s="289" t="s">
        <v>85</v>
      </c>
      <c r="M83" s="1142"/>
      <c r="N83" s="291">
        <f>IFERROR(VLOOKUP($D83,'P.TTGD-CTSV'!$C$10:$AE$24,14,0),0)</f>
        <v>0</v>
      </c>
      <c r="O83" s="291">
        <f>IFERROR(VLOOKUP($D83,'P.TTGD-CTSV'!$C$10:$AE$24,28,0),0)</f>
        <v>3</v>
      </c>
      <c r="P83" s="313" t="str">
        <f t="shared" si="22"/>
        <v>A3</v>
      </c>
      <c r="Q83" s="341" t="str">
        <f t="shared" si="25"/>
        <v>A3</v>
      </c>
      <c r="R83" s="346"/>
      <c r="S83" s="663"/>
      <c r="T83" s="663"/>
      <c r="U83" s="176" t="str">
        <f t="shared" si="23"/>
        <v>A3</v>
      </c>
      <c r="V83" s="180">
        <f>R83</f>
        <v>0</v>
      </c>
      <c r="W83" s="313">
        <f>IFERROR(VLOOKUP($D83,'P.TTGD-CTSV'!$C$10:$AE$24,15,0),0)</f>
        <v>0</v>
      </c>
      <c r="X83" s="313">
        <f>IFERROR(VLOOKUP($D83,'P.TTGD-CTSV'!$C$10:$AE$24,29,0),0)</f>
        <v>3</v>
      </c>
      <c r="Y83" s="1195">
        <v>1</v>
      </c>
      <c r="Z83" s="2"/>
      <c r="AA83" s="2"/>
      <c r="AB83" s="348"/>
      <c r="AC83" s="351"/>
      <c r="AD83" s="790"/>
      <c r="AE83" s="60" t="str">
        <f t="shared" si="26"/>
        <v>A3</v>
      </c>
      <c r="AF83" s="60">
        <v>27</v>
      </c>
      <c r="BD83" s="60" t="s">
        <v>873</v>
      </c>
      <c r="BE83" s="60" t="s">
        <v>867</v>
      </c>
    </row>
    <row r="84" spans="1:59" s="60" customFormat="1" ht="30" customHeight="1" x14ac:dyDescent="0.25">
      <c r="A84" s="63">
        <f>IF(D84="","",SUBTOTAL(3,$D$8:D84))</f>
        <v>65</v>
      </c>
      <c r="B84" s="74" t="s">
        <v>19</v>
      </c>
      <c r="C84" s="147" t="s">
        <v>151</v>
      </c>
      <c r="D84" s="91" t="s">
        <v>96</v>
      </c>
      <c r="E84" s="652"/>
      <c r="F84" s="652"/>
      <c r="G84" s="282" t="str">
        <f>IF($H84&lt;&gt;0,"A1",IF($I84&lt;&gt;0,"A2",IF($J84&lt;&gt;0,"A3","A4")))</f>
        <v>A3</v>
      </c>
      <c r="H84" s="234"/>
      <c r="I84" s="737"/>
      <c r="J84" s="737" t="s">
        <v>954</v>
      </c>
      <c r="K84" s="234"/>
      <c r="L84" s="289" t="s">
        <v>85</v>
      </c>
      <c r="M84" s="1142"/>
      <c r="N84" s="291">
        <f>IFERROR(VLOOKUP($D84,'P.TTGD-CTSV'!$C$10:$AE$24,14,0),0)</f>
        <v>1</v>
      </c>
      <c r="O84" s="291">
        <f>IFERROR(VLOOKUP($D84,'P.TTGD-CTSV'!$C$10:$AE$24,28,0),0)</f>
        <v>3</v>
      </c>
      <c r="P84" s="313" t="str">
        <f t="shared" si="22"/>
        <v>A3</v>
      </c>
      <c r="Q84" s="341" t="str">
        <f t="shared" si="25"/>
        <v>A3</v>
      </c>
      <c r="R84" s="325"/>
      <c r="S84" s="671"/>
      <c r="T84" s="671"/>
      <c r="U84" s="176" t="str">
        <f>$Q84</f>
        <v>A3</v>
      </c>
      <c r="V84" s="179"/>
      <c r="W84" s="313">
        <f>IFERROR(VLOOKUP($D84,'P.TTGD-CTSV'!$C$10:$AE$24,15,0),0)</f>
        <v>1</v>
      </c>
      <c r="X84" s="313">
        <f>IFERROR(VLOOKUP($D84,'P.TTGD-CTSV'!$C$10:$AE$24,29,0),0)</f>
        <v>3</v>
      </c>
      <c r="Y84" s="1195">
        <v>1</v>
      </c>
      <c r="Z84" s="2"/>
      <c r="AA84" s="2"/>
      <c r="AB84" s="228"/>
      <c r="AC84" s="775"/>
      <c r="AD84" s="213"/>
      <c r="AE84" s="60" t="str">
        <f>IF($L84=$P84,$L84,FALSE)</f>
        <v>A3</v>
      </c>
      <c r="AF84" s="60">
        <v>27</v>
      </c>
      <c r="BD84" s="60" t="s">
        <v>873</v>
      </c>
      <c r="BE84" s="60" t="s">
        <v>867</v>
      </c>
    </row>
    <row r="85" spans="1:59" s="70" customFormat="1" ht="30" customHeight="1" x14ac:dyDescent="0.25">
      <c r="A85" s="63">
        <f>IF(D85="","",SUBTOTAL(3,$D$8:D85))</f>
        <v>66</v>
      </c>
      <c r="B85" s="74" t="s">
        <v>21</v>
      </c>
      <c r="C85" s="147" t="s">
        <v>152</v>
      </c>
      <c r="D85" s="91" t="s">
        <v>95</v>
      </c>
      <c r="E85" s="652"/>
      <c r="F85" s="652"/>
      <c r="G85" s="282" t="str">
        <f>IF($H85&lt;&gt;0,"A1",IF($I85&lt;&gt;0,"A2",IF($J85&lt;&gt;0,"A3","A4")))</f>
        <v>A2</v>
      </c>
      <c r="H85" s="234"/>
      <c r="I85" s="737" t="s">
        <v>955</v>
      </c>
      <c r="J85" s="737" t="s">
        <v>954</v>
      </c>
      <c r="K85" s="234"/>
      <c r="L85" s="289" t="s">
        <v>84</v>
      </c>
      <c r="M85" s="1142"/>
      <c r="N85" s="291">
        <f>IFERROR(VLOOKUP($D85,'P.TTGD-CTSV'!$C$10:$AE$24,14,0),0)</f>
        <v>2</v>
      </c>
      <c r="O85" s="291">
        <f>IFERROR(VLOOKUP($D85,'P.TTGD-CTSV'!$C$10:$AE$24,28,0),0)</f>
        <v>2</v>
      </c>
      <c r="P85" s="313" t="str">
        <f t="shared" si="22"/>
        <v>A2</v>
      </c>
      <c r="Q85" s="341" t="str">
        <f t="shared" si="25"/>
        <v>A2</v>
      </c>
      <c r="R85" s="317"/>
      <c r="S85" s="671"/>
      <c r="T85" s="671"/>
      <c r="U85" s="176" t="str">
        <f>$Q85</f>
        <v>A2</v>
      </c>
      <c r="V85" s="179"/>
      <c r="W85" s="313">
        <f>IFERROR(VLOOKUP($D85,'P.TTGD-CTSV'!$C$10:$AE$24,15,0),0)</f>
        <v>2</v>
      </c>
      <c r="X85" s="313">
        <f>IFERROR(VLOOKUP($D85,'P.TTGD-CTSV'!$C$10:$AE$24,29,0),0)</f>
        <v>2</v>
      </c>
      <c r="Y85" s="1195">
        <v>1</v>
      </c>
      <c r="Z85" s="2"/>
      <c r="AA85" s="2"/>
      <c r="AB85" s="228"/>
      <c r="AC85" s="775"/>
      <c r="AD85" s="213"/>
      <c r="AE85" s="60" t="str">
        <f>IF($L85=$P85,$L85,FALSE)</f>
        <v>A2</v>
      </c>
      <c r="AF85" s="60">
        <v>24</v>
      </c>
      <c r="AG85" s="60"/>
      <c r="BD85" s="60" t="s">
        <v>873</v>
      </c>
      <c r="BE85" s="60" t="s">
        <v>867</v>
      </c>
    </row>
    <row r="86" spans="1:59" s="60" customFormat="1" ht="39.75" customHeight="1" x14ac:dyDescent="0.25">
      <c r="A86" s="63">
        <f>IF(D86="","",SUBTOTAL(3,$D$8:D86))</f>
        <v>67</v>
      </c>
      <c r="B86" s="74" t="s">
        <v>22</v>
      </c>
      <c r="C86" s="147" t="s">
        <v>153</v>
      </c>
      <c r="D86" s="91" t="s">
        <v>97</v>
      </c>
      <c r="E86" s="652"/>
      <c r="F86" s="652"/>
      <c r="G86" s="282" t="str">
        <f t="shared" si="21"/>
        <v>A3</v>
      </c>
      <c r="H86" s="234"/>
      <c r="I86" s="234"/>
      <c r="J86" s="737" t="s">
        <v>954</v>
      </c>
      <c r="K86" s="234"/>
      <c r="L86" s="289" t="s">
        <v>85</v>
      </c>
      <c r="M86" s="1143" t="s">
        <v>1147</v>
      </c>
      <c r="N86" s="291">
        <f>IFERROR(VLOOKUP($D86,'P.TTGD-CTSV'!$C$10:$AE$24,14,0),0)</f>
        <v>0</v>
      </c>
      <c r="O86" s="291">
        <f>IFERROR(VLOOKUP($D86,'P.TTGD-CTSV'!$C$10:$AE$24,28,0),0)</f>
        <v>3</v>
      </c>
      <c r="P86" s="313" t="str">
        <f t="shared" si="22"/>
        <v>A3</v>
      </c>
      <c r="Q86" s="341" t="str">
        <f t="shared" si="25"/>
        <v>A3</v>
      </c>
      <c r="R86" s="319"/>
      <c r="S86" s="672"/>
      <c r="T86" s="672"/>
      <c r="U86" s="176" t="str">
        <f t="shared" si="23"/>
        <v>A3</v>
      </c>
      <c r="V86" s="180"/>
      <c r="W86" s="313">
        <f>IFERROR(VLOOKUP($D86,'P.TTGD-CTSV'!$C$10:$AE$24,15,0),0)</f>
        <v>0</v>
      </c>
      <c r="X86" s="313">
        <f>IFERROR(VLOOKUP($D86,'P.TTGD-CTSV'!$C$10:$AE$24,29,0),0)</f>
        <v>3</v>
      </c>
      <c r="Y86" s="944"/>
      <c r="Z86" s="3"/>
      <c r="AA86" s="859"/>
      <c r="AB86" s="1138"/>
      <c r="AC86" s="775"/>
      <c r="AD86" s="213"/>
      <c r="AE86" s="60" t="str">
        <f t="shared" si="26"/>
        <v>A3</v>
      </c>
      <c r="AF86" s="60">
        <v>23</v>
      </c>
      <c r="BD86" s="60" t="s">
        <v>873</v>
      </c>
      <c r="BE86" s="60" t="s">
        <v>867</v>
      </c>
    </row>
    <row r="87" spans="1:59" s="60" customFormat="1" ht="31.5" customHeight="1" x14ac:dyDescent="0.25">
      <c r="A87" s="63">
        <f>IF(D87="","",SUBTOTAL(3,$D$8:D87))</f>
        <v>68</v>
      </c>
      <c r="B87" s="74" t="s">
        <v>23</v>
      </c>
      <c r="C87" s="147" t="s">
        <v>154</v>
      </c>
      <c r="D87" s="91" t="s">
        <v>98</v>
      </c>
      <c r="E87" s="652"/>
      <c r="F87" s="652"/>
      <c r="G87" s="282" t="str">
        <f t="shared" si="21"/>
        <v>A2</v>
      </c>
      <c r="H87" s="234"/>
      <c r="I87" s="737" t="s">
        <v>955</v>
      </c>
      <c r="J87" s="737" t="s">
        <v>954</v>
      </c>
      <c r="K87" s="234"/>
      <c r="L87" s="289" t="s">
        <v>84</v>
      </c>
      <c r="M87" s="1141"/>
      <c r="N87" s="291">
        <f>IFERROR(VLOOKUP($D87,'P.TTGD-CTSV'!$C$10:$AE$24,14,0),0)</f>
        <v>2</v>
      </c>
      <c r="O87" s="291">
        <f>IFERROR(VLOOKUP($D87,'P.TTGD-CTSV'!$C$10:$AE$24,28,0),0)</f>
        <v>3</v>
      </c>
      <c r="P87" s="313" t="str">
        <f t="shared" si="22"/>
        <v>A2</v>
      </c>
      <c r="Q87" s="341" t="str">
        <f t="shared" si="25"/>
        <v>A2</v>
      </c>
      <c r="R87" s="317"/>
      <c r="S87" s="666"/>
      <c r="T87" s="666"/>
      <c r="U87" s="176" t="str">
        <f t="shared" si="23"/>
        <v>A2</v>
      </c>
      <c r="V87" s="178"/>
      <c r="W87" s="313">
        <f>IFERROR(VLOOKUP($D87,'P.TTGD-CTSV'!$C$10:$AE$24,15,0),0)</f>
        <v>2</v>
      </c>
      <c r="X87" s="313">
        <f>IFERROR(VLOOKUP($D87,'P.TTGD-CTSV'!$C$10:$AE$24,29,0),0)</f>
        <v>3</v>
      </c>
      <c r="Y87" s="1067">
        <v>1</v>
      </c>
      <c r="Z87" s="857"/>
      <c r="AA87" s="859"/>
      <c r="AB87" s="228"/>
      <c r="AC87" s="776"/>
      <c r="AD87" s="213"/>
      <c r="AE87" s="60" t="str">
        <f t="shared" si="26"/>
        <v>A2</v>
      </c>
      <c r="AF87" s="60">
        <v>25</v>
      </c>
      <c r="BD87" s="60" t="s">
        <v>873</v>
      </c>
      <c r="BE87" s="60" t="s">
        <v>867</v>
      </c>
    </row>
    <row r="88" spans="1:59" s="70" customFormat="1" ht="39.75" customHeight="1" x14ac:dyDescent="0.25">
      <c r="A88" s="63">
        <f>IF(D88="","",SUBTOTAL(3,$D$8:D88))</f>
        <v>69</v>
      </c>
      <c r="B88" s="63" t="s">
        <v>27</v>
      </c>
      <c r="C88" s="79" t="s">
        <v>192</v>
      </c>
      <c r="D88" s="80" t="s">
        <v>193</v>
      </c>
      <c r="E88" s="652"/>
      <c r="F88" s="652"/>
      <c r="G88" s="282" t="str">
        <f t="shared" si="21"/>
        <v>A4</v>
      </c>
      <c r="H88" s="234"/>
      <c r="I88" s="234"/>
      <c r="J88" s="234"/>
      <c r="K88" s="234"/>
      <c r="L88" s="289" t="s">
        <v>83</v>
      </c>
      <c r="M88" s="1142" t="s">
        <v>1148</v>
      </c>
      <c r="N88" s="291">
        <f>IFERROR(VLOOKUP($D88,'P.TTGD-CTSV'!$C$10:$AE$24,14,0),0)</f>
        <v>0</v>
      </c>
      <c r="O88" s="291">
        <f>IFERROR(VLOOKUP($D88,'P.TTGD-CTSV'!$C$10:$AE$24,28,0),0)</f>
        <v>2</v>
      </c>
      <c r="P88" s="313" t="str">
        <f t="shared" si="22"/>
        <v>A4</v>
      </c>
      <c r="Q88" s="341" t="str">
        <f t="shared" si="25"/>
        <v>A4</v>
      </c>
      <c r="R88" s="326"/>
      <c r="S88" s="673"/>
      <c r="T88" s="673"/>
      <c r="U88" s="176" t="str">
        <f>$Q88</f>
        <v>A4</v>
      </c>
      <c r="V88" s="180"/>
      <c r="W88" s="313">
        <f>IFERROR(VLOOKUP($D88,'P.TTGD-CTSV'!$C$10:$AE$24,15,0),0)</f>
        <v>0</v>
      </c>
      <c r="X88" s="313">
        <f>IFERROR(VLOOKUP($D88,'P.TTGD-CTSV'!$C$10:$AE$24,29,0),0)</f>
        <v>2</v>
      </c>
      <c r="Y88" s="945"/>
      <c r="Z88" s="3"/>
      <c r="AA88" s="3"/>
      <c r="AB88" s="843"/>
      <c r="AC88" s="775"/>
      <c r="AD88" s="213"/>
      <c r="AE88" s="60" t="str">
        <f>IF($L88=$P88,$L88,FALSE)</f>
        <v>A4</v>
      </c>
      <c r="AF88" s="60">
        <v>24</v>
      </c>
      <c r="AG88" s="60"/>
      <c r="BD88" s="60" t="s">
        <v>873</v>
      </c>
      <c r="BE88" s="60" t="s">
        <v>867</v>
      </c>
    </row>
    <row r="89" spans="1:59" s="60" customFormat="1" ht="33.75" customHeight="1" x14ac:dyDescent="0.25">
      <c r="A89" s="63">
        <f>IF(D89="","",SUBTOTAL(3,$D$8:D89))</f>
        <v>70</v>
      </c>
      <c r="B89" s="74"/>
      <c r="C89" s="147" t="s">
        <v>818</v>
      </c>
      <c r="D89" s="91" t="s">
        <v>819</v>
      </c>
      <c r="E89" s="652"/>
      <c r="F89" s="652"/>
      <c r="G89" s="282" t="str">
        <f>IF($H89&lt;&gt;0,"A1",IF($I89&lt;&gt;0,"A2",IF($J89&lt;&gt;0,"A3","A4")))</f>
        <v>A4</v>
      </c>
      <c r="H89" s="234"/>
      <c r="I89" s="234"/>
      <c r="J89" s="234"/>
      <c r="K89" s="234"/>
      <c r="L89" s="289" t="s">
        <v>83</v>
      </c>
      <c r="M89" s="1142"/>
      <c r="N89" s="291">
        <f>IFERROR(VLOOKUP($D89,'P.TTGD-CTSV'!$C$10:$AE$24,14,0),0)</f>
        <v>1</v>
      </c>
      <c r="O89" s="291">
        <f>IFERROR(VLOOKUP($D89,'P.TTGD-CTSV'!$C$10:$AE$24,28,0),0)</f>
        <v>2</v>
      </c>
      <c r="P89" s="313" t="str">
        <f t="shared" si="22"/>
        <v>A4</v>
      </c>
      <c r="Q89" s="341" t="str">
        <f t="shared" si="25"/>
        <v>A4</v>
      </c>
      <c r="R89" s="317"/>
      <c r="S89" s="666"/>
      <c r="T89" s="666"/>
      <c r="U89" s="176" t="str">
        <f>$Q89</f>
        <v>A4</v>
      </c>
      <c r="V89" s="178"/>
      <c r="W89" s="313">
        <f>IFERROR(VLOOKUP($D89,'P.TTGD-CTSV'!$C$10:$AE$24,15,0),0)</f>
        <v>1</v>
      </c>
      <c r="X89" s="313">
        <f>IFERROR(VLOOKUP($D89,'P.TTGD-CTSV'!$C$10:$AE$24,29,0),0)</f>
        <v>2</v>
      </c>
      <c r="Y89" s="945"/>
      <c r="Z89" s="3"/>
      <c r="AA89" s="3"/>
      <c r="AB89" s="228"/>
      <c r="AC89" s="775"/>
      <c r="AD89" s="213"/>
      <c r="AE89" s="60" t="str">
        <f>IF($L89=$P89,$L89,FALSE)</f>
        <v>A4</v>
      </c>
      <c r="AF89" s="60">
        <v>26</v>
      </c>
      <c r="AH89" s="601"/>
      <c r="AI89" s="601"/>
      <c r="AJ89" s="601"/>
      <c r="AK89" s="601"/>
      <c r="BD89" s="60" t="s">
        <v>873</v>
      </c>
      <c r="BE89" s="60" t="s">
        <v>867</v>
      </c>
    </row>
    <row r="90" spans="1:59" s="57" customFormat="1" ht="39.75" customHeight="1" x14ac:dyDescent="0.25">
      <c r="A90" s="63">
        <f>IF(D90="","",SUBTOTAL(3,$D$8:D90))</f>
        <v>71</v>
      </c>
      <c r="B90" s="63" t="s">
        <v>21</v>
      </c>
      <c r="C90" s="10" t="s">
        <v>753</v>
      </c>
      <c r="D90" s="63" t="s">
        <v>754</v>
      </c>
      <c r="E90" s="652"/>
      <c r="F90" s="652"/>
      <c r="G90" s="282" t="str">
        <f>IF($H90&lt;&gt;0,"A1",IF($I90&lt;&gt;0,"A2",IF($J90&lt;&gt;0,"A3","A4")))</f>
        <v>A4</v>
      </c>
      <c r="H90" s="737"/>
      <c r="I90" s="737"/>
      <c r="J90" s="737"/>
      <c r="K90" s="234"/>
      <c r="L90" s="289" t="s">
        <v>83</v>
      </c>
      <c r="M90" s="1141" t="s">
        <v>1149</v>
      </c>
      <c r="N90" s="291">
        <f>IFERROR(VLOOKUP($D90,'P.TTGD-CTSV'!$C$10:$AE$25,14,0),0)</f>
        <v>0</v>
      </c>
      <c r="O90" s="291">
        <f>IFERROR(VLOOKUP($D90,'P.TTGD-CTSV'!$C$10:$AE$25,28,0),0)</f>
        <v>1</v>
      </c>
      <c r="P90" s="313" t="str">
        <f t="shared" si="22"/>
        <v>A4</v>
      </c>
      <c r="Q90" s="341" t="str">
        <f t="shared" si="25"/>
        <v>A4</v>
      </c>
      <c r="R90" s="317"/>
      <c r="S90" s="663"/>
      <c r="T90" s="663"/>
      <c r="U90" s="176" t="str">
        <f>$Q90</f>
        <v>A4</v>
      </c>
      <c r="V90" s="180">
        <f>R90</f>
        <v>0</v>
      </c>
      <c r="W90" s="313">
        <f>IFERROR(VLOOKUP($D90,'P.TTGD-CTSV'!$C$10:$AE$25,15,0),0)</f>
        <v>0</v>
      </c>
      <c r="X90" s="313">
        <f>IFERROR(VLOOKUP($D90,'P.TTGD-CTSV'!$C$10:$AE$25,29,0),0)</f>
        <v>1</v>
      </c>
      <c r="Y90" s="63"/>
      <c r="Z90" s="857"/>
      <c r="AA90" s="859"/>
      <c r="AB90" s="782"/>
      <c r="AC90" s="783" t="s">
        <v>1116</v>
      </c>
      <c r="AD90" s="790"/>
      <c r="AE90" s="60" t="str">
        <f>IF($L90=$P90,$L90,FALSE)</f>
        <v>A4</v>
      </c>
      <c r="AF90" s="60">
        <v>27</v>
      </c>
      <c r="AG90" s="60"/>
      <c r="AH90" s="542"/>
      <c r="AI90" s="542"/>
      <c r="AK90" s="589"/>
      <c r="AL90" s="589"/>
      <c r="AM90" s="589"/>
      <c r="AN90" s="589"/>
      <c r="AO90" s="589"/>
      <c r="AP90" s="589"/>
      <c r="AQ90" s="589"/>
      <c r="AR90" s="589"/>
      <c r="AS90" s="589"/>
      <c r="AT90" s="589"/>
      <c r="AU90" s="589"/>
      <c r="AV90" s="589"/>
      <c r="AW90" s="589"/>
      <c r="AX90" s="589"/>
      <c r="AY90" s="589"/>
      <c r="AZ90" s="589"/>
      <c r="BA90" s="589"/>
      <c r="BB90" s="589"/>
      <c r="BD90" s="60" t="s">
        <v>872</v>
      </c>
      <c r="BE90" s="60" t="s">
        <v>867</v>
      </c>
    </row>
    <row r="91" spans="1:59" ht="36" customHeight="1" x14ac:dyDescent="0.25">
      <c r="A91" s="62" t="s">
        <v>726</v>
      </c>
      <c r="B91" s="62" t="s">
        <v>726</v>
      </c>
      <c r="C91" s="64" t="s">
        <v>919</v>
      </c>
      <c r="D91" s="62"/>
      <c r="E91" s="652"/>
      <c r="F91" s="652"/>
      <c r="G91" s="280">
        <f>$L$92+$L$99</f>
        <v>7</v>
      </c>
      <c r="H91" s="234"/>
      <c r="I91" s="234"/>
      <c r="J91" s="234"/>
      <c r="K91" s="234"/>
      <c r="L91" s="500">
        <f>$L$92+$L$99</f>
        <v>7</v>
      </c>
      <c r="M91" s="286" t="str">
        <f xml:space="preserve"> (COUNTIF($L93:$L100, "A1") &amp; "A1")&amp;" + "&amp; (COUNTIF($L93:$L100, "A2") &amp; "A2")&amp;" + "&amp; (COUNTIF($L93:$L100, "A3") &amp; "A3")&amp;" + "&amp; (COUNTIF($L93:$L100, "A4") &amp; "A4")</f>
        <v>0A1 + 2A2 + 3A3 + 2A4</v>
      </c>
      <c r="N91" s="500"/>
      <c r="O91" s="500"/>
      <c r="P91" s="311">
        <f>$Q$92+$Q$99</f>
        <v>7</v>
      </c>
      <c r="Q91" s="340">
        <f>$Q$92+$Q$99</f>
        <v>7</v>
      </c>
      <c r="R91" s="312" t="str">
        <f xml:space="preserve"> (COUNTIF($Q93:$Q100, "A1") &amp; "A1")&amp;" + "&amp; (COUNTIF($Q93:$Q100, "A2") &amp; "A2")&amp;" + "&amp; (COUNTIF($Q93:$Q100, "A3") &amp; "A3")&amp;" + "&amp; (COUNTIF($Q93:$Q100, "A4") &amp; "A4")</f>
        <v>1A1 + 1A2 + 5A3 + 0A4</v>
      </c>
      <c r="S91" s="661"/>
      <c r="T91" s="661"/>
      <c r="U91" s="174">
        <f>$U$92+$U$99</f>
        <v>7</v>
      </c>
      <c r="V91" s="175" t="str">
        <f xml:space="preserve"> (COUNTIF($U93:$U100, "A1") &amp; "A1")&amp;" + "&amp; (COUNTIF($U93:$U100, "A2") &amp; "A2")&amp;" + "&amp; (COUNTIF($U93:$U100, "A3") &amp; "A3")&amp;" + "&amp; (COUNTIF($U93:$U100, "A4") &amp; "A4")</f>
        <v>1A1 + 1A2 + 5A3 + 0A4</v>
      </c>
      <c r="W91" s="501"/>
      <c r="X91" s="501"/>
      <c r="Y91" s="556"/>
      <c r="Z91" s="95"/>
      <c r="AA91" s="95"/>
      <c r="AB91" s="242"/>
      <c r="AC91" s="787"/>
      <c r="AD91" s="219"/>
      <c r="AE91" s="60"/>
      <c r="AF91" s="60"/>
      <c r="AG91" s="607"/>
      <c r="AH91" s="608"/>
      <c r="AI91" s="608"/>
      <c r="AK91" s="1327" t="s">
        <v>906</v>
      </c>
      <c r="AL91" s="1327"/>
      <c r="AM91" s="1327"/>
      <c r="AN91" s="1327"/>
      <c r="AO91" s="1327"/>
      <c r="AP91" s="1327"/>
      <c r="AQ91" s="1327"/>
      <c r="AR91" s="1327"/>
      <c r="AS91" s="1327"/>
      <c r="AT91" s="1327"/>
      <c r="AU91" s="1327"/>
      <c r="AV91" s="1327"/>
      <c r="AW91" s="1327"/>
      <c r="AX91" s="1327"/>
      <c r="AY91" s="1327"/>
      <c r="AZ91" s="1327"/>
      <c r="BA91" s="1327"/>
      <c r="BB91" s="1327"/>
      <c r="BF91" s="60">
        <f>COUNTIF($BE$93:$BE$100,"CBQL")</f>
        <v>2</v>
      </c>
      <c r="BG91" s="60">
        <f>COUNTIF($BE$93:$BE$100,"GV") + COUNTIF($BE$93:$BE$100,"NV")</f>
        <v>5</v>
      </c>
    </row>
    <row r="92" spans="1:59" ht="36" customHeight="1" x14ac:dyDescent="0.25">
      <c r="A92" s="65" t="s">
        <v>45</v>
      </c>
      <c r="B92" s="65" t="s">
        <v>45</v>
      </c>
      <c r="C92" s="66" t="s">
        <v>46</v>
      </c>
      <c r="D92" s="65"/>
      <c r="E92" s="691" t="s">
        <v>949</v>
      </c>
      <c r="F92" s="691" t="s">
        <v>950</v>
      </c>
      <c r="G92" s="280">
        <f>COUNTA($L93:$L98)</f>
        <v>6</v>
      </c>
      <c r="H92" s="234"/>
      <c r="I92" s="234"/>
      <c r="J92" s="234"/>
      <c r="K92" s="234"/>
      <c r="L92" s="500">
        <f>COUNTA($L93:$L98)</f>
        <v>6</v>
      </c>
      <c r="M92" s="286" t="str">
        <f xml:space="preserve"> (COUNTIF($L93:$L98, "A1") &amp; "A1")&amp;" + "&amp; (COUNTIF($L93:$L98, "A2") &amp; "A2")&amp;" + "&amp; (COUNTIF($L93:$L98, "A3") &amp; "A3")&amp;" + "&amp; (COUNTIF($L93:$L98, "A4") &amp; "A4")</f>
        <v>0A1 + 2A2 + 2A3 + 2A4</v>
      </c>
      <c r="N92" s="500"/>
      <c r="O92" s="500"/>
      <c r="P92" s="311">
        <f>COUNTA($Q93:$Q98)</f>
        <v>6</v>
      </c>
      <c r="Q92" s="340">
        <f>COUNTA($Q93:$Q98)</f>
        <v>6</v>
      </c>
      <c r="R92" s="312" t="str">
        <f xml:space="preserve"> (COUNTIF($Q93:$Q98, "A1") &amp; "A1")&amp;" + "&amp; (COUNTIF($Q93:$Q98, "A2") &amp; "A2")&amp;" + "&amp; (COUNTIF($Q93:$Q98, "A3") &amp; "A3")&amp;" + "&amp; (COUNTIF($Q93:$Q98, "A4") &amp; "A4")</f>
        <v>1A1 + 1A2 + 4A3 + 0A4</v>
      </c>
      <c r="S92" s="691" t="s">
        <v>949</v>
      </c>
      <c r="T92" s="691" t="s">
        <v>950</v>
      </c>
      <c r="U92" s="174">
        <f>COUNTA($U93:$U98)</f>
        <v>6</v>
      </c>
      <c r="V92" s="175" t="str">
        <f xml:space="preserve"> (COUNTIF($U93:$U98, "A1") &amp; "A1")&amp;" + "&amp; (COUNTIF($U93:$U98, "A2") &amp; "A2")&amp;" + "&amp; (COUNTIF($U93:$U98, "A3") &amp; "A3")&amp;" + "&amp; (COUNTIF($U93:$U98, "A4") &amp; "A4")</f>
        <v>1A1 + 1A2 + 4A3 + 0A4</v>
      </c>
      <c r="W92" s="501"/>
      <c r="X92" s="501"/>
      <c r="Y92" s="556"/>
      <c r="Z92" s="95"/>
      <c r="AA92" s="95"/>
      <c r="AB92" s="242"/>
      <c r="AC92" s="788"/>
      <c r="AD92" s="213"/>
      <c r="AE92" s="60"/>
      <c r="AF92" s="60"/>
      <c r="AG92" s="1328" t="s">
        <v>915</v>
      </c>
      <c r="AH92" s="1328"/>
      <c r="AI92" s="1328"/>
      <c r="AK92" s="598" t="s">
        <v>918</v>
      </c>
      <c r="AL92" s="598" t="s">
        <v>907</v>
      </c>
      <c r="AM92" s="1329" t="s">
        <v>897</v>
      </c>
      <c r="AN92" s="1329"/>
      <c r="AO92" s="1329" t="s">
        <v>898</v>
      </c>
      <c r="AP92" s="1329"/>
      <c r="AQ92" s="1329" t="s">
        <v>899</v>
      </c>
      <c r="AR92" s="1329"/>
      <c r="AS92" s="1329" t="s">
        <v>900</v>
      </c>
      <c r="AT92" s="1329"/>
      <c r="AU92" s="1329" t="s">
        <v>902</v>
      </c>
      <c r="AV92" s="1329"/>
      <c r="AW92" s="1329" t="s">
        <v>903</v>
      </c>
      <c r="AX92" s="1329"/>
      <c r="AY92" s="1329" t="s">
        <v>904</v>
      </c>
      <c r="AZ92" s="1329"/>
      <c r="BA92" s="1329" t="s">
        <v>905</v>
      </c>
      <c r="BB92" s="1329"/>
      <c r="BF92" s="59"/>
      <c r="BG92" s="59"/>
    </row>
    <row r="93" spans="1:59" s="57" customFormat="1" ht="46.5" customHeight="1" x14ac:dyDescent="0.25">
      <c r="A93" s="63">
        <f>IF(D93="","",SUBTOTAL(3,$D$8:D93))</f>
        <v>72</v>
      </c>
      <c r="B93" s="74" t="s">
        <v>5</v>
      </c>
      <c r="C93" s="79" t="s">
        <v>155</v>
      </c>
      <c r="D93" s="74" t="s">
        <v>99</v>
      </c>
      <c r="E93" s="692">
        <f>COUNTIF($L95:$L100,"A1")</f>
        <v>0</v>
      </c>
      <c r="F93" s="692">
        <f>COUNTIF($L95:$L100,"A2")</f>
        <v>2</v>
      </c>
      <c r="G93" s="282" t="str">
        <f t="shared" ref="G93:G100" si="27">IF($H93&lt;&gt;0,"A1",IF($I93&lt;&gt;0,"A2",IF($J93&lt;&gt;0,"A3","A4")))</f>
        <v>A2</v>
      </c>
      <c r="H93" s="234"/>
      <c r="I93" s="737" t="s">
        <v>966</v>
      </c>
      <c r="J93" s="737" t="s">
        <v>963</v>
      </c>
      <c r="K93" s="234"/>
      <c r="L93" s="298" t="s">
        <v>83</v>
      </c>
      <c r="M93" s="1279" t="s">
        <v>1208</v>
      </c>
      <c r="N93" s="291">
        <f>IFERROR(VLOOKUP($D93,'P.TTGD-CTSV'!$C$10:$AE$24,14,0),0)</f>
        <v>0</v>
      </c>
      <c r="O93" s="291">
        <f>IFERROR(VLOOKUP($D93,'P.TTGD-CTSV'!$C$10:$AE$24,28,0),0)</f>
        <v>0</v>
      </c>
      <c r="P93" s="313" t="str">
        <f t="shared" ref="P93:P94" si="28">IF(AND($W93&gt;=2,$X93&gt;=3,$Y93&gt;=1,H93&lt;&gt;0),"A1",IF(AND($W93&gt;=3,$X93&gt;=1,$Y93&gt;=1,H93&lt;&gt;0),"A1",IF(AND($W93&gt;=4,$X93&gt;=0,$Y93&gt;=1,H93&lt;&gt;0),"A1",IF(AND($W93&gt;=2,$X93&gt;=2,$Y93&gt;=1,I93&lt;&gt;0),"A2",IF(AND($W93&gt;=3,$X93&gt;=0,$Y93&gt;=1,I93&lt;&gt;0),"A2",IF(AND(OR($W93&gt;=1,$X93&gt;=2),J93&lt;&gt;0,$Y93&gt;=-2),"A3","A4"))))))</f>
        <v>A2</v>
      </c>
      <c r="Q93" s="1196" t="s">
        <v>85</v>
      </c>
      <c r="R93" s="315"/>
      <c r="S93" s="692">
        <f>SUM(COUNTIF($U95:$U98,"A1"),COUNTIF($U100:$U100,"A1"))</f>
        <v>1</v>
      </c>
      <c r="T93" s="692">
        <f>SUM(COUNTIF($U95:$U98,"A2"),COUNTIF($U100:$U100,"A2"))</f>
        <v>1</v>
      </c>
      <c r="U93" s="176" t="str">
        <f t="shared" ref="U93:U100" si="29">$Q93</f>
        <v>A3</v>
      </c>
      <c r="V93" s="180">
        <f>R93</f>
        <v>0</v>
      </c>
      <c r="W93" s="313">
        <f>IFERROR(VLOOKUP($D93,'P.KT&amp;ĐBCL'!$C$10:$AA$17,13,0),0)</f>
        <v>3</v>
      </c>
      <c r="X93" s="313">
        <f>IFERROR(VLOOKUP($D93,'P.KT&amp;ĐBCL'!$C$10:$AA$17,25,0),0)</f>
        <v>0</v>
      </c>
      <c r="Y93" s="695">
        <v>2</v>
      </c>
      <c r="Z93" s="1114"/>
      <c r="AA93" s="258"/>
      <c r="AB93" s="242"/>
      <c r="AC93" s="250"/>
      <c r="AD93" s="213"/>
      <c r="AE93" s="60" t="b">
        <f t="shared" si="26"/>
        <v>0</v>
      </c>
      <c r="AF93" s="60">
        <v>27</v>
      </c>
      <c r="AG93" s="592" t="s">
        <v>845</v>
      </c>
      <c r="AH93" s="592"/>
      <c r="AI93" s="605">
        <f>AH93/$L91</f>
        <v>0</v>
      </c>
      <c r="AJ93" s="589"/>
      <c r="AK93" s="594"/>
      <c r="AL93" s="595">
        <f>AL94+AL95</f>
        <v>7</v>
      </c>
      <c r="AM93" s="596" t="s">
        <v>896</v>
      </c>
      <c r="AN93" s="596" t="s">
        <v>844</v>
      </c>
      <c r="AO93" s="596" t="s">
        <v>896</v>
      </c>
      <c r="AP93" s="596" t="s">
        <v>844</v>
      </c>
      <c r="AQ93" s="596" t="s">
        <v>896</v>
      </c>
      <c r="AR93" s="596" t="s">
        <v>844</v>
      </c>
      <c r="AS93" s="596" t="s">
        <v>896</v>
      </c>
      <c r="AT93" s="596" t="s">
        <v>844</v>
      </c>
      <c r="AU93" s="596" t="s">
        <v>896</v>
      </c>
      <c r="AV93" s="596" t="s">
        <v>844</v>
      </c>
      <c r="AW93" s="596" t="s">
        <v>896</v>
      </c>
      <c r="AX93" s="596" t="s">
        <v>844</v>
      </c>
      <c r="AY93" s="596" t="s">
        <v>896</v>
      </c>
      <c r="AZ93" s="596" t="s">
        <v>844</v>
      </c>
      <c r="BA93" s="596" t="s">
        <v>896</v>
      </c>
      <c r="BB93" s="596" t="s">
        <v>844</v>
      </c>
      <c r="BD93" s="60" t="s">
        <v>874</v>
      </c>
      <c r="BE93" s="60" t="s">
        <v>866</v>
      </c>
    </row>
    <row r="94" spans="1:59" s="57" customFormat="1" ht="46.5" customHeight="1" x14ac:dyDescent="0.25">
      <c r="A94" s="63">
        <f>IF(D94="","",SUBTOTAL(3,$D$8:D94))</f>
        <v>73</v>
      </c>
      <c r="B94" s="63" t="s">
        <v>6</v>
      </c>
      <c r="C94" s="67" t="s">
        <v>453</v>
      </c>
      <c r="D94" s="185" t="s">
        <v>72</v>
      </c>
      <c r="E94" s="693">
        <f>E93/5</f>
        <v>0</v>
      </c>
      <c r="F94" s="693">
        <f>F93/5</f>
        <v>0.4</v>
      </c>
      <c r="G94" s="282" t="str">
        <f t="shared" si="27"/>
        <v>A2</v>
      </c>
      <c r="H94" s="234"/>
      <c r="I94" s="737" t="s">
        <v>955</v>
      </c>
      <c r="J94" s="737" t="s">
        <v>954</v>
      </c>
      <c r="K94" s="234"/>
      <c r="L94" s="298" t="s">
        <v>83</v>
      </c>
      <c r="M94" s="1279" t="s">
        <v>1150</v>
      </c>
      <c r="N94" s="291">
        <f>IFERROR(VLOOKUP($D94,'P.TTGD-CTSV'!$C$10:$AE$24,14,0),0)</f>
        <v>0</v>
      </c>
      <c r="O94" s="291">
        <f>IFERROR(VLOOKUP($D94,'P.TTGD-CTSV'!$C$10:$AE$24,28,0),0)</f>
        <v>0</v>
      </c>
      <c r="P94" s="313" t="str">
        <f t="shared" si="28"/>
        <v>A2</v>
      </c>
      <c r="Q94" s="1196" t="s">
        <v>85</v>
      </c>
      <c r="R94" s="317"/>
      <c r="S94" s="693">
        <f>S93/5</f>
        <v>0.2</v>
      </c>
      <c r="T94" s="693">
        <f>T93/5</f>
        <v>0.2</v>
      </c>
      <c r="U94" s="176" t="str">
        <f>$Q94</f>
        <v>A3</v>
      </c>
      <c r="V94" s="178"/>
      <c r="W94" s="313">
        <f>IFERROR(VLOOKUP($D94,'P.KT&amp;ĐBCL'!$C$10:$AA$17,13,0),0)</f>
        <v>3</v>
      </c>
      <c r="X94" s="313">
        <f>IFERROR(VLOOKUP($D94,'P.KT&amp;ĐBCL'!$C$10:$AA$17,25,0),0)</f>
        <v>2</v>
      </c>
      <c r="Y94" s="695">
        <v>1</v>
      </c>
      <c r="Z94" s="119"/>
      <c r="AA94" s="68"/>
      <c r="AB94" s="228"/>
      <c r="AC94" s="285"/>
      <c r="AD94" s="213"/>
      <c r="AE94" s="60" t="b">
        <f>IF($L94=$P94,$L94,FALSE)</f>
        <v>0</v>
      </c>
      <c r="AF94" s="60">
        <v>21</v>
      </c>
      <c r="AG94" s="592" t="s">
        <v>846</v>
      </c>
      <c r="AH94" s="592"/>
      <c r="AI94" s="605">
        <f>AH94/$L91</f>
        <v>0</v>
      </c>
      <c r="AJ94" s="589"/>
      <c r="AK94" s="597" t="s">
        <v>864</v>
      </c>
      <c r="AL94" s="595">
        <f>COUNTIF($BE$93:$BE$100,"CBQL")</f>
        <v>2</v>
      </c>
      <c r="AM94" s="595">
        <f>COUNTIF($U93:$U94,"A1")</f>
        <v>0</v>
      </c>
      <c r="AN94" s="611">
        <f>AM94/$AL$93</f>
        <v>0</v>
      </c>
      <c r="AO94" s="595">
        <f>COUNTIF($U93:$U94,"A2")</f>
        <v>0</v>
      </c>
      <c r="AP94" s="611">
        <f>AO94/$AL$93</f>
        <v>0</v>
      </c>
      <c r="AQ94" s="595">
        <f>COUNTIF($U93:$U94,"A3")</f>
        <v>2</v>
      </c>
      <c r="AR94" s="611">
        <f>AQ94/$AL$93</f>
        <v>0.2857142857142857</v>
      </c>
      <c r="AS94" s="595">
        <f>COUNTIF($U93:$U94,"A4")</f>
        <v>0</v>
      </c>
      <c r="AT94" s="611">
        <f>AS94/$AL$93</f>
        <v>0</v>
      </c>
      <c r="AU94" s="595"/>
      <c r="AV94" s="595"/>
      <c r="AW94" s="595"/>
      <c r="AX94" s="595"/>
      <c r="AY94" s="595"/>
      <c r="AZ94" s="595"/>
      <c r="BA94" s="595"/>
      <c r="BB94" s="595"/>
      <c r="BD94" s="60" t="s">
        <v>874</v>
      </c>
      <c r="BE94" s="60" t="s">
        <v>866</v>
      </c>
    </row>
    <row r="95" spans="1:59" s="60" customFormat="1" ht="30.75" customHeight="1" x14ac:dyDescent="0.25">
      <c r="A95" s="63">
        <f>IF(D95="","",SUBTOTAL(3,$D$8:D95))</f>
        <v>74</v>
      </c>
      <c r="B95" s="74" t="s">
        <v>10</v>
      </c>
      <c r="C95" s="77" t="s">
        <v>157</v>
      </c>
      <c r="D95" s="74" t="s">
        <v>101</v>
      </c>
      <c r="E95" s="652"/>
      <c r="F95" s="652"/>
      <c r="G95" s="282" t="str">
        <f t="shared" si="27"/>
        <v>A2</v>
      </c>
      <c r="H95" s="234"/>
      <c r="I95" s="737" t="s">
        <v>1011</v>
      </c>
      <c r="J95" s="737" t="s">
        <v>954</v>
      </c>
      <c r="K95" s="737"/>
      <c r="L95" s="298" t="s">
        <v>85</v>
      </c>
      <c r="M95" s="1143"/>
      <c r="N95" s="291">
        <f>IFERROR(VLOOKUP($D95,'P.KT&amp;ĐBCL'!$C$10:$AA$17,12,0),0)</f>
        <v>1</v>
      </c>
      <c r="O95" s="291">
        <f>IFERROR(VLOOKUP($D95,'P.KT&amp;ĐBCL'!$C$10:$AA$17,24,0),0)</f>
        <v>0</v>
      </c>
      <c r="P95" s="313" t="str">
        <f t="shared" ref="P95:P100" si="30">IF(AND($W95&gt;=2,$X95&gt;=3,$Y95&gt;=1,H95&lt;&gt;0),"A1",IF(AND($W95&gt;=3,$X95&gt;=1,$Y95&gt;=1,H95&lt;&gt;0),"A1",IF(AND($W95&gt;=2,$X95&gt;=2,$Y95&gt;=1,I95&lt;&gt;0),"A2",IF(AND($W95&gt;=3,$X95&gt;=0,$Y95&gt;=1,I95&lt;&gt;0),"A2",IF(AND(OR($W95&gt;=1,$X95&gt;=2),J95&lt;&gt;0,$Y95&gt;=-2),"A3","A4")))))</f>
        <v>A3</v>
      </c>
      <c r="Q95" s="341" t="str">
        <f t="shared" ref="Q95:Q97" si="31">P95</f>
        <v>A3</v>
      </c>
      <c r="R95" s="324"/>
      <c r="S95" s="674"/>
      <c r="T95" s="674"/>
      <c r="U95" s="176" t="str">
        <f t="shared" si="29"/>
        <v>A3</v>
      </c>
      <c r="V95" s="257"/>
      <c r="W95" s="313">
        <f>IFERROR(VLOOKUP($D95,'P.KT&amp;ĐBCL'!$C$10:$AA$17,13,0),0)</f>
        <v>1</v>
      </c>
      <c r="X95" s="313">
        <f>IFERROR(VLOOKUP($D95,'P.KT&amp;ĐBCL'!$C$10:$AA$17,25,0),0)</f>
        <v>0</v>
      </c>
      <c r="Y95" s="695">
        <v>0</v>
      </c>
      <c r="Z95" s="1114"/>
      <c r="AA95" s="258"/>
      <c r="AB95" s="242"/>
      <c r="AC95" s="250"/>
      <c r="AD95" s="790"/>
      <c r="AE95" s="60" t="str">
        <f t="shared" si="26"/>
        <v>A3</v>
      </c>
      <c r="AF95" s="60">
        <v>19</v>
      </c>
      <c r="AG95" s="592"/>
      <c r="AH95" s="591">
        <f>AH93+AH94</f>
        <v>0</v>
      </c>
      <c r="AI95" s="606">
        <f>AI93+AI94</f>
        <v>0</v>
      </c>
      <c r="AJ95" s="589"/>
      <c r="AK95" s="597" t="s">
        <v>865</v>
      </c>
      <c r="AL95" s="595">
        <f>COUNTIF($BE$93:$BE$100,"GV") + COUNTIF($BE$93:$BE$100,"NV")</f>
        <v>5</v>
      </c>
      <c r="AM95" s="595">
        <f>COUNTIF($U95:$U100,"A1")</f>
        <v>1</v>
      </c>
      <c r="AN95" s="611">
        <f>AM95/$AL$95</f>
        <v>0.2</v>
      </c>
      <c r="AO95" s="595">
        <f>COUNTIF($U95:$U100,"A2")</f>
        <v>1</v>
      </c>
      <c r="AP95" s="611">
        <f>AO95/$AL$95</f>
        <v>0.2</v>
      </c>
      <c r="AQ95" s="595">
        <f>COUNTIF($U95:$U100,"A3")</f>
        <v>3</v>
      </c>
      <c r="AR95" s="611">
        <f>AQ95/$AL$95</f>
        <v>0.6</v>
      </c>
      <c r="AS95" s="595">
        <f>COUNTIF($U95:$U100,"A4")</f>
        <v>0</v>
      </c>
      <c r="AT95" s="611">
        <f>AS95/$AL$93</f>
        <v>0</v>
      </c>
      <c r="AU95" s="595"/>
      <c r="AV95" s="595"/>
      <c r="AW95" s="595"/>
      <c r="AX95" s="595"/>
      <c r="AY95" s="595"/>
      <c r="AZ95" s="595"/>
      <c r="BA95" s="595"/>
      <c r="BB95" s="595"/>
      <c r="BD95" s="60" t="s">
        <v>874</v>
      </c>
      <c r="BE95" s="60" t="s">
        <v>867</v>
      </c>
    </row>
    <row r="96" spans="1:59" s="57" customFormat="1" ht="30.75" customHeight="1" x14ac:dyDescent="0.25">
      <c r="A96" s="63">
        <f>IF(D96="","",SUBTOTAL(3,$D$8:D96))</f>
        <v>75</v>
      </c>
      <c r="B96" s="74" t="s">
        <v>12</v>
      </c>
      <c r="C96" s="77" t="s">
        <v>159</v>
      </c>
      <c r="D96" s="74" t="s">
        <v>103</v>
      </c>
      <c r="E96" s="652"/>
      <c r="F96" s="652"/>
      <c r="G96" s="282" t="str">
        <f t="shared" si="27"/>
        <v>A2</v>
      </c>
      <c r="H96" s="234"/>
      <c r="I96" s="737" t="s">
        <v>966</v>
      </c>
      <c r="J96" s="737" t="s">
        <v>954</v>
      </c>
      <c r="K96" s="234"/>
      <c r="L96" s="298" t="s">
        <v>84</v>
      </c>
      <c r="M96" s="302"/>
      <c r="N96" s="291">
        <f>IFERROR(VLOOKUP($D96,'P.KT&amp;ĐBCL'!$C$10:$AA$17,12,0),0)</f>
        <v>3</v>
      </c>
      <c r="O96" s="291">
        <f>IFERROR(VLOOKUP($D96,'P.KT&amp;ĐBCL'!$C$10:$AA$17,24,0),0)</f>
        <v>2</v>
      </c>
      <c r="P96" s="313" t="str">
        <f t="shared" si="30"/>
        <v>A2</v>
      </c>
      <c r="Q96" s="341" t="str">
        <f t="shared" si="31"/>
        <v>A2</v>
      </c>
      <c r="R96" s="317"/>
      <c r="S96" s="663"/>
      <c r="T96" s="663"/>
      <c r="U96" s="176" t="str">
        <f t="shared" si="29"/>
        <v>A2</v>
      </c>
      <c r="V96" s="180">
        <f>R96</f>
        <v>0</v>
      </c>
      <c r="W96" s="313">
        <f>IFERROR(VLOOKUP($D96,'P.KT&amp;ĐBCL'!$C$10:$AA$17,13,0),0)</f>
        <v>3</v>
      </c>
      <c r="X96" s="313">
        <f>IFERROR(VLOOKUP($D96,'P.KT&amp;ĐBCL'!$C$10:$AA$17,25,0),0)</f>
        <v>2</v>
      </c>
      <c r="Y96" s="821">
        <v>1</v>
      </c>
      <c r="Z96" s="1114"/>
      <c r="AA96" s="258"/>
      <c r="AB96" s="724"/>
      <c r="AC96" s="775"/>
      <c r="AD96" s="790"/>
      <c r="AE96" s="60" t="str">
        <f t="shared" si="26"/>
        <v>A2</v>
      </c>
      <c r="AF96" s="60">
        <v>24</v>
      </c>
      <c r="AG96" s="60"/>
      <c r="AH96" s="542"/>
      <c r="AI96" s="542"/>
      <c r="AK96" s="589"/>
      <c r="AL96" s="589"/>
      <c r="AM96" s="589"/>
      <c r="AN96" s="589"/>
      <c r="AO96" s="589"/>
      <c r="AP96" s="589"/>
      <c r="AQ96" s="589"/>
      <c r="AR96" s="589"/>
      <c r="AS96" s="589"/>
      <c r="AT96" s="589"/>
      <c r="AU96" s="589"/>
      <c r="AV96" s="589"/>
      <c r="AW96" s="589"/>
      <c r="AX96" s="589"/>
      <c r="AY96" s="589"/>
      <c r="AZ96" s="589"/>
      <c r="BA96" s="589"/>
      <c r="BB96" s="589"/>
      <c r="BD96" s="60" t="s">
        <v>874</v>
      </c>
      <c r="BE96" s="60" t="s">
        <v>867</v>
      </c>
    </row>
    <row r="97" spans="1:59" s="57" customFormat="1" ht="30.75" customHeight="1" x14ac:dyDescent="0.25">
      <c r="A97" s="63">
        <f>IF(D97="","",SUBTOTAL(3,$D$8:D97))</f>
        <v>76</v>
      </c>
      <c r="B97" s="74" t="s">
        <v>11</v>
      </c>
      <c r="C97" s="77" t="s">
        <v>158</v>
      </c>
      <c r="D97" s="74" t="s">
        <v>104</v>
      </c>
      <c r="E97" s="652"/>
      <c r="F97" s="652"/>
      <c r="G97" s="282" t="str">
        <f t="shared" si="27"/>
        <v>A2</v>
      </c>
      <c r="H97" s="234"/>
      <c r="I97" s="737" t="s">
        <v>966</v>
      </c>
      <c r="J97" s="737" t="s">
        <v>954</v>
      </c>
      <c r="K97" s="234"/>
      <c r="L97" s="298" t="s">
        <v>85</v>
      </c>
      <c r="M97" s="302"/>
      <c r="N97" s="291">
        <f>IFERROR(VLOOKUP($D97,'P.KT&amp;ĐBCL'!$C$10:$AA$17,12,0),0)</f>
        <v>1</v>
      </c>
      <c r="O97" s="291">
        <f>IFERROR(VLOOKUP($D97,'P.KT&amp;ĐBCL'!$C$10:$AA$17,24,0),0)</f>
        <v>0</v>
      </c>
      <c r="P97" s="313" t="str">
        <f t="shared" si="30"/>
        <v>A3</v>
      </c>
      <c r="Q97" s="341" t="str">
        <f t="shared" si="31"/>
        <v>A3</v>
      </c>
      <c r="R97" s="324"/>
      <c r="S97" s="674"/>
      <c r="T97" s="674"/>
      <c r="U97" s="176" t="str">
        <f t="shared" si="29"/>
        <v>A3</v>
      </c>
      <c r="V97" s="257"/>
      <c r="W97" s="313">
        <f>IFERROR(VLOOKUP($D97,'P.KT&amp;ĐBCL'!$C$10:$AA$17,13,0),0)</f>
        <v>1</v>
      </c>
      <c r="X97" s="313">
        <f>IFERROR(VLOOKUP($D97,'P.KT&amp;ĐBCL'!$C$10:$AA$17,25,0),0)</f>
        <v>0</v>
      </c>
      <c r="Y97" s="821">
        <v>0</v>
      </c>
      <c r="Z97" s="1114"/>
      <c r="AA97" s="258"/>
      <c r="AB97" s="242"/>
      <c r="AC97" s="250"/>
      <c r="AD97" s="213"/>
      <c r="AE97" s="60" t="str">
        <f t="shared" si="26"/>
        <v>A3</v>
      </c>
      <c r="AF97" s="60">
        <v>24</v>
      </c>
      <c r="AG97" s="60"/>
      <c r="AH97" s="542"/>
      <c r="AI97" s="542"/>
      <c r="AK97" s="589"/>
      <c r="AL97" s="589"/>
      <c r="AM97" s="589"/>
      <c r="AN97" s="589"/>
      <c r="AO97" s="589"/>
      <c r="AP97" s="589"/>
      <c r="AQ97" s="589"/>
      <c r="AR97" s="589"/>
      <c r="AS97" s="589"/>
      <c r="AT97" s="589"/>
      <c r="AU97" s="589"/>
      <c r="AV97" s="589"/>
      <c r="AW97" s="589"/>
      <c r="AX97" s="589"/>
      <c r="AY97" s="589"/>
      <c r="AZ97" s="589"/>
      <c r="BA97" s="589"/>
      <c r="BB97" s="589"/>
      <c r="BD97" s="60" t="s">
        <v>874</v>
      </c>
      <c r="BE97" s="60" t="s">
        <v>867</v>
      </c>
    </row>
    <row r="98" spans="1:59" s="70" customFormat="1" ht="39.75" customHeight="1" x14ac:dyDescent="0.25">
      <c r="A98" s="63">
        <f>IF(D98="","",SUBTOTAL(3,$D$8:D98))</f>
        <v>77</v>
      </c>
      <c r="B98" s="74" t="s">
        <v>13</v>
      </c>
      <c r="C98" s="77" t="s">
        <v>160</v>
      </c>
      <c r="D98" s="74" t="s">
        <v>102</v>
      </c>
      <c r="E98" s="652"/>
      <c r="F98" s="652"/>
      <c r="G98" s="282" t="str">
        <f t="shared" si="27"/>
        <v>A2</v>
      </c>
      <c r="H98" s="234"/>
      <c r="I98" s="737" t="s">
        <v>1048</v>
      </c>
      <c r="J98" s="737" t="s">
        <v>954</v>
      </c>
      <c r="K98" s="737"/>
      <c r="L98" s="298" t="s">
        <v>84</v>
      </c>
      <c r="M98" s="295"/>
      <c r="N98" s="291">
        <f>IFERROR(VLOOKUP($D98,'P.KT&amp;ĐBCL'!$C$10:$AA$17,12,0),0)</f>
        <v>3</v>
      </c>
      <c r="O98" s="291">
        <f>IFERROR(VLOOKUP($D98,'P.KT&amp;ĐBCL'!$C$10:$AA$17,24,0),0)</f>
        <v>2</v>
      </c>
      <c r="P98" s="313" t="str">
        <f t="shared" si="30"/>
        <v>A2</v>
      </c>
      <c r="Q98" s="1196" t="s">
        <v>82</v>
      </c>
      <c r="R98" s="317"/>
      <c r="S98" s="664"/>
      <c r="T98" s="664"/>
      <c r="U98" s="176" t="str">
        <f t="shared" si="29"/>
        <v>A1</v>
      </c>
      <c r="V98" s="178"/>
      <c r="W98" s="313">
        <f>IFERROR(VLOOKUP($D98,'P.KT&amp;ĐBCL'!$C$10:$AA$17,13,0),0)</f>
        <v>3</v>
      </c>
      <c r="X98" s="313">
        <f>IFERROR(VLOOKUP($D98,'P.KT&amp;ĐBCL'!$C$10:$AA$17,25,0),0)</f>
        <v>2</v>
      </c>
      <c r="Y98" s="821">
        <v>1</v>
      </c>
      <c r="Z98" s="1115"/>
      <c r="AA98" s="2"/>
      <c r="AB98" s="724" t="s">
        <v>82</v>
      </c>
      <c r="AC98" s="775" t="s">
        <v>1151</v>
      </c>
      <c r="AD98" s="213"/>
      <c r="AE98" s="60" t="str">
        <f t="shared" si="26"/>
        <v>A2</v>
      </c>
      <c r="AF98" s="60">
        <v>24</v>
      </c>
      <c r="AG98" s="60"/>
      <c r="BD98" s="60" t="s">
        <v>874</v>
      </c>
      <c r="BE98" s="60" t="s">
        <v>867</v>
      </c>
    </row>
    <row r="99" spans="1:59" ht="37.5" customHeight="1" x14ac:dyDescent="0.25">
      <c r="A99" s="65" t="s">
        <v>51</v>
      </c>
      <c r="B99" s="65" t="s">
        <v>51</v>
      </c>
      <c r="C99" s="66" t="s">
        <v>48</v>
      </c>
      <c r="D99" s="65"/>
      <c r="E99" s="652"/>
      <c r="F99" s="652"/>
      <c r="G99" s="280">
        <f>COUNTA($L100:$L100)</f>
        <v>1</v>
      </c>
      <c r="H99" s="234"/>
      <c r="I99" s="737"/>
      <c r="J99" s="737"/>
      <c r="K99" s="234"/>
      <c r="L99" s="500">
        <f>COUNTA($L100:$L100)</f>
        <v>1</v>
      </c>
      <c r="M99" s="286" t="str">
        <f xml:space="preserve"> (COUNTIF($L100:$L100, "A1") &amp; "A1")&amp;" + "&amp; (COUNTIF($L100:$L100, "A2") &amp; "A2")&amp;" + "&amp; (COUNTIF($L100:$L100, "A3") &amp; "A3")&amp;" + "&amp; (COUNTIF($L100:$L100, "A4") &amp; "A4")</f>
        <v>0A1 + 0A2 + 1A3 + 0A4</v>
      </c>
      <c r="N99" s="291">
        <f>IFERROR(VLOOKUP($D99,'[2]P.KT&amp;ĐBCL'!$C$10:$T$17,11,0),0)</f>
        <v>0</v>
      </c>
      <c r="O99" s="291">
        <f>IFERROR(VLOOKUP($D99,'[2]P.KT&amp;ĐBCL'!$C$10:$T$17,17,0),0)</f>
        <v>0</v>
      </c>
      <c r="P99" s="311">
        <f>COUNTA($Q100:$Q100)</f>
        <v>1</v>
      </c>
      <c r="Q99" s="340">
        <f>COUNTA($Q100:$Q100)</f>
        <v>1</v>
      </c>
      <c r="R99" s="312" t="str">
        <f xml:space="preserve"> (COUNTIF($Q100:$Q100, "A1") &amp; "A1")&amp;" + "&amp; (COUNTIF($Q100:$Q100, "A2") &amp; "A2")&amp;" + "&amp; (COUNTIF($Q100:$Q100, "A3") &amp; "A3")&amp;" + "&amp; (COUNTIF($Q100:$Q100, "A4") &amp; "A4")</f>
        <v>0A1 + 0A2 + 1A3 + 0A4</v>
      </c>
      <c r="S99" s="661"/>
      <c r="T99" s="661"/>
      <c r="U99" s="174">
        <f>COUNTA($U100:$U100)</f>
        <v>1</v>
      </c>
      <c r="V99" s="175" t="str">
        <f xml:space="preserve"> (COUNTIF($U100:$U100, "A1") &amp; "A1")&amp;" + "&amp; (COUNTIF($U100:$U100, "A2") &amp; "A2")&amp;" + "&amp; (COUNTIF($U100:$U100, "A3") &amp; "A3")&amp;" + "&amp; (COUNTIF($U100:$U100, "A4") &amp; "A4")</f>
        <v>0A1 + 0A2 + 1A3 + 0A4</v>
      </c>
      <c r="W99" s="316"/>
      <c r="X99" s="316"/>
      <c r="Y99" s="813"/>
      <c r="Z99" s="1117"/>
      <c r="AA99" s="95"/>
      <c r="AB99" s="242"/>
      <c r="AC99" s="250"/>
      <c r="AD99" s="213"/>
      <c r="AE99" s="60"/>
      <c r="AF99" s="60"/>
      <c r="AG99" s="60"/>
      <c r="BE99" s="60"/>
      <c r="BF99" s="59"/>
      <c r="BG99" s="59"/>
    </row>
    <row r="100" spans="1:59" s="78" customFormat="1" ht="51" customHeight="1" x14ac:dyDescent="0.25">
      <c r="A100" s="63">
        <f>IF(D100="","",SUBTOTAL(3,$D$8:D100))</f>
        <v>78</v>
      </c>
      <c r="B100" s="74" t="s">
        <v>14</v>
      </c>
      <c r="C100" s="77" t="s">
        <v>161</v>
      </c>
      <c r="D100" s="74" t="s">
        <v>105</v>
      </c>
      <c r="E100" s="652"/>
      <c r="F100" s="652"/>
      <c r="G100" s="282" t="str">
        <f t="shared" si="27"/>
        <v>A2</v>
      </c>
      <c r="H100" s="234"/>
      <c r="I100" s="737" t="s">
        <v>1012</v>
      </c>
      <c r="J100" s="737" t="s">
        <v>954</v>
      </c>
      <c r="K100" s="234"/>
      <c r="L100" s="298" t="s">
        <v>85</v>
      </c>
      <c r="M100" s="1143"/>
      <c r="N100" s="291">
        <f>IFERROR(VLOOKUP($D100,'P.KT&amp;ĐBCL'!$C$10:$AA$17,12,0),0)</f>
        <v>2</v>
      </c>
      <c r="O100" s="291">
        <f>IFERROR(VLOOKUP($D100,'P.KT&amp;ĐBCL'!$C$10:$AA$17,24,0),0)</f>
        <v>0</v>
      </c>
      <c r="P100" s="313" t="str">
        <f t="shared" si="30"/>
        <v>A3</v>
      </c>
      <c r="Q100" s="341" t="str">
        <f t="shared" ref="Q100" si="32">P100</f>
        <v>A3</v>
      </c>
      <c r="R100" s="317"/>
      <c r="S100" s="664"/>
      <c r="T100" s="664"/>
      <c r="U100" s="176" t="str">
        <f t="shared" si="29"/>
        <v>A3</v>
      </c>
      <c r="V100" s="178"/>
      <c r="W100" s="313">
        <f>IFERROR(VLOOKUP($D100,'P.KT&amp;ĐBCL'!$C$10:$AA$17,13,0),0)</f>
        <v>2</v>
      </c>
      <c r="X100" s="313">
        <f>IFERROR(VLOOKUP($D100,'P.KT&amp;ĐBCL'!$C$10:$AA$17,25,0),0)</f>
        <v>0</v>
      </c>
      <c r="Y100" s="822"/>
      <c r="Z100" s="1115"/>
      <c r="AA100" s="2"/>
      <c r="AB100" s="724"/>
      <c r="AC100" s="775"/>
      <c r="AD100" s="790"/>
      <c r="AE100" s="60" t="str">
        <f t="shared" si="26"/>
        <v>A3</v>
      </c>
      <c r="AF100" s="60">
        <v>23</v>
      </c>
      <c r="AG100" s="60"/>
      <c r="BD100" s="60" t="s">
        <v>874</v>
      </c>
      <c r="BE100" s="60" t="s">
        <v>867</v>
      </c>
    </row>
    <row r="101" spans="1:59" ht="37.5" customHeight="1" x14ac:dyDescent="0.25">
      <c r="A101" s="62" t="s">
        <v>727</v>
      </c>
      <c r="B101" s="62" t="s">
        <v>727</v>
      </c>
      <c r="C101" s="64" t="s">
        <v>557</v>
      </c>
      <c r="D101" s="62"/>
      <c r="E101" s="691" t="s">
        <v>949</v>
      </c>
      <c r="F101" s="691" t="s">
        <v>950</v>
      </c>
      <c r="G101" s="280">
        <f>$L$102+$L$104</f>
        <v>3</v>
      </c>
      <c r="H101" s="234"/>
      <c r="I101" s="234"/>
      <c r="J101" s="234"/>
      <c r="K101" s="234"/>
      <c r="L101" s="500">
        <f>$L$102+$L$104</f>
        <v>3</v>
      </c>
      <c r="M101" s="286" t="str">
        <f xml:space="preserve"> (COUNTIF($L103:$L106, "A1") &amp; "A1")&amp;" + "&amp; (COUNTIF($L103:$L106, "A2") &amp; "A2")&amp;" + "&amp; (COUNTIF($L103:$L106, "A3") &amp; "A3")&amp;" + "&amp; (COUNTIF($L103:$L106, "A4") &amp; "A4")</f>
        <v>1A1 + 1A2 + 0A3 + 1A4</v>
      </c>
      <c r="N101" s="500"/>
      <c r="O101" s="500"/>
      <c r="P101" s="311">
        <f>$Q$102+$Q$104</f>
        <v>3</v>
      </c>
      <c r="Q101" s="340">
        <f>$Q$102+$Q$104</f>
        <v>3</v>
      </c>
      <c r="R101" s="312" t="str">
        <f xml:space="preserve"> (COUNTIF($Q103:$Q106, "A1") &amp; "A1")&amp;" + "&amp; (COUNTIF($Q103:$Q106, "A2") &amp; "A2")&amp;" + "&amp; (COUNTIF($Q103:$Q106, "A3") &amp; "A3")&amp;" + "&amp; (COUNTIF($Q103:$Q106, "A4") &amp; "A4")</f>
        <v>3A1 + 0A2 + 0A3 + 0A4</v>
      </c>
      <c r="S101" s="691" t="s">
        <v>949</v>
      </c>
      <c r="T101" s="691" t="s">
        <v>950</v>
      </c>
      <c r="U101" s="174">
        <f>$U$102+$U$104</f>
        <v>3</v>
      </c>
      <c r="V101" s="175" t="str">
        <f xml:space="preserve"> (COUNTIF($U103:$U106, "A1") &amp; "A1")&amp;" + "&amp; (COUNTIF($U103:$U106, "A2") &amp; "A2")&amp;" + "&amp; (COUNTIF($U103:$U106, "A3") &amp; "A3")&amp;" + "&amp; (COUNTIF($U103:$U106, "A4") &amp; "A4")</f>
        <v>3A1 + 0A2 + 0A3 + 0A4</v>
      </c>
      <c r="W101" s="501"/>
      <c r="X101" s="501"/>
      <c r="Y101" s="556"/>
      <c r="Z101" s="95"/>
      <c r="AA101" s="95"/>
      <c r="AB101" s="242"/>
      <c r="AC101" s="249"/>
      <c r="AD101" s="219"/>
      <c r="AE101" s="60"/>
      <c r="AF101" s="60"/>
      <c r="AG101" s="607"/>
      <c r="AH101" s="608"/>
      <c r="AI101" s="608"/>
      <c r="AK101" s="1327" t="s">
        <v>906</v>
      </c>
      <c r="AL101" s="1327"/>
      <c r="AM101" s="1327"/>
      <c r="AN101" s="1327"/>
      <c r="AO101" s="1327"/>
      <c r="AP101" s="1327"/>
      <c r="AQ101" s="1327"/>
      <c r="AR101" s="1327"/>
      <c r="AS101" s="1327"/>
      <c r="AT101" s="1327"/>
      <c r="AU101" s="1327"/>
      <c r="AV101" s="1327"/>
      <c r="AW101" s="1327"/>
      <c r="AX101" s="1327"/>
      <c r="AY101" s="1327"/>
      <c r="AZ101" s="1327"/>
      <c r="BA101" s="1327"/>
      <c r="BB101" s="1327"/>
      <c r="BE101" s="60"/>
      <c r="BF101" s="60">
        <f>COUNTIF($BE$102:$BE$106,"CBQL")</f>
        <v>1</v>
      </c>
      <c r="BG101" s="60">
        <f>COUNTIF($BE$102:$BE$106,"GV") + COUNTIF($BE$102:$BE$106,"NV")</f>
        <v>2</v>
      </c>
    </row>
    <row r="102" spans="1:59" ht="41.25" customHeight="1" x14ac:dyDescent="0.25">
      <c r="A102" s="65" t="s">
        <v>45</v>
      </c>
      <c r="B102" s="65" t="s">
        <v>45</v>
      </c>
      <c r="C102" s="66" t="s">
        <v>46</v>
      </c>
      <c r="D102" s="65"/>
      <c r="E102" s="692">
        <f>COUNTIF($L105:$L106,"A1")</f>
        <v>1</v>
      </c>
      <c r="F102" s="692">
        <f>COUNTIF($L105:$L106,"A2")</f>
        <v>0</v>
      </c>
      <c r="G102" s="280">
        <f>COUNTA(#REF!)</f>
        <v>1</v>
      </c>
      <c r="H102" s="234"/>
      <c r="I102" s="234"/>
      <c r="J102" s="234"/>
      <c r="K102" s="239"/>
      <c r="L102" s="500">
        <f>COUNTA(#REF!)</f>
        <v>1</v>
      </c>
      <c r="M102" s="286" t="str">
        <f xml:space="preserve"> (COUNTIF($L103:$L103, "A1") &amp; "A1")&amp;" + "&amp; (COUNTIF($L103:$L103, "A2") &amp; "A2")&amp;" + "&amp; (COUNTIF($L103:$L103, "A3") &amp; "A3")&amp;" + "&amp; (COUNTIF($L103:$L103, "A4") &amp; "A4")</f>
        <v>0A1 + 1A2 + 0A3 + 0A4</v>
      </c>
      <c r="N102" s="500"/>
      <c r="O102" s="500"/>
      <c r="P102" s="311">
        <f>COUNTA(P26)</f>
        <v>1</v>
      </c>
      <c r="Q102" s="340">
        <f>COUNTA(Q26)</f>
        <v>1</v>
      </c>
      <c r="R102" s="312" t="str">
        <f xml:space="preserve"> (COUNTIF($Q103:$Q103, "A1") &amp; "A1")&amp;" + "&amp; (COUNTIF($Q103:$Q103, "A2") &amp; "A2")&amp;" + "&amp; (COUNTIF($Q103:$Q103, "A3") &amp; "A3")&amp;" + "&amp; (COUNTIF($Q103:$Q103, "A4") &amp; "A4")</f>
        <v>1A1 + 0A2 + 0A3 + 0A4</v>
      </c>
      <c r="S102" s="692">
        <f>COUNTIF($U105:$U106,"A1")</f>
        <v>2</v>
      </c>
      <c r="T102" s="692">
        <f>COUNTIF($U105:$U106,"A2")</f>
        <v>0</v>
      </c>
      <c r="U102" s="174">
        <f>COUNTA(#REF!)</f>
        <v>1</v>
      </c>
      <c r="V102" s="175" t="str">
        <f xml:space="preserve"> (COUNTIF($U103:$U103, "A1") &amp; "A1")&amp;" + "&amp; (COUNTIF($U103:$U103, "A2") &amp; "A2")&amp;" + "&amp; (COUNTIF($U103:$U103, "A3") &amp; "A3")&amp;" + "&amp; (COUNTIF($U103:$U103, "A4") &amp; "A4")</f>
        <v>1A1 + 0A2 + 0A3 + 0A4</v>
      </c>
      <c r="W102" s="501"/>
      <c r="X102" s="501"/>
      <c r="Y102" s="556"/>
      <c r="Z102" s="95"/>
      <c r="AA102" s="95"/>
      <c r="AB102" s="242"/>
      <c r="AC102" s="250"/>
      <c r="AD102" s="213"/>
      <c r="AE102" s="60"/>
      <c r="AF102" s="60"/>
      <c r="AG102" s="1328" t="s">
        <v>915</v>
      </c>
      <c r="AH102" s="1328"/>
      <c r="AI102" s="1328"/>
      <c r="AK102" s="598" t="s">
        <v>920</v>
      </c>
      <c r="AL102" s="598" t="s">
        <v>907</v>
      </c>
      <c r="AM102" s="1329" t="s">
        <v>897</v>
      </c>
      <c r="AN102" s="1329"/>
      <c r="AO102" s="1329" t="s">
        <v>898</v>
      </c>
      <c r="AP102" s="1329"/>
      <c r="AQ102" s="1329" t="s">
        <v>899</v>
      </c>
      <c r="AR102" s="1329"/>
      <c r="AS102" s="1329" t="s">
        <v>900</v>
      </c>
      <c r="AT102" s="1329"/>
      <c r="AU102" s="1329" t="s">
        <v>902</v>
      </c>
      <c r="AV102" s="1329"/>
      <c r="AW102" s="1329" t="s">
        <v>903</v>
      </c>
      <c r="AX102" s="1329"/>
      <c r="AY102" s="1329" t="s">
        <v>904</v>
      </c>
      <c r="AZ102" s="1329"/>
      <c r="BA102" s="1329" t="s">
        <v>905</v>
      </c>
      <c r="BB102" s="1329"/>
      <c r="BF102" s="59"/>
      <c r="BG102" s="59"/>
    </row>
    <row r="103" spans="1:59" s="57" customFormat="1" ht="63" customHeight="1" x14ac:dyDescent="0.25">
      <c r="A103" s="63">
        <f>IF(D103="","",SUBTOTAL(3,$D$8:D103))</f>
        <v>79</v>
      </c>
      <c r="B103" s="63" t="s">
        <v>5</v>
      </c>
      <c r="C103" s="71" t="s">
        <v>540</v>
      </c>
      <c r="D103" s="89" t="s">
        <v>416</v>
      </c>
      <c r="E103" s="693">
        <f>E102/$AL$105</f>
        <v>0.5</v>
      </c>
      <c r="F103" s="693">
        <f>F102/$AL$105</f>
        <v>0</v>
      </c>
      <c r="G103" s="282" t="str">
        <f t="shared" ref="G103" si="33">IF($H103&lt;&gt;0,"A1",IF($I103&lt;&gt;0,"A2",IF($J103&lt;&gt;0,"A3","A4")))</f>
        <v>A2</v>
      </c>
      <c r="H103" s="737"/>
      <c r="I103" s="738" t="s">
        <v>987</v>
      </c>
      <c r="J103" s="737" t="s">
        <v>954</v>
      </c>
      <c r="K103" s="739" t="s">
        <v>1051</v>
      </c>
      <c r="L103" s="304" t="s">
        <v>84</v>
      </c>
      <c r="M103" s="295" t="s">
        <v>1185</v>
      </c>
      <c r="N103" s="291">
        <f>IFERROR(VLOOKUP($D103,'P.QLKH-HTQT'!$C$10:$W$13,10,0),0)</f>
        <v>4</v>
      </c>
      <c r="O103" s="291">
        <f>IFERROR(VLOOKUP($D103,'P.QLKH-HTQT'!$C$10:$W$13,20,0),0)</f>
        <v>5</v>
      </c>
      <c r="P103" s="1186" t="s">
        <v>82</v>
      </c>
      <c r="Q103" s="341" t="str">
        <f>P103</f>
        <v>A1</v>
      </c>
      <c r="R103" s="315"/>
      <c r="S103" s="693">
        <f>S102/$AL$105</f>
        <v>1</v>
      </c>
      <c r="T103" s="693">
        <f>T102/$AL$105</f>
        <v>0</v>
      </c>
      <c r="U103" s="176" t="str">
        <f>$Q103</f>
        <v>A1</v>
      </c>
      <c r="V103" s="178"/>
      <c r="W103" s="313">
        <f>IFERROR(VLOOKUP($D103,'P.QLKH-HTQT'!$C$10:$W$13,11,0),0)</f>
        <v>4</v>
      </c>
      <c r="X103" s="313">
        <f>IFERROR(VLOOKUP($D103,'P.QLKH-HTQT'!$C$10:$W$13,21,0),0)</f>
        <v>5</v>
      </c>
      <c r="Y103" s="333">
        <v>1</v>
      </c>
      <c r="Z103" s="2"/>
      <c r="AA103" s="842"/>
      <c r="AB103" s="218" t="s">
        <v>82</v>
      </c>
      <c r="AC103" s="837" t="s">
        <v>1111</v>
      </c>
      <c r="AD103" s="1065"/>
      <c r="AE103" s="60" t="b">
        <f>IF($L103=$P103,$L103,FALSE)</f>
        <v>0</v>
      </c>
      <c r="AF103" s="60"/>
      <c r="AG103" s="592" t="s">
        <v>845</v>
      </c>
      <c r="AH103" s="592">
        <v>1</v>
      </c>
      <c r="AI103" s="605">
        <f>AH103/$L101</f>
        <v>0.33333333333333331</v>
      </c>
      <c r="AJ103" s="589"/>
      <c r="AK103" s="594"/>
      <c r="AL103" s="595">
        <f>AL104+AL105</f>
        <v>3</v>
      </c>
      <c r="AM103" s="596" t="s">
        <v>896</v>
      </c>
      <c r="AN103" s="596" t="s">
        <v>844</v>
      </c>
      <c r="AO103" s="596" t="s">
        <v>896</v>
      </c>
      <c r="AP103" s="596" t="s">
        <v>844</v>
      </c>
      <c r="AQ103" s="596" t="s">
        <v>896</v>
      </c>
      <c r="AR103" s="596" t="s">
        <v>844</v>
      </c>
      <c r="AS103" s="596" t="s">
        <v>896</v>
      </c>
      <c r="AT103" s="596" t="s">
        <v>844</v>
      </c>
      <c r="AU103" s="596" t="s">
        <v>896</v>
      </c>
      <c r="AV103" s="596" t="s">
        <v>844</v>
      </c>
      <c r="AW103" s="596" t="s">
        <v>896</v>
      </c>
      <c r="AX103" s="596" t="s">
        <v>844</v>
      </c>
      <c r="AY103" s="596" t="s">
        <v>896</v>
      </c>
      <c r="AZ103" s="596" t="s">
        <v>844</v>
      </c>
      <c r="BA103" s="596" t="s">
        <v>896</v>
      </c>
      <c r="BB103" s="596" t="s">
        <v>844</v>
      </c>
      <c r="BD103" s="60" t="s">
        <v>875</v>
      </c>
      <c r="BE103" s="60" t="s">
        <v>866</v>
      </c>
    </row>
    <row r="104" spans="1:59" ht="38.25" customHeight="1" x14ac:dyDescent="0.25">
      <c r="A104" s="65" t="s">
        <v>51</v>
      </c>
      <c r="B104" s="65" t="s">
        <v>51</v>
      </c>
      <c r="C104" s="66" t="s">
        <v>48</v>
      </c>
      <c r="D104" s="65"/>
      <c r="E104" s="652"/>
      <c r="F104" s="652"/>
      <c r="G104" s="280">
        <f>COUNTA($L105:$L106)</f>
        <v>2</v>
      </c>
      <c r="H104" s="737"/>
      <c r="I104" s="737"/>
      <c r="J104" s="737"/>
      <c r="K104" s="234"/>
      <c r="L104" s="500">
        <f>COUNTA($L105:$L106)</f>
        <v>2</v>
      </c>
      <c r="M104" s="286" t="str">
        <f xml:space="preserve"> (COUNTIF($L105:$L106, "A1") &amp; "A1")&amp;" + "&amp; (COUNTIF($L105:$L106, "A2") &amp; "A2")&amp;" + "&amp; (COUNTIF($L105:$L106, "A3") &amp; "A3")&amp;" + "&amp; (COUNTIF($L105:$L106, "A4") &amp; "A4")</f>
        <v>1A1 + 0A2 + 0A3 + 1A4</v>
      </c>
      <c r="N104" s="297"/>
      <c r="O104" s="297"/>
      <c r="P104" s="311">
        <f>COUNTA($Q105:$Q106)</f>
        <v>2</v>
      </c>
      <c r="Q104" s="340">
        <f>COUNTA($Q105:$Q106)</f>
        <v>2</v>
      </c>
      <c r="R104" s="312" t="str">
        <f xml:space="preserve"> (COUNTIF($Q105:$Q106, "A1") &amp; "A1")&amp;" + "&amp; (COUNTIF($Q105:$Q106, "A2") &amp; "A2")&amp;" + "&amp; (COUNTIF($Q105:$Q106, "A3") &amp; "A3")&amp;" + "&amp; (COUNTIF($Q105:$Q106, "A4") &amp; "A4")</f>
        <v>2A1 + 0A2 + 0A3 + 0A4</v>
      </c>
      <c r="S104" s="661"/>
      <c r="T104" s="661"/>
      <c r="U104" s="174">
        <f>COUNTA($U105:$U106)</f>
        <v>2</v>
      </c>
      <c r="V104" s="175" t="str">
        <f xml:space="preserve"> (COUNTIF($U105:$U106, "A1") &amp; "A1")&amp;" + "&amp; (COUNTIF($U105:$U106, "A2") &amp; "A2")&amp;" + "&amp; (COUNTIF($U105:$U106, "A3") &amp; "A3")&amp;" + "&amp; (COUNTIF($U105:$U106, "A4") &amp; "A4")</f>
        <v>2A1 + 0A2 + 0A3 + 0A4</v>
      </c>
      <c r="W104" s="321"/>
      <c r="X104" s="321"/>
      <c r="Y104" s="556"/>
      <c r="Z104" s="95"/>
      <c r="AA104" s="95"/>
      <c r="AB104" s="242"/>
      <c r="AC104" s="250"/>
      <c r="AD104" s="213"/>
      <c r="AE104" s="60"/>
      <c r="AF104" s="60"/>
      <c r="AG104" s="592" t="s">
        <v>846</v>
      </c>
      <c r="AH104" s="592"/>
      <c r="AI104" s="605">
        <f>AH104/$L101</f>
        <v>0</v>
      </c>
      <c r="AJ104" s="589"/>
      <c r="AK104" s="597" t="s">
        <v>864</v>
      </c>
      <c r="AL104" s="595">
        <f>COUNTIF($BE$103:$BE$106,"CBQL")</f>
        <v>1</v>
      </c>
      <c r="AM104" s="595">
        <f>COUNTIF($U103:$U103,"A1")</f>
        <v>1</v>
      </c>
      <c r="AN104" s="611">
        <f>AM104/$AL$104</f>
        <v>1</v>
      </c>
      <c r="AO104" s="595">
        <f>COUNTIF($U103:$U103,"A2")</f>
        <v>0</v>
      </c>
      <c r="AP104" s="611">
        <f>AO104/$AL$103</f>
        <v>0</v>
      </c>
      <c r="AQ104" s="595">
        <f>COUNTIF($U103:$U103,"A3")</f>
        <v>0</v>
      </c>
      <c r="AR104" s="611">
        <f>AQ104/$AL$103</f>
        <v>0</v>
      </c>
      <c r="AS104" s="595">
        <f>COUNTIF($U103:$U103,"A4")</f>
        <v>0</v>
      </c>
      <c r="AT104" s="611">
        <f>AS104/$AL$103</f>
        <v>0</v>
      </c>
      <c r="AU104" s="595"/>
      <c r="AV104" s="595"/>
      <c r="AW104" s="595"/>
      <c r="AX104" s="595"/>
      <c r="AY104" s="595"/>
      <c r="AZ104" s="595"/>
      <c r="BA104" s="595"/>
      <c r="BB104" s="595"/>
      <c r="BD104" s="60" t="s">
        <v>875</v>
      </c>
      <c r="BF104" s="59"/>
      <c r="BG104" s="59"/>
    </row>
    <row r="105" spans="1:59" s="57" customFormat="1" ht="40.5" customHeight="1" x14ac:dyDescent="0.25">
      <c r="A105" s="63">
        <f>IF(D105="","",SUBTOTAL(3,$D$8:D105))</f>
        <v>80</v>
      </c>
      <c r="B105" s="63" t="s">
        <v>6</v>
      </c>
      <c r="C105" s="10" t="s">
        <v>162</v>
      </c>
      <c r="D105" s="92" t="s">
        <v>709</v>
      </c>
      <c r="E105" s="652"/>
      <c r="F105" s="652"/>
      <c r="G105" s="282" t="str">
        <f t="shared" ref="G105:G106" si="34">IF($H105&lt;&gt;0,"A1",IF($I105&lt;&gt;0,"A2",IF($J105&lt;&gt;0,"A3","A4")))</f>
        <v>A1</v>
      </c>
      <c r="H105" s="737" t="s">
        <v>988</v>
      </c>
      <c r="I105" s="737" t="s">
        <v>966</v>
      </c>
      <c r="J105" s="737" t="s">
        <v>963</v>
      </c>
      <c r="K105" s="234"/>
      <c r="L105" s="304" t="s">
        <v>82</v>
      </c>
      <c r="M105" s="295" t="s">
        <v>1126</v>
      </c>
      <c r="N105" s="291">
        <f>IFERROR(VLOOKUP($D105,'P.QLKH-HTQT'!$C$10:$W$13,10,0),0)</f>
        <v>3</v>
      </c>
      <c r="O105" s="291">
        <f>IFERROR(VLOOKUP($D105,'P.QLKH-HTQT'!$C$10:$W$13,20,0),0)</f>
        <v>3</v>
      </c>
      <c r="P105" s="1186" t="str">
        <f>IF(AND($W105&gt;=2,$X105&gt;=3,$Y105&gt;=1,H105&lt;&gt;0),"A1",IF(AND($W105&gt;=3,$X105&gt;=1,$Y105&gt;=1,H105&lt;&gt;0),"A1",IF(AND($W105&gt;=2,$X105&gt;=2,$Y105&gt;=1,I105&lt;&gt;0),"A2",IF(AND($W105&gt;=3,$X105&gt;=0,$Y105&gt;=1,I105&lt;&gt;0),"A2",IF(AND(OR($W105&gt;=1,$X105&gt;=2),J105&lt;&gt;0,$Y105&gt;=-2),"A3","A4")))))</f>
        <v>A1</v>
      </c>
      <c r="Q105" s="341" t="str">
        <f t="shared" ref="Q105:Q106" si="35">P105</f>
        <v>A1</v>
      </c>
      <c r="R105" s="317"/>
      <c r="S105" s="664"/>
      <c r="T105" s="664"/>
      <c r="U105" s="176" t="str">
        <f>$Q105</f>
        <v>A1</v>
      </c>
      <c r="V105" s="178"/>
      <c r="W105" s="313">
        <f>IFERROR(VLOOKUP($D105,'P.QLKH-HTQT'!$C$10:$W$13,11,0),0)</f>
        <v>3</v>
      </c>
      <c r="X105" s="313">
        <f>IFERROR(VLOOKUP($D105,'P.QLKH-HTQT'!$C$10:$W$13,21,0),0)</f>
        <v>3</v>
      </c>
      <c r="Y105" s="333">
        <v>1</v>
      </c>
      <c r="Z105" s="742"/>
      <c r="AA105" s="786"/>
      <c r="AB105" s="228"/>
      <c r="AC105" s="837"/>
      <c r="AD105" s="790"/>
      <c r="AE105" s="60" t="str">
        <f t="shared" si="26"/>
        <v>A1</v>
      </c>
      <c r="AF105" s="60"/>
      <c r="AG105" s="592"/>
      <c r="AH105" s="591">
        <f>AH103+AH104</f>
        <v>1</v>
      </c>
      <c r="AI105" s="606">
        <f>AI103+AI104</f>
        <v>0.33333333333333331</v>
      </c>
      <c r="AJ105" s="589"/>
      <c r="AK105" s="597" t="s">
        <v>865</v>
      </c>
      <c r="AL105" s="595">
        <f>COUNTIF($BE$103:$BE$106,"GV") + COUNTIF($BE$103:$BE$106,"NV")</f>
        <v>2</v>
      </c>
      <c r="AM105" s="595">
        <f>COUNTIF($U105:$U106,"A1")</f>
        <v>2</v>
      </c>
      <c r="AN105" s="611">
        <f>AM105/$AL$105</f>
        <v>1</v>
      </c>
      <c r="AO105" s="595">
        <f>COUNTIF($U105:$U106,"A2")</f>
        <v>0</v>
      </c>
      <c r="AP105" s="611">
        <f>AO105/$AL$105</f>
        <v>0</v>
      </c>
      <c r="AQ105" s="595">
        <f>COUNTIF($U105:$U106,"A3")</f>
        <v>0</v>
      </c>
      <c r="AR105" s="611">
        <f>AQ105/$AL$105</f>
        <v>0</v>
      </c>
      <c r="AS105" s="595">
        <f>COUNTIF($U105:$U106,"A4")</f>
        <v>0</v>
      </c>
      <c r="AT105" s="611">
        <f>AS105/$AL$105</f>
        <v>0</v>
      </c>
      <c r="AU105" s="595"/>
      <c r="AV105" s="595"/>
      <c r="AW105" s="595"/>
      <c r="AX105" s="595"/>
      <c r="AY105" s="595"/>
      <c r="AZ105" s="595"/>
      <c r="BA105" s="595"/>
      <c r="BB105" s="595"/>
      <c r="BD105" s="60" t="s">
        <v>875</v>
      </c>
      <c r="BE105" s="60" t="s">
        <v>867</v>
      </c>
    </row>
    <row r="106" spans="1:59" s="57" customFormat="1" ht="85.5" customHeight="1" x14ac:dyDescent="0.25">
      <c r="A106" s="63">
        <f>IF(D106="","",SUBTOTAL(3,$D$8:D106))</f>
        <v>81</v>
      </c>
      <c r="B106" s="63" t="s">
        <v>5</v>
      </c>
      <c r="C106" s="10" t="s">
        <v>451</v>
      </c>
      <c r="D106" s="143" t="s">
        <v>708</v>
      </c>
      <c r="E106" s="652"/>
      <c r="F106" s="652"/>
      <c r="G106" s="282" t="str">
        <f t="shared" si="34"/>
        <v>A4</v>
      </c>
      <c r="H106" s="737"/>
      <c r="I106" s="737"/>
      <c r="J106" s="737"/>
      <c r="K106" s="234"/>
      <c r="L106" s="304" t="s">
        <v>83</v>
      </c>
      <c r="M106" s="295" t="s">
        <v>1126</v>
      </c>
      <c r="N106" s="291">
        <f>IFERROR(VLOOKUP($D106,'P.QLKH-HTQT'!$C$10:$W$13,10,0),0)</f>
        <v>2</v>
      </c>
      <c r="O106" s="291">
        <f>IFERROR(VLOOKUP($D106,'P.QLKH-HTQT'!$C$10:$W$13,20,0),0)</f>
        <v>3</v>
      </c>
      <c r="P106" s="1186" t="s">
        <v>82</v>
      </c>
      <c r="Q106" s="341" t="str">
        <f t="shared" si="35"/>
        <v>A1</v>
      </c>
      <c r="R106" s="317"/>
      <c r="S106" s="664"/>
      <c r="T106" s="664"/>
      <c r="U106" s="176" t="str">
        <f>$Q106</f>
        <v>A1</v>
      </c>
      <c r="V106" s="180">
        <f t="shared" ref="V106" si="36">R106</f>
        <v>0</v>
      </c>
      <c r="W106" s="313">
        <f>IFERROR(VLOOKUP($D106,'P.QLKH-HTQT'!$C$10:$W$13,11,0),0)</f>
        <v>2</v>
      </c>
      <c r="X106" s="313">
        <f>IFERROR(VLOOKUP($D106,'P.QLKH-HTQT'!$C$10:$W$13,21,0),0)</f>
        <v>3</v>
      </c>
      <c r="Y106" s="89"/>
      <c r="Z106" s="3"/>
      <c r="AA106" s="3"/>
      <c r="AB106" s="218" t="s">
        <v>85</v>
      </c>
      <c r="AC106" s="837" t="s">
        <v>1152</v>
      </c>
      <c r="AD106" s="790"/>
      <c r="AE106" s="60" t="b">
        <f>IF($L106=$P106,$L106,FALSE)</f>
        <v>0</v>
      </c>
      <c r="AF106" s="60"/>
      <c r="AG106" s="589"/>
      <c r="AH106" s="542"/>
      <c r="AI106" s="542"/>
      <c r="AK106" s="589"/>
      <c r="AL106" s="589"/>
      <c r="AM106" s="589"/>
      <c r="AN106" s="589"/>
      <c r="AO106" s="589"/>
      <c r="AP106" s="589"/>
      <c r="AQ106" s="589"/>
      <c r="AR106" s="589"/>
      <c r="AS106" s="589"/>
      <c r="AT106" s="589"/>
      <c r="AU106" s="589"/>
      <c r="AV106" s="589"/>
      <c r="AW106" s="589"/>
      <c r="AX106" s="589"/>
      <c r="AY106" s="589"/>
      <c r="AZ106" s="589"/>
      <c r="BA106" s="589"/>
      <c r="BB106" s="589"/>
      <c r="BD106" s="60" t="s">
        <v>875</v>
      </c>
      <c r="BE106" s="60" t="s">
        <v>867</v>
      </c>
    </row>
    <row r="107" spans="1:59" ht="37.5" customHeight="1" x14ac:dyDescent="0.25">
      <c r="A107" s="62" t="s">
        <v>728</v>
      </c>
      <c r="B107" s="62" t="s">
        <v>728</v>
      </c>
      <c r="C107" s="64" t="s">
        <v>50</v>
      </c>
      <c r="D107" s="62"/>
      <c r="E107" s="652"/>
      <c r="F107" s="652"/>
      <c r="G107" s="280">
        <f>$L$108+$L$119</f>
        <v>27</v>
      </c>
      <c r="H107" s="234"/>
      <c r="I107" s="234"/>
      <c r="J107" s="234"/>
      <c r="K107" s="234"/>
      <c r="L107" s="500">
        <f>$L$108+$L$119</f>
        <v>27</v>
      </c>
      <c r="M107" s="286" t="str">
        <f xml:space="preserve"> (COUNTIF($L109:$L136, "A1") &amp; "A1")&amp;" + "&amp; (COUNTIF($L109:$L136, "A2") &amp; "A2")&amp;" + "&amp; (COUNTIF($L109:$L136, "A3") &amp; "A3")&amp;" + "&amp; (COUNTIF($L109:$L136, "A4") &amp; "A4")&amp;" + "&amp; (COUNTIF($L109:$L136, "A DN") &amp; "A DN")</f>
        <v>2A1 + 5A2 + 5A3 + 14A4 + 0A DN</v>
      </c>
      <c r="N107" s="500"/>
      <c r="O107" s="500"/>
      <c r="P107" s="311">
        <f>$Q$108+$Q$119</f>
        <v>27</v>
      </c>
      <c r="Q107" s="340">
        <f>$Q$108+$Q$119</f>
        <v>27</v>
      </c>
      <c r="R107" s="312" t="str">
        <f xml:space="preserve"> (COUNTIF($Q109:$Q136, "A1") &amp; "A1")&amp;" + "&amp; (COUNTIF($Q109:$Q136, "A2") &amp; "A2")&amp;" + "&amp; (COUNTIF($Q109:$Q136, "A3") &amp; "A3")&amp;" + "&amp; (COUNTIF($Q109:$Q136, "A4") &amp; "A4") &amp;" + "&amp; (COUNTIF($Q109:$Q136, "A DN") &amp; "A DN")</f>
        <v>6A1 + 4A2 + 9A3 + 7A4 + 0A DN</v>
      </c>
      <c r="S107" s="661"/>
      <c r="T107" s="661"/>
      <c r="U107" s="174">
        <f>$U$108+$U$119</f>
        <v>27</v>
      </c>
      <c r="V107" s="175" t="str">
        <f xml:space="preserve"> (COUNTIF($U109:$U136, "A1") &amp; "A1")&amp;" + "&amp; (COUNTIF($U109:$U136, "A2") &amp; "A2")&amp;" + "&amp; (COUNTIF($U109:$U136, "A3") &amp; "A3")&amp;" + "&amp; (COUNTIF($U109:$U136, "A4") &amp; "A4")&amp;" + "&amp; (COUNTIF($U109:$U136, "A DN") &amp; "A DN")</f>
        <v>6A1 + 4A2 + 9A3 + 7A4 + 0A DN</v>
      </c>
      <c r="W107" s="501"/>
      <c r="X107" s="501"/>
      <c r="Y107" s="556"/>
      <c r="Z107" s="118"/>
      <c r="AA107" s="95"/>
      <c r="AB107" s="242"/>
      <c r="AC107" s="1355"/>
      <c r="AD107" s="219"/>
      <c r="AE107" s="60"/>
      <c r="AF107" s="60"/>
      <c r="AG107" s="607"/>
      <c r="AH107" s="608"/>
      <c r="AI107" s="608"/>
      <c r="AK107" s="1327" t="s">
        <v>906</v>
      </c>
      <c r="AL107" s="1327"/>
      <c r="AM107" s="1327"/>
      <c r="AN107" s="1327"/>
      <c r="AO107" s="1327"/>
      <c r="AP107" s="1327"/>
      <c r="AQ107" s="1327"/>
      <c r="AR107" s="1327"/>
      <c r="AS107" s="1327"/>
      <c r="AT107" s="1327"/>
      <c r="AU107" s="1327"/>
      <c r="AV107" s="1327"/>
      <c r="AW107" s="1327"/>
      <c r="AX107" s="1327"/>
      <c r="AY107" s="1327"/>
      <c r="AZ107" s="1327"/>
      <c r="BA107" s="1327"/>
      <c r="BB107" s="1327"/>
      <c r="BF107" s="60">
        <f>COUNTIF($BE109:$BE136,"CBQL")</f>
        <v>3</v>
      </c>
      <c r="BG107" s="60">
        <f>COUNTIF($BE109:$BE136,"GV") + COUNTIF($BE109:$BE136,"NV")</f>
        <v>24</v>
      </c>
    </row>
    <row r="108" spans="1:59" ht="37.5" customHeight="1" x14ac:dyDescent="0.25">
      <c r="A108" s="65" t="s">
        <v>45</v>
      </c>
      <c r="B108" s="65" t="s">
        <v>45</v>
      </c>
      <c r="C108" s="66" t="s">
        <v>46</v>
      </c>
      <c r="D108" s="65"/>
      <c r="E108" s="691" t="s">
        <v>949</v>
      </c>
      <c r="F108" s="691" t="s">
        <v>950</v>
      </c>
      <c r="G108" s="280">
        <f>COUNTA($L109:$L118)</f>
        <v>10</v>
      </c>
      <c r="H108" s="234"/>
      <c r="I108" s="234"/>
      <c r="J108" s="234"/>
      <c r="K108" s="234"/>
      <c r="L108" s="500">
        <f>COUNTA($L109:$L118)</f>
        <v>10</v>
      </c>
      <c r="M108" s="286" t="str">
        <f xml:space="preserve"> (COUNTIF($L109:$L118, "A1") &amp; "A1")&amp;" + "&amp; (COUNTIF($L109:$L118, "A2") &amp; "A2")&amp;" + "&amp; (COUNTIF($L109:$L118, "A3") &amp; "A3")&amp;" + "&amp; (COUNTIF($L109:$L118, "A4") &amp; "A4")</f>
        <v>2A1 + 3A2 + 3A3 + 2A4</v>
      </c>
      <c r="N108" s="500"/>
      <c r="O108" s="500"/>
      <c r="P108" s="311">
        <f>COUNTA($Q109:$Q118)</f>
        <v>10</v>
      </c>
      <c r="Q108" s="340">
        <f>COUNTA($Q109:$Q118)</f>
        <v>10</v>
      </c>
      <c r="R108" s="312" t="str">
        <f xml:space="preserve"> (COUNTIF($Q109:$Q118, "A1") &amp; "A1")&amp;" + "&amp; (COUNTIF($Q109:$Q118, "A2") &amp; "A2")&amp;" + "&amp; (COUNTIF($Q109:$Q118, "A3") &amp; "A3")&amp;" + "&amp; (COUNTIF($Q109:$Q118, "A4") &amp; "A4")</f>
        <v>4A1 + 3A2 + 1A3 + 2A4</v>
      </c>
      <c r="S108" s="691" t="s">
        <v>949</v>
      </c>
      <c r="T108" s="691" t="s">
        <v>950</v>
      </c>
      <c r="U108" s="174">
        <f>COUNTA($U109:$U118)</f>
        <v>10</v>
      </c>
      <c r="V108" s="175" t="str">
        <f xml:space="preserve"> (COUNTIF($U109:$U118, "A1") &amp; "A1")&amp;" + "&amp; (COUNTIF($U109:$U118, "A2") &amp; "A2")&amp;" + "&amp; (COUNTIF($U109:$U118, "A3") &amp; "A3")&amp;" + "&amp; (COUNTIF($U109:$U118, "A4") &amp; "A4")</f>
        <v>4A1 + 3A2 + 1A3 + 2A4</v>
      </c>
      <c r="W108" s="501"/>
      <c r="X108" s="501"/>
      <c r="Y108" s="556"/>
      <c r="Z108" s="95"/>
      <c r="AA108" s="95"/>
      <c r="AB108" s="242"/>
      <c r="AC108" s="1356"/>
      <c r="AD108" s="213"/>
      <c r="AE108" s="60"/>
      <c r="AF108" s="60"/>
      <c r="AG108" s="1328" t="s">
        <v>915</v>
      </c>
      <c r="AH108" s="1328"/>
      <c r="AI108" s="1328"/>
      <c r="AK108" s="598" t="s">
        <v>921</v>
      </c>
      <c r="AL108" s="598" t="s">
        <v>907</v>
      </c>
      <c r="AM108" s="1329" t="s">
        <v>897</v>
      </c>
      <c r="AN108" s="1329"/>
      <c r="AO108" s="1329" t="s">
        <v>898</v>
      </c>
      <c r="AP108" s="1329"/>
      <c r="AQ108" s="1329" t="s">
        <v>899</v>
      </c>
      <c r="AR108" s="1329"/>
      <c r="AS108" s="1329" t="s">
        <v>900</v>
      </c>
      <c r="AT108" s="1329"/>
      <c r="AU108" s="1329" t="s">
        <v>902</v>
      </c>
      <c r="AV108" s="1329"/>
      <c r="AW108" s="1329" t="s">
        <v>903</v>
      </c>
      <c r="AX108" s="1329"/>
      <c r="AY108" s="1329" t="s">
        <v>904</v>
      </c>
      <c r="AZ108" s="1329"/>
      <c r="BA108" s="1329" t="s">
        <v>905</v>
      </c>
      <c r="BB108" s="1329"/>
      <c r="BF108" s="59"/>
      <c r="BG108" s="59"/>
    </row>
    <row r="109" spans="1:59" s="57" customFormat="1" ht="46.5" customHeight="1" x14ac:dyDescent="0.25">
      <c r="A109" s="63">
        <f>IF(D109="","",SUBTOTAL(3,$D$8:D109))</f>
        <v>82</v>
      </c>
      <c r="B109" s="63" t="s">
        <v>5</v>
      </c>
      <c r="C109" s="259" t="s">
        <v>163</v>
      </c>
      <c r="D109" s="561" t="s">
        <v>106</v>
      </c>
      <c r="E109" s="692">
        <f>COUNTIF($L112:$L136,"A1")</f>
        <v>0</v>
      </c>
      <c r="F109" s="692">
        <f>COUNTIF($L112:$L136,"A2")</f>
        <v>5</v>
      </c>
      <c r="G109" s="282" t="str">
        <f t="shared" ref="G109:G133" si="37">IF($H109&lt;&gt;0,"A1",IF($I109&lt;&gt;0,"A2",IF($J109&lt;&gt;0,"A3","A4")))</f>
        <v>A1</v>
      </c>
      <c r="H109" s="740" t="s">
        <v>1013</v>
      </c>
      <c r="I109" s="737" t="s">
        <v>955</v>
      </c>
      <c r="J109" s="737" t="s">
        <v>954</v>
      </c>
      <c r="K109" s="739" t="s">
        <v>1047</v>
      </c>
      <c r="L109" s="891" t="s">
        <v>82</v>
      </c>
      <c r="M109" s="295" t="s">
        <v>1126</v>
      </c>
      <c r="N109" s="291">
        <f>IFERROR(VLOOKUP($D109,'P.QT-DV'!$C$10:$AH$37,14,0),0)</f>
        <v>10</v>
      </c>
      <c r="O109" s="291">
        <f>IFERROR(VLOOKUP($D109,'P.QT-DV'!$C$10:$AH$37,31,0),0)</f>
        <v>7</v>
      </c>
      <c r="P109" s="313" t="str">
        <f>IF(AND($W109&gt;=2,$X109&gt;=3,$Y109&gt;=1,H109&lt;&gt;0),"A1",IF(AND($W109&gt;=3,$X109&gt;=1,$Y109&gt;=1,H109&lt;&gt;0),"A1",IF(AND($W109&gt;=2,$X109&gt;=2,$Y109&gt;=1,I109&lt;&gt;0),"A2",IF(AND($W109&gt;=3,$X109&gt;=0,$Y109&gt;=1,I109&lt;&gt;0),"A2",IF(AND(OR($W109&gt;=1,$X109&gt;=2),J109&lt;&gt;0,$Y109&gt;=0),"A3","A4")))))</f>
        <v>A1</v>
      </c>
      <c r="Q109" s="341" t="str">
        <f t="shared" ref="Q109" si="38">P109</f>
        <v>A1</v>
      </c>
      <c r="R109" s="326"/>
      <c r="S109" s="692">
        <f>COUNTIF($U112:$U136,"A1")</f>
        <v>5</v>
      </c>
      <c r="T109" s="692">
        <f>COUNTIF($U112:$U136,"A2")</f>
        <v>3</v>
      </c>
      <c r="U109" s="176" t="str">
        <f t="shared" ref="U109:U131" si="39">$Q109</f>
        <v>A1</v>
      </c>
      <c r="V109" s="260"/>
      <c r="W109" s="330">
        <f>IFERROR(VLOOKUP($D109,'P.QT-DV'!$C$10:$AH$37,15,0),0)</f>
        <v>10</v>
      </c>
      <c r="X109" s="330">
        <f>IFERROR(VLOOKUP($D109,'P.QT-DV'!$C$10:$AH$37,32,0),0)</f>
        <v>7</v>
      </c>
      <c r="Y109" s="1125">
        <v>5</v>
      </c>
      <c r="Z109" s="261"/>
      <c r="AA109" s="261"/>
      <c r="AB109" s="228"/>
      <c r="AC109" s="249"/>
      <c r="AD109" s="1065"/>
      <c r="AE109" s="60" t="str">
        <f t="shared" si="26"/>
        <v>A1</v>
      </c>
      <c r="AF109" s="60" t="s">
        <v>32</v>
      </c>
      <c r="AG109" s="592" t="s">
        <v>845</v>
      </c>
      <c r="AH109" s="592">
        <v>7</v>
      </c>
      <c r="AI109" s="605">
        <f>AH109/$L107</f>
        <v>0.25925925925925924</v>
      </c>
      <c r="AJ109" s="589"/>
      <c r="AK109" s="594"/>
      <c r="AL109" s="595">
        <f>AL110+AL111</f>
        <v>27</v>
      </c>
      <c r="AM109" s="596" t="s">
        <v>896</v>
      </c>
      <c r="AN109" s="596" t="s">
        <v>844</v>
      </c>
      <c r="AO109" s="596" t="s">
        <v>896</v>
      </c>
      <c r="AP109" s="596" t="s">
        <v>844</v>
      </c>
      <c r="AQ109" s="596" t="s">
        <v>896</v>
      </c>
      <c r="AR109" s="596" t="s">
        <v>844</v>
      </c>
      <c r="AS109" s="596" t="s">
        <v>896</v>
      </c>
      <c r="AT109" s="596" t="s">
        <v>844</v>
      </c>
      <c r="AU109" s="596" t="s">
        <v>896</v>
      </c>
      <c r="AV109" s="596" t="s">
        <v>844</v>
      </c>
      <c r="AW109" s="596" t="s">
        <v>896</v>
      </c>
      <c r="AX109" s="596" t="s">
        <v>844</v>
      </c>
      <c r="AY109" s="596" t="s">
        <v>896</v>
      </c>
      <c r="AZ109" s="596" t="s">
        <v>844</v>
      </c>
      <c r="BA109" s="596" t="s">
        <v>896</v>
      </c>
      <c r="BB109" s="596" t="s">
        <v>844</v>
      </c>
      <c r="BD109" s="60" t="s">
        <v>876</v>
      </c>
      <c r="BE109" s="60" t="s">
        <v>866</v>
      </c>
    </row>
    <row r="110" spans="1:59" s="60" customFormat="1" ht="47.25" customHeight="1" x14ac:dyDescent="0.25">
      <c r="A110" s="63">
        <f>IF(D110="","",SUBTOTAL(3,$D$8:D110))</f>
        <v>83</v>
      </c>
      <c r="B110" s="63" t="s">
        <v>6</v>
      </c>
      <c r="C110" s="259" t="s">
        <v>164</v>
      </c>
      <c r="D110" s="561" t="s">
        <v>107</v>
      </c>
      <c r="E110" s="693">
        <f>E109/$AL$111</f>
        <v>0</v>
      </c>
      <c r="F110" s="693">
        <f>F109/$AL$111</f>
        <v>0.20833333333333334</v>
      </c>
      <c r="G110" s="282" t="str">
        <f t="shared" si="37"/>
        <v>A1</v>
      </c>
      <c r="H110" s="738" t="s">
        <v>1014</v>
      </c>
      <c r="I110" s="737" t="s">
        <v>955</v>
      </c>
      <c r="J110" s="737" t="s">
        <v>954</v>
      </c>
      <c r="K110" s="739" t="s">
        <v>1052</v>
      </c>
      <c r="L110" s="891" t="s">
        <v>82</v>
      </c>
      <c r="M110" s="1279" t="s">
        <v>1150</v>
      </c>
      <c r="N110" s="291">
        <f>IFERROR(VLOOKUP($D110,'P.TTGD-CTSV'!$C$10:$AE$24,14,0),0)</f>
        <v>0</v>
      </c>
      <c r="O110" s="291">
        <f>IFERROR(VLOOKUP($D110,'P.TTGD-CTSV'!$C$10:$AE$24,28,0),0)</f>
        <v>0</v>
      </c>
      <c r="P110" s="313" t="str">
        <f t="shared" ref="P110" si="40">IF(AND($W110&gt;=2,$X110&gt;=3,$Y110&gt;=1,H110&lt;&gt;0),"A1",IF(AND($W110&gt;=3,$X110&gt;=1,$Y110&gt;=1,H110&lt;&gt;0),"A1",IF(AND($W110&gt;=4,$X110&gt;=0,$Y110&gt;=1,H110&lt;&gt;0),"A1",IF(AND($W110&gt;=2,$X110&gt;=2,$Y110&gt;=1,I110&lt;&gt;0),"A2",IF(AND($W110&gt;=3,$X110&gt;=0,$Y110&gt;=1,I110&lt;&gt;0),"A2",IF(AND(OR($W110&gt;=1,$X110&gt;=2),J110&lt;&gt;0,$Y110&gt;=-2),"A3","A4"))))))</f>
        <v>A1</v>
      </c>
      <c r="Q110" s="1196" t="s">
        <v>84</v>
      </c>
      <c r="R110" s="345"/>
      <c r="S110" s="693">
        <f>S109/$AL$111</f>
        <v>0.20833333333333334</v>
      </c>
      <c r="T110" s="693">
        <f>T109/$AL$111</f>
        <v>0.125</v>
      </c>
      <c r="U110" s="176" t="str">
        <f t="shared" si="39"/>
        <v>A2</v>
      </c>
      <c r="V110" s="179"/>
      <c r="W110" s="330">
        <f>IFERROR(VLOOKUP($D110,'P.QT-DV'!$C$10:$AH$37,15,0),0)</f>
        <v>9</v>
      </c>
      <c r="X110" s="330">
        <f>IFERROR(VLOOKUP($D110,'P.QT-DV'!$C$10:$AH$37,32,0),0)</f>
        <v>5</v>
      </c>
      <c r="Y110" s="1125">
        <v>5</v>
      </c>
      <c r="Z110" s="261"/>
      <c r="AA110" s="261"/>
      <c r="AB110" s="247"/>
      <c r="AC110" s="285"/>
      <c r="AD110" s="1065" t="s">
        <v>1153</v>
      </c>
      <c r="AE110" s="60" t="str">
        <f t="shared" si="26"/>
        <v>A1</v>
      </c>
      <c r="AF110" s="60" t="s">
        <v>35</v>
      </c>
      <c r="AG110" s="592" t="s">
        <v>846</v>
      </c>
      <c r="AH110" s="592">
        <v>1</v>
      </c>
      <c r="AI110" s="605">
        <f>AH110/$L107</f>
        <v>3.7037037037037035E-2</v>
      </c>
      <c r="AJ110" s="589"/>
      <c r="AK110" s="597" t="s">
        <v>864</v>
      </c>
      <c r="AL110" s="595">
        <f>COUNTIF($BE109:$BE136,"CBQL")</f>
        <v>3</v>
      </c>
      <c r="AM110" s="595">
        <f>COUNTIF($U109:$U111,"A1")</f>
        <v>1</v>
      </c>
      <c r="AN110" s="611">
        <f>AM110/$AL$110</f>
        <v>0.33333333333333331</v>
      </c>
      <c r="AO110" s="595">
        <f>COUNTIF($U109:$U111,"A2")</f>
        <v>1</v>
      </c>
      <c r="AP110" s="611">
        <f>AO110/$AL$110</f>
        <v>0.33333333333333331</v>
      </c>
      <c r="AQ110" s="595">
        <f>COUNTIF($U109:$U111,"A3")</f>
        <v>0</v>
      </c>
      <c r="AR110" s="611">
        <f>AQ110/$AL$110</f>
        <v>0</v>
      </c>
      <c r="AS110" s="595">
        <f>COUNTIF($U109:$U111,"A4")</f>
        <v>1</v>
      </c>
      <c r="AT110" s="611">
        <f>AS110/$AL$110</f>
        <v>0.33333333333333331</v>
      </c>
      <c r="AU110" s="595">
        <f>COUNTIF($U109:$U111,"B1")</f>
        <v>0</v>
      </c>
      <c r="AV110" s="611">
        <f>AU110/$AL$110</f>
        <v>0</v>
      </c>
      <c r="AW110" s="595">
        <f>COUNTIF($U109:$U111,"B2")</f>
        <v>0</v>
      </c>
      <c r="AX110" s="611">
        <f>AW110/$AL$110</f>
        <v>0</v>
      </c>
      <c r="AY110" s="595">
        <f>COUNTIF($U109:$U111,"C1")</f>
        <v>0</v>
      </c>
      <c r="AZ110" s="611">
        <f>AY110/$AL$110</f>
        <v>0</v>
      </c>
      <c r="BA110" s="595">
        <f>COUNTIF($U109:$U111,"C2")</f>
        <v>0</v>
      </c>
      <c r="BB110" s="611">
        <f>BA110/$AL$110</f>
        <v>0</v>
      </c>
      <c r="BD110" s="60" t="s">
        <v>876</v>
      </c>
      <c r="BE110" s="60" t="s">
        <v>866</v>
      </c>
    </row>
    <row r="111" spans="1:59" s="870" customFormat="1" ht="54" customHeight="1" x14ac:dyDescent="0.25">
      <c r="A111" s="63">
        <f>IF(D111="","",SUBTOTAL(3,$D$8:D118))</f>
        <v>91</v>
      </c>
      <c r="B111" s="890"/>
      <c r="C111" s="954" t="s">
        <v>1090</v>
      </c>
      <c r="D111" s="561" t="s">
        <v>1091</v>
      </c>
      <c r="E111" s="880"/>
      <c r="F111" s="880"/>
      <c r="G111" s="881" t="s">
        <v>83</v>
      </c>
      <c r="H111" s="880"/>
      <c r="I111" s="880"/>
      <c r="J111" s="880"/>
      <c r="K111" s="880"/>
      <c r="L111" s="891" t="s">
        <v>83</v>
      </c>
      <c r="M111" s="1279" t="s">
        <v>1150</v>
      </c>
      <c r="N111" s="291">
        <f>IFERROR(VLOOKUP($D111,'P.TTGD-CTSV'!$C$10:$AE$24,14,0),0)</f>
        <v>0</v>
      </c>
      <c r="O111" s="291">
        <f>IFERROR(VLOOKUP($D111,'P.TTGD-CTSV'!$C$10:$AE$24,28,0),0)</f>
        <v>0</v>
      </c>
      <c r="P111" s="313" t="str">
        <f t="shared" ref="P111" si="41">IF(AND($W111&gt;=2,$X111&gt;=3,$Y111&gt;=1,H111&lt;&gt;0),"A1",IF(AND($W111&gt;=3,$X111&gt;=1,$Y111&gt;=1,H111&lt;&gt;0),"A1",IF(AND($W111&gt;=4,$X111&gt;=0,$Y111&gt;=1,H111&lt;&gt;0),"A1",IF(AND($W111&gt;=2,$X111&gt;=2,$Y111&gt;=1,I111&lt;&gt;0),"A2",IF(AND($W111&gt;=3,$X111&gt;=0,$Y111&gt;=1,I111&lt;&gt;0),"A2",IF(AND(OR($W111&gt;=1,$X111&gt;=2),J111&lt;&gt;0,$Y111&gt;=-2),"A3","A4"))))))</f>
        <v>A4</v>
      </c>
      <c r="Q111" s="1196" t="s">
        <v>83</v>
      </c>
      <c r="R111" s="892"/>
      <c r="S111" s="893"/>
      <c r="T111" s="893"/>
      <c r="U111" s="176" t="str">
        <f>$Q111</f>
        <v>A4</v>
      </c>
      <c r="V111" s="894"/>
      <c r="W111" s="330">
        <f>IFERROR(VLOOKUP($D111,'P.QT-DV'!$C$10:$AH$37,15,0),0)</f>
        <v>9</v>
      </c>
      <c r="X111" s="330">
        <f>IFERROR(VLOOKUP($D111,'P.QT-DV'!$C$10:$AH$37,32,0),0)</f>
        <v>4</v>
      </c>
      <c r="Y111" s="1125">
        <v>3</v>
      </c>
      <c r="Z111" s="882"/>
      <c r="AA111" s="895"/>
      <c r="AB111" s="777" t="s">
        <v>84</v>
      </c>
      <c r="AC111" s="839" t="s">
        <v>1068</v>
      </c>
      <c r="AD111" s="213"/>
      <c r="AE111" s="60" t="str">
        <f>IF($L111=$P111,$L111,FALSE)</f>
        <v>A4</v>
      </c>
      <c r="AF111" s="60"/>
      <c r="AG111" s="1163"/>
      <c r="AH111" s="1164">
        <f>AH108+AH109</f>
        <v>7</v>
      </c>
      <c r="AI111" s="606">
        <f>AI108+AI109</f>
        <v>0.25925925925925924</v>
      </c>
      <c r="AK111" s="597" t="s">
        <v>865</v>
      </c>
      <c r="AL111" s="595">
        <f>COUNTIF($BE109:$BE136,"GV") + COUNTIF($BE109:$BE136,"NV")</f>
        <v>24</v>
      </c>
      <c r="AM111" s="595">
        <f>COUNTIF($U112:$U136,"A1")</f>
        <v>5</v>
      </c>
      <c r="AN111" s="611">
        <f>AM111/$AL$111</f>
        <v>0.20833333333333334</v>
      </c>
      <c r="AO111" s="595">
        <f>COUNTIF($U112:$U136,"A2")</f>
        <v>3</v>
      </c>
      <c r="AP111" s="611">
        <f>AO111/$AL$111</f>
        <v>0.125</v>
      </c>
      <c r="AQ111" s="595">
        <f>COUNTIF($U112:$U136,"A3")</f>
        <v>9</v>
      </c>
      <c r="AR111" s="611">
        <f>AQ111/$AL$111</f>
        <v>0.375</v>
      </c>
      <c r="AS111" s="595">
        <f>COUNTIF($U112:$U136,"A4")</f>
        <v>6</v>
      </c>
      <c r="AT111" s="611">
        <f>AS111/$AL$111</f>
        <v>0.25</v>
      </c>
      <c r="AU111" s="595">
        <f>COUNTIF($U112:$U136,"B1")</f>
        <v>0</v>
      </c>
      <c r="AV111" s="611">
        <f>AU111/$AL$111</f>
        <v>0</v>
      </c>
      <c r="AW111" s="595">
        <f>COUNTIF($U112:$U136,"B2")</f>
        <v>0</v>
      </c>
      <c r="AX111" s="611">
        <f>AW111/$AL$111</f>
        <v>0</v>
      </c>
      <c r="AY111" s="595">
        <f>COUNTIF($U112:$U136,"C1")</f>
        <v>0</v>
      </c>
      <c r="AZ111" s="611">
        <f>AY111/$AL$111</f>
        <v>0</v>
      </c>
      <c r="BA111" s="595">
        <f>COUNTIF($U112:$U136,"C2")</f>
        <v>0</v>
      </c>
      <c r="BB111" s="611">
        <f>BA111/$AL$111</f>
        <v>0</v>
      </c>
      <c r="BD111" s="60" t="s">
        <v>876</v>
      </c>
      <c r="BE111" s="60" t="s">
        <v>866</v>
      </c>
    </row>
    <row r="112" spans="1:59" s="60" customFormat="1" ht="43.5" customHeight="1" x14ac:dyDescent="0.25">
      <c r="A112" s="63">
        <f>IF(D112="","",SUBTOTAL(3,$D$8:D112))</f>
        <v>85</v>
      </c>
      <c r="B112" s="63" t="s">
        <v>11</v>
      </c>
      <c r="C112" s="259" t="s">
        <v>166</v>
      </c>
      <c r="D112" s="561" t="s">
        <v>167</v>
      </c>
      <c r="E112" s="652"/>
      <c r="F112" s="652"/>
      <c r="G112" s="282" t="str">
        <f t="shared" si="37"/>
        <v>A2</v>
      </c>
      <c r="H112" s="234"/>
      <c r="I112" s="737" t="s">
        <v>955</v>
      </c>
      <c r="J112" s="737" t="s">
        <v>954</v>
      </c>
      <c r="K112" s="234"/>
      <c r="L112" s="289" t="s">
        <v>84</v>
      </c>
      <c r="M112" s="1146"/>
      <c r="N112" s="291">
        <f>IFERROR(VLOOKUP($D112,'P.QT-DV'!$C$10:$AH$37,14,0),0)</f>
        <v>4</v>
      </c>
      <c r="O112" s="291">
        <f>IFERROR(VLOOKUP($D112,'P.QT-DV'!$C$10:$AH$37,31,0),0)</f>
        <v>1</v>
      </c>
      <c r="P112" s="313" t="str">
        <f t="shared" ref="P112:P118" si="42">IF(AND($W112&gt;=2,$X112&gt;=3,$Y112&gt;=1,H112&lt;&gt;0),"A1",IF(AND($W112&gt;=3,$X112&gt;=1,$Y112&gt;=1,H112&lt;&gt;0),"A1",IF(AND($W112&gt;=2,$X112&gt;=2,$Y112&gt;=1,I112&lt;&gt;0),"A2",IF(AND($W112&gt;=3,$X112&gt;=0,$Y112&gt;=1,I112&lt;&gt;0),"A2",IF(AND(OR($W112&gt;=1,$X112&gt;=2),J112&lt;&gt;0,$Y112&gt;=0),"A3","A4")))))</f>
        <v>A2</v>
      </c>
      <c r="Q112" s="1196" t="s">
        <v>82</v>
      </c>
      <c r="R112" s="317"/>
      <c r="S112" s="663"/>
      <c r="T112" s="663"/>
      <c r="U112" s="176" t="str">
        <f t="shared" si="39"/>
        <v>A1</v>
      </c>
      <c r="V112" s="178"/>
      <c r="W112" s="330">
        <f>IFERROR(VLOOKUP($D112,'P.QT-DV'!$C$10:$AH$37,15,0),0)</f>
        <v>4</v>
      </c>
      <c r="X112" s="330">
        <f>IFERROR(VLOOKUP($D112,'P.QT-DV'!$C$10:$AH$37,32,0),0)</f>
        <v>1</v>
      </c>
      <c r="Y112" s="1125">
        <v>1</v>
      </c>
      <c r="Z112" s="2"/>
      <c r="AA112" s="2"/>
      <c r="AB112" s="843" t="s">
        <v>82</v>
      </c>
      <c r="AC112" s="775" t="s">
        <v>1068</v>
      </c>
      <c r="AD112" s="213"/>
      <c r="AE112" s="60" t="str">
        <f t="shared" si="26"/>
        <v>A2</v>
      </c>
      <c r="AF112" s="60">
        <v>22</v>
      </c>
      <c r="AG112" s="592"/>
      <c r="AH112" s="591"/>
      <c r="AI112" s="606"/>
      <c r="AJ112" s="589"/>
      <c r="AK112" s="1165"/>
      <c r="AL112" s="1165"/>
      <c r="AM112" s="1165"/>
      <c r="AN112" s="1165"/>
      <c r="AO112" s="1165"/>
      <c r="AP112" s="1165"/>
      <c r="AQ112" s="1165"/>
      <c r="AR112" s="1165"/>
      <c r="AS112" s="1165"/>
      <c r="AT112" s="1165"/>
      <c r="AU112" s="1165"/>
      <c r="AV112" s="1165"/>
      <c r="AW112" s="1165"/>
      <c r="AX112" s="1165"/>
      <c r="AY112" s="1165"/>
      <c r="AZ112" s="1165"/>
      <c r="BA112" s="1165"/>
      <c r="BB112" s="1165"/>
      <c r="BD112" s="60" t="s">
        <v>876</v>
      </c>
      <c r="BE112" s="60" t="s">
        <v>867</v>
      </c>
    </row>
    <row r="113" spans="1:59" s="57" customFormat="1" ht="43.5" customHeight="1" x14ac:dyDescent="0.25">
      <c r="A113" s="63">
        <f>IF(D113="","",SUBTOTAL(3,$D$8:D113))</f>
        <v>86</v>
      </c>
      <c r="B113" s="63" t="s">
        <v>12</v>
      </c>
      <c r="C113" s="259" t="s">
        <v>168</v>
      </c>
      <c r="D113" s="562" t="s">
        <v>169</v>
      </c>
      <c r="E113" s="652"/>
      <c r="F113" s="652"/>
      <c r="G113" s="282" t="str">
        <f t="shared" si="37"/>
        <v>A2</v>
      </c>
      <c r="H113" s="234"/>
      <c r="I113" s="737" t="s">
        <v>965</v>
      </c>
      <c r="J113" s="737" t="s">
        <v>954</v>
      </c>
      <c r="K113" s="234"/>
      <c r="L113" s="289" t="s">
        <v>84</v>
      </c>
      <c r="M113" s="1145"/>
      <c r="N113" s="291">
        <f>IFERROR(VLOOKUP($D113,'P.QT-DV'!$C$10:$AH$37,14,0),0)</f>
        <v>2</v>
      </c>
      <c r="O113" s="291">
        <f>IFERROR(VLOOKUP($D113,'P.QT-DV'!$C$10:$AH$37,31,0),0)</f>
        <v>2</v>
      </c>
      <c r="P113" s="313" t="str">
        <f t="shared" si="42"/>
        <v>A2</v>
      </c>
      <c r="Q113" s="1196" t="s">
        <v>82</v>
      </c>
      <c r="R113" s="317"/>
      <c r="S113" s="664"/>
      <c r="T113" s="664"/>
      <c r="U113" s="176" t="str">
        <f t="shared" si="39"/>
        <v>A1</v>
      </c>
      <c r="V113" s="179"/>
      <c r="W113" s="330">
        <f>IFERROR(VLOOKUP($D113,'P.QT-DV'!$C$10:$AH$37,15,0),0)</f>
        <v>2</v>
      </c>
      <c r="X113" s="330">
        <f>IFERROR(VLOOKUP($D113,'P.QT-DV'!$C$10:$AH$37,32,0),0)</f>
        <v>2</v>
      </c>
      <c r="Y113" s="1125">
        <v>4</v>
      </c>
      <c r="Z113" s="68"/>
      <c r="AA113" s="261"/>
      <c r="AB113" s="843" t="s">
        <v>82</v>
      </c>
      <c r="AC113" s="775" t="s">
        <v>1068</v>
      </c>
      <c r="AD113" s="213"/>
      <c r="AE113" s="60" t="str">
        <f t="shared" si="26"/>
        <v>A2</v>
      </c>
      <c r="AF113" s="60"/>
      <c r="AG113" s="60"/>
      <c r="AH113" s="542"/>
      <c r="AI113" s="542"/>
      <c r="AK113" s="589"/>
      <c r="AL113" s="589"/>
      <c r="AM113" s="589"/>
      <c r="AN113" s="589"/>
      <c r="AO113" s="589"/>
      <c r="AP113" s="589"/>
      <c r="AQ113" s="589"/>
      <c r="AR113" s="589"/>
      <c r="AS113" s="589"/>
      <c r="AT113" s="589"/>
      <c r="AU113" s="589"/>
      <c r="AV113" s="589"/>
      <c r="AW113" s="589"/>
      <c r="AX113" s="589"/>
      <c r="AY113" s="589"/>
      <c r="AZ113" s="589"/>
      <c r="BA113" s="589"/>
      <c r="BB113" s="589"/>
      <c r="BD113" s="60" t="s">
        <v>876</v>
      </c>
      <c r="BE113" s="60" t="s">
        <v>867</v>
      </c>
    </row>
    <row r="114" spans="1:59" s="57" customFormat="1" ht="43.5" customHeight="1" x14ac:dyDescent="0.25">
      <c r="A114" s="63">
        <f>IF(D114="","",SUBTOTAL(3,$D$8:D114))</f>
        <v>87</v>
      </c>
      <c r="B114" s="63" t="s">
        <v>13</v>
      </c>
      <c r="C114" s="259" t="s">
        <v>170</v>
      </c>
      <c r="D114" s="562" t="s">
        <v>171</v>
      </c>
      <c r="E114" s="652"/>
      <c r="F114" s="652"/>
      <c r="G114" s="282" t="str">
        <f t="shared" si="37"/>
        <v>A2</v>
      </c>
      <c r="H114" s="234"/>
      <c r="I114" s="738" t="s">
        <v>1015</v>
      </c>
      <c r="J114" s="737" t="s">
        <v>954</v>
      </c>
      <c r="K114" s="234"/>
      <c r="L114" s="289" t="s">
        <v>84</v>
      </c>
      <c r="M114" s="297"/>
      <c r="N114" s="291">
        <f>IFERROR(VLOOKUP($D114,'P.QT-DV'!$C$10:$AH$37,14,0),0)</f>
        <v>4</v>
      </c>
      <c r="O114" s="291">
        <f>IFERROR(VLOOKUP($D114,'P.QT-DV'!$C$10:$AH$37,31,0),0)</f>
        <v>1</v>
      </c>
      <c r="P114" s="313" t="str">
        <f t="shared" si="42"/>
        <v>A2</v>
      </c>
      <c r="Q114" s="1196" t="s">
        <v>82</v>
      </c>
      <c r="R114" s="317"/>
      <c r="S114" s="663"/>
      <c r="T114" s="663"/>
      <c r="U114" s="176" t="str">
        <f t="shared" si="39"/>
        <v>A1</v>
      </c>
      <c r="V114" s="178"/>
      <c r="W114" s="330">
        <f>IFERROR(VLOOKUP($D114,'P.QT-DV'!$C$10:$AH$37,15,0),0)</f>
        <v>4</v>
      </c>
      <c r="X114" s="330">
        <f>IFERROR(VLOOKUP($D114,'P.QT-DV'!$C$10:$AH$37,32,0),0)</f>
        <v>1</v>
      </c>
      <c r="Y114" s="1126">
        <v>1</v>
      </c>
      <c r="Z114" s="857"/>
      <c r="AA114" s="859"/>
      <c r="AB114" s="777" t="s">
        <v>82</v>
      </c>
      <c r="AC114" s="839" t="s">
        <v>1068</v>
      </c>
      <c r="AD114" s="790"/>
      <c r="AE114" s="60" t="str">
        <f t="shared" si="26"/>
        <v>A2</v>
      </c>
      <c r="AF114" s="60"/>
      <c r="AG114" s="60"/>
      <c r="AH114" s="542"/>
      <c r="AI114" s="542"/>
      <c r="AK114" s="589"/>
      <c r="AL114" s="589"/>
      <c r="AM114" s="589"/>
      <c r="AN114" s="589"/>
      <c r="AO114" s="589"/>
      <c r="AP114" s="589"/>
      <c r="AQ114" s="589"/>
      <c r="AR114" s="589"/>
      <c r="AS114" s="589"/>
      <c r="AT114" s="589"/>
      <c r="AU114" s="589"/>
      <c r="AV114" s="589"/>
      <c r="AW114" s="589"/>
      <c r="AX114" s="589"/>
      <c r="AY114" s="589"/>
      <c r="AZ114" s="589"/>
      <c r="BA114" s="589"/>
      <c r="BB114" s="589"/>
      <c r="BD114" s="60" t="s">
        <v>876</v>
      </c>
      <c r="BE114" s="60" t="s">
        <v>867</v>
      </c>
    </row>
    <row r="115" spans="1:59" s="57" customFormat="1" ht="43.5" customHeight="1" x14ac:dyDescent="0.25">
      <c r="A115" s="63">
        <f>IF(D115="","",SUBTOTAL(3,$D$8:D115))</f>
        <v>88</v>
      </c>
      <c r="B115" s="63" t="s">
        <v>14</v>
      </c>
      <c r="C115" s="259" t="s">
        <v>172</v>
      </c>
      <c r="D115" s="562" t="s">
        <v>173</v>
      </c>
      <c r="E115" s="652"/>
      <c r="F115" s="652"/>
      <c r="G115" s="282" t="str">
        <f t="shared" si="37"/>
        <v>A3</v>
      </c>
      <c r="H115" s="234"/>
      <c r="I115" s="234"/>
      <c r="J115" s="737" t="s">
        <v>954</v>
      </c>
      <c r="K115" s="234"/>
      <c r="L115" s="289" t="s">
        <v>85</v>
      </c>
      <c r="M115" s="1145"/>
      <c r="N115" s="291">
        <f>IFERROR(VLOOKUP($D115,'P.QT-DV'!$C$10:$AH$37,14,0),0)</f>
        <v>3</v>
      </c>
      <c r="O115" s="291">
        <f>IFERROR(VLOOKUP($D115,'P.QT-DV'!$C$10:$AH$37,31,0),0)</f>
        <v>1</v>
      </c>
      <c r="P115" s="313" t="str">
        <f t="shared" si="42"/>
        <v>A3</v>
      </c>
      <c r="Q115" s="1196" t="s">
        <v>84</v>
      </c>
      <c r="R115" s="317"/>
      <c r="S115" s="663"/>
      <c r="T115" s="663"/>
      <c r="U115" s="176" t="str">
        <f t="shared" si="39"/>
        <v>A2</v>
      </c>
      <c r="V115" s="178"/>
      <c r="W115" s="330">
        <f>IFERROR(VLOOKUP($D115,'P.QT-DV'!$C$10:$AH$37,15,0),0)</f>
        <v>3</v>
      </c>
      <c r="X115" s="330">
        <f>IFERROR(VLOOKUP($D115,'P.QT-DV'!$C$10:$AH$37,32,0),0)</f>
        <v>1</v>
      </c>
      <c r="Y115" s="1125"/>
      <c r="Z115" s="261"/>
      <c r="AA115" s="261"/>
      <c r="AB115" s="843" t="s">
        <v>84</v>
      </c>
      <c r="AC115" s="775" t="s">
        <v>1068</v>
      </c>
      <c r="AD115" s="213"/>
      <c r="AE115" s="60" t="str">
        <f t="shared" si="26"/>
        <v>A3</v>
      </c>
      <c r="AF115" s="60"/>
      <c r="AG115" s="60"/>
      <c r="AH115" s="542"/>
      <c r="AI115" s="542"/>
      <c r="AK115" s="589"/>
      <c r="AL115" s="589"/>
      <c r="AM115" s="589"/>
      <c r="AN115" s="589"/>
      <c r="AO115" s="589"/>
      <c r="AP115" s="589"/>
      <c r="AQ115" s="589"/>
      <c r="AR115" s="589"/>
      <c r="AS115" s="589"/>
      <c r="AT115" s="589"/>
      <c r="AU115" s="589"/>
      <c r="AV115" s="589"/>
      <c r="AW115" s="589"/>
      <c r="AX115" s="589"/>
      <c r="AY115" s="589"/>
      <c r="AZ115" s="589"/>
      <c r="BA115" s="589"/>
      <c r="BB115" s="589"/>
      <c r="BD115" s="60" t="s">
        <v>876</v>
      </c>
      <c r="BE115" s="60" t="s">
        <v>867</v>
      </c>
    </row>
    <row r="116" spans="1:59" s="57" customFormat="1" ht="31.5" customHeight="1" x14ac:dyDescent="0.25">
      <c r="A116" s="63">
        <f>IF(D116="","",SUBTOTAL(3,$D$8:D116))</f>
        <v>89</v>
      </c>
      <c r="B116" s="63" t="s">
        <v>16</v>
      </c>
      <c r="C116" s="259" t="s">
        <v>176</v>
      </c>
      <c r="D116" s="562" t="s">
        <v>177</v>
      </c>
      <c r="E116" s="652"/>
      <c r="F116" s="652"/>
      <c r="G116" s="282" t="str">
        <f t="shared" si="37"/>
        <v>A3</v>
      </c>
      <c r="H116" s="234"/>
      <c r="I116" s="234"/>
      <c r="J116" s="737" t="s">
        <v>954</v>
      </c>
      <c r="K116" s="234"/>
      <c r="L116" s="289" t="s">
        <v>85</v>
      </c>
      <c r="M116" s="1142"/>
      <c r="N116" s="291">
        <f>IFERROR(VLOOKUP($D116,'P.QT-DV'!$C$10:$AH$37,14,0),0)</f>
        <v>3</v>
      </c>
      <c r="O116" s="291">
        <f>IFERROR(VLOOKUP($D116,'P.QT-DV'!$C$10:$AH$37,31,0),0)</f>
        <v>1</v>
      </c>
      <c r="P116" s="313" t="str">
        <f t="shared" si="42"/>
        <v>A3</v>
      </c>
      <c r="Q116" s="341" t="str">
        <f t="shared" ref="Q116:Q118" si="43">P116</f>
        <v>A3</v>
      </c>
      <c r="R116" s="317"/>
      <c r="S116" s="663"/>
      <c r="T116" s="663"/>
      <c r="U116" s="176" t="str">
        <f t="shared" si="39"/>
        <v>A3</v>
      </c>
      <c r="V116" s="180">
        <f>R116</f>
        <v>0</v>
      </c>
      <c r="W116" s="330">
        <f>IFERROR(VLOOKUP($D116,'P.QT-DV'!$C$10:$AH$37,15,0),0)</f>
        <v>3</v>
      </c>
      <c r="X116" s="330">
        <f>IFERROR(VLOOKUP($D116,'P.QT-DV'!$C$10:$AH$37,32,0),0)</f>
        <v>1</v>
      </c>
      <c r="Y116" s="1125"/>
      <c r="Z116" s="2"/>
      <c r="AA116" s="2"/>
      <c r="AB116" s="843"/>
      <c r="AC116" s="775"/>
      <c r="AD116" s="213"/>
      <c r="AE116" s="60" t="str">
        <f t="shared" si="26"/>
        <v>A3</v>
      </c>
      <c r="AF116" s="60"/>
      <c r="AG116" s="60"/>
      <c r="AH116" s="542"/>
      <c r="AI116" s="542"/>
      <c r="AK116" s="589"/>
      <c r="AL116" s="589"/>
      <c r="AM116" s="589"/>
      <c r="AN116" s="589"/>
      <c r="AO116" s="589"/>
      <c r="AP116" s="589"/>
      <c r="AQ116" s="589"/>
      <c r="AR116" s="589"/>
      <c r="AS116" s="589"/>
      <c r="AT116" s="589"/>
      <c r="AU116" s="589"/>
      <c r="AV116" s="589"/>
      <c r="AW116" s="589"/>
      <c r="AX116" s="589"/>
      <c r="AY116" s="589"/>
      <c r="AZ116" s="589"/>
      <c r="BA116" s="589"/>
      <c r="BB116" s="589"/>
      <c r="BD116" s="60" t="s">
        <v>876</v>
      </c>
      <c r="BE116" s="60" t="s">
        <v>867</v>
      </c>
    </row>
    <row r="117" spans="1:59" s="57" customFormat="1" ht="42.75" customHeight="1" x14ac:dyDescent="0.25">
      <c r="A117" s="63">
        <f>IF(D117="","",SUBTOTAL(3,$D$8:D117))</f>
        <v>90</v>
      </c>
      <c r="B117" s="63" t="s">
        <v>19</v>
      </c>
      <c r="C117" s="259" t="s">
        <v>182</v>
      </c>
      <c r="D117" s="562" t="s">
        <v>183</v>
      </c>
      <c r="E117" s="652"/>
      <c r="F117" s="652"/>
      <c r="G117" s="282" t="str">
        <f t="shared" si="37"/>
        <v>A3</v>
      </c>
      <c r="H117" s="234"/>
      <c r="I117" s="234"/>
      <c r="J117" s="737" t="s">
        <v>954</v>
      </c>
      <c r="K117" s="234"/>
      <c r="L117" s="289" t="s">
        <v>85</v>
      </c>
      <c r="M117" s="1146"/>
      <c r="N117" s="291">
        <f>IFERROR(VLOOKUP($D117,'P.QT-DV'!$C$10:$AH$37,14,0),0)</f>
        <v>3</v>
      </c>
      <c r="O117" s="291">
        <f>IFERROR(VLOOKUP($D117,'P.QT-DV'!$C$10:$AH$37,31,0),0)</f>
        <v>1</v>
      </c>
      <c r="P117" s="313" t="str">
        <f t="shared" si="42"/>
        <v>A3</v>
      </c>
      <c r="Q117" s="1196" t="s">
        <v>84</v>
      </c>
      <c r="R117" s="317"/>
      <c r="S117" s="663"/>
      <c r="T117" s="663"/>
      <c r="U117" s="176" t="str">
        <f t="shared" si="39"/>
        <v>A2</v>
      </c>
      <c r="V117" s="178"/>
      <c r="W117" s="330">
        <f>IFERROR(VLOOKUP($D117,'P.QT-DV'!$C$10:$AH$37,15,0),0)</f>
        <v>3</v>
      </c>
      <c r="X117" s="330">
        <f>IFERROR(VLOOKUP($D117,'P.QT-DV'!$C$10:$AH$37,32,0),0)</f>
        <v>1</v>
      </c>
      <c r="Y117" s="1125"/>
      <c r="Z117" s="857"/>
      <c r="AA117" s="859"/>
      <c r="AB117" s="843" t="s">
        <v>84</v>
      </c>
      <c r="AC117" s="775" t="s">
        <v>1068</v>
      </c>
      <c r="AD117" s="213"/>
      <c r="AE117" s="60" t="str">
        <f t="shared" si="26"/>
        <v>A3</v>
      </c>
      <c r="AF117" s="60"/>
      <c r="AG117" s="60"/>
      <c r="AH117" s="542"/>
      <c r="AI117" s="542"/>
      <c r="AK117" s="589"/>
      <c r="AL117" s="589"/>
      <c r="AM117" s="589"/>
      <c r="AN117" s="589"/>
      <c r="AO117" s="589"/>
      <c r="AP117" s="589"/>
      <c r="AQ117" s="589"/>
      <c r="AR117" s="589"/>
      <c r="AS117" s="589"/>
      <c r="AT117" s="589"/>
      <c r="AU117" s="589"/>
      <c r="AV117" s="589"/>
      <c r="AW117" s="589"/>
      <c r="AX117" s="589"/>
      <c r="AY117" s="589"/>
      <c r="AZ117" s="589"/>
      <c r="BA117" s="589"/>
      <c r="BB117" s="589"/>
      <c r="BD117" s="60" t="s">
        <v>876</v>
      </c>
      <c r="BE117" s="60" t="s">
        <v>867</v>
      </c>
    </row>
    <row r="118" spans="1:59" s="57" customFormat="1" ht="33" customHeight="1" x14ac:dyDescent="0.25">
      <c r="A118" s="63">
        <f>IF(D118="","",SUBTOTAL(3,$D$8:D118))</f>
        <v>91</v>
      </c>
      <c r="B118" s="63" t="s">
        <v>23</v>
      </c>
      <c r="C118" s="563" t="s">
        <v>185</v>
      </c>
      <c r="D118" s="561" t="s">
        <v>186</v>
      </c>
      <c r="E118" s="652"/>
      <c r="F118" s="652"/>
      <c r="G118" s="282" t="str">
        <f t="shared" si="37"/>
        <v>A4</v>
      </c>
      <c r="H118" s="234"/>
      <c r="I118" s="234"/>
      <c r="J118" s="234"/>
      <c r="K118" s="234"/>
      <c r="L118" s="289" t="s">
        <v>83</v>
      </c>
      <c r="M118" s="1142"/>
      <c r="N118" s="291">
        <f>IFERROR(VLOOKUP($D118,'P.QT-DV'!$C$10:$AH$37,14,0),0)</f>
        <v>0</v>
      </c>
      <c r="O118" s="291">
        <f>IFERROR(VLOOKUP($D118,'P.QT-DV'!$C$10:$AH$37,31,0),0)</f>
        <v>1</v>
      </c>
      <c r="P118" s="313" t="str">
        <f t="shared" si="42"/>
        <v>A4</v>
      </c>
      <c r="Q118" s="341" t="str">
        <f t="shared" si="43"/>
        <v>A4</v>
      </c>
      <c r="R118" s="326"/>
      <c r="S118" s="673"/>
      <c r="T118" s="673"/>
      <c r="U118" s="176" t="str">
        <f t="shared" si="39"/>
        <v>A4</v>
      </c>
      <c r="V118" s="179"/>
      <c r="W118" s="330">
        <f>IFERROR(VLOOKUP($D118,'P.QT-DV'!$C$10:$AH$37,15,0),0)</f>
        <v>0</v>
      </c>
      <c r="X118" s="330">
        <f>IFERROR(VLOOKUP($D118,'P.QT-DV'!$C$10:$AH$37,32,0),0)</f>
        <v>1</v>
      </c>
      <c r="Y118" s="1125"/>
      <c r="Z118" s="68"/>
      <c r="AA118" s="2"/>
      <c r="AB118" s="843"/>
      <c r="AC118" s="775"/>
      <c r="AD118" s="213"/>
      <c r="AE118" s="60" t="str">
        <f t="shared" si="26"/>
        <v>A4</v>
      </c>
      <c r="AF118" s="60"/>
      <c r="AG118" s="60"/>
      <c r="AH118" s="542"/>
      <c r="AI118" s="542"/>
      <c r="AK118" s="589"/>
      <c r="AL118" s="589"/>
      <c r="AM118" s="589"/>
      <c r="AN118" s="589"/>
      <c r="AO118" s="589"/>
      <c r="AP118" s="589"/>
      <c r="AQ118" s="589"/>
      <c r="AR118" s="589"/>
      <c r="AS118" s="589"/>
      <c r="AT118" s="589"/>
      <c r="AU118" s="589"/>
      <c r="AV118" s="589"/>
      <c r="AW118" s="589"/>
      <c r="AX118" s="589"/>
      <c r="AY118" s="589"/>
      <c r="AZ118" s="589"/>
      <c r="BA118" s="589"/>
      <c r="BB118" s="589"/>
      <c r="BD118" s="60" t="s">
        <v>876</v>
      </c>
      <c r="BE118" s="60" t="s">
        <v>867</v>
      </c>
    </row>
    <row r="119" spans="1:59" ht="33.75" customHeight="1" x14ac:dyDescent="0.25">
      <c r="A119" s="65" t="s">
        <v>51</v>
      </c>
      <c r="B119" s="65" t="s">
        <v>51</v>
      </c>
      <c r="C119" s="66" t="s">
        <v>48</v>
      </c>
      <c r="D119" s="65"/>
      <c r="E119" s="652"/>
      <c r="F119" s="652"/>
      <c r="G119" s="280">
        <f>COUNTA($L120:$L136)</f>
        <v>17</v>
      </c>
      <c r="H119" s="234"/>
      <c r="I119" s="234"/>
      <c r="J119" s="234"/>
      <c r="K119" s="234"/>
      <c r="L119" s="753">
        <f>COUNTA($L120:$L136)</f>
        <v>17</v>
      </c>
      <c r="M119" s="286" t="str">
        <f xml:space="preserve"> (COUNTIF($L120:$L136, "A1") &amp; "A1")&amp;" + "&amp; (COUNTIF($L120:$L136, "A2") &amp; "A2")&amp;" + "&amp; (COUNTIF($L120:$L136, "A3") &amp; "A3")&amp;" + "&amp; (COUNTIF($L120:$L136, "A4") &amp; "A4")&amp;" + "&amp; (COUNTIF($L120:$L136, "A DN") &amp; "A DN")</f>
        <v>0A1 + 2A2 + 2A3 + 12A4 + 0A DN</v>
      </c>
      <c r="N119" s="297"/>
      <c r="O119" s="297"/>
      <c r="P119" s="311">
        <f>COUNTA($Q120:$Q136)</f>
        <v>17</v>
      </c>
      <c r="Q119" s="340">
        <f>COUNTA($Q120:$Q136)</f>
        <v>17</v>
      </c>
      <c r="R119" s="312" t="str">
        <f xml:space="preserve"> (COUNTIF($Q120:$Q136, "A1") &amp; "A1")&amp;" + "&amp; (COUNTIF($Q120:$Q136, "A2") &amp; "A2")&amp;" + "&amp; (COUNTIF($Q120:$Q136, "A3") &amp; "A3")&amp;" + "&amp; (COUNTIF($Q120:$Q136, "A4") &amp; "A4")&amp;" + "&amp; (COUNTIF($Q120:$Q136, "A DN") &amp; "A DN")</f>
        <v>2A1 + 1A2 + 8A3 + 5A4 + 0A DN</v>
      </c>
      <c r="S119" s="661"/>
      <c r="T119" s="661"/>
      <c r="U119" s="174">
        <f>COUNTA($U120:$U136)</f>
        <v>17</v>
      </c>
      <c r="V119" s="175" t="str">
        <f xml:space="preserve"> (COUNTIF($U120:$U136, "A1") &amp; "A1")&amp;" + "&amp; (COUNTIF($U120:$U136, "A2") &amp; "A2")&amp;" + "&amp; (COUNTIF($U120:$U136, "A3") &amp; "A3")&amp;" + "&amp; (COUNTIF($U120:$U136, "A4") &amp; "A4")&amp;" + "&amp; (COUNTIF($U120:$U136, "A DN") &amp; "A DN")</f>
        <v>2A1 + 1A2 + 8A3 + 5A4 + 0A DN</v>
      </c>
      <c r="W119" s="321"/>
      <c r="X119" s="321"/>
      <c r="Y119" s="699"/>
      <c r="Z119" s="95"/>
      <c r="AA119" s="95"/>
      <c r="AB119" s="219"/>
      <c r="AC119" s="836"/>
      <c r="AD119" s="213"/>
      <c r="AE119" s="60"/>
      <c r="AF119" s="60"/>
      <c r="AG119" s="60"/>
      <c r="BF119" s="59"/>
      <c r="BG119" s="59"/>
    </row>
    <row r="120" spans="1:59" s="57" customFormat="1" ht="33.75" customHeight="1" x14ac:dyDescent="0.25">
      <c r="A120" s="63">
        <f>IF(D120="","",SUBTOTAL(3,$D$8:D120))</f>
        <v>92</v>
      </c>
      <c r="B120" s="63" t="s">
        <v>25</v>
      </c>
      <c r="C120" s="79" t="s">
        <v>268</v>
      </c>
      <c r="D120" s="80" t="s">
        <v>189</v>
      </c>
      <c r="E120" s="652"/>
      <c r="F120" s="652"/>
      <c r="G120" s="282" t="str">
        <f t="shared" si="37"/>
        <v>A2</v>
      </c>
      <c r="H120" s="234"/>
      <c r="I120" s="738" t="s">
        <v>1015</v>
      </c>
      <c r="J120" s="334" t="s">
        <v>1010</v>
      </c>
      <c r="K120" s="234"/>
      <c r="L120" s="289" t="s">
        <v>84</v>
      </c>
      <c r="M120" s="305"/>
      <c r="N120" s="291">
        <f>IFERROR(VLOOKUP($D120,'P.QT-DV'!$C$10:$AH$37,14,0),0)</f>
        <v>4</v>
      </c>
      <c r="O120" s="291">
        <f>IFERROR(VLOOKUP($D120,'P.QT-DV'!$C$10:$AH$37,31,0),0)</f>
        <v>4</v>
      </c>
      <c r="P120" s="313" t="str">
        <f t="shared" ref="P120" si="44">IF(AND($W120&gt;=2,$X120&gt;=3,$Y120&gt;=1,H120&lt;&gt;0),"A1",IF(AND($W120&gt;=3,$X120&gt;=1,$Y120&gt;=1,H120&lt;&gt;0),"A1",IF(AND($W120&gt;=2,$X120&gt;=2,$Y120&gt;=1,I120&lt;&gt;0),"A2",IF(AND($W120&gt;=3,$X120&gt;=0,$Y120&gt;=1,I120&lt;&gt;0),"A2",IF(AND(OR($W120&gt;=1,$X120&gt;=2),J120&lt;&gt;0,$Y120&gt;=0),"A3","A4")))))</f>
        <v>A2</v>
      </c>
      <c r="Q120" s="1196" t="s">
        <v>82</v>
      </c>
      <c r="R120" s="317"/>
      <c r="S120" s="664"/>
      <c r="T120" s="664"/>
      <c r="U120" s="176" t="str">
        <f t="shared" si="39"/>
        <v>A1</v>
      </c>
      <c r="V120" s="260"/>
      <c r="W120" s="330">
        <f>IFERROR(VLOOKUP($D120,'P.QT-DV'!$C$10:$AH$37,15,0),0)</f>
        <v>4</v>
      </c>
      <c r="X120" s="330">
        <f>IFERROR(VLOOKUP($D120,'P.QT-DV'!$C$10:$AH$37,32,0),0)</f>
        <v>4</v>
      </c>
      <c r="Y120" s="733">
        <v>1</v>
      </c>
      <c r="Z120" s="261"/>
      <c r="AA120" s="261"/>
      <c r="AB120" s="843" t="s">
        <v>82</v>
      </c>
      <c r="AC120" s="775" t="s">
        <v>1068</v>
      </c>
      <c r="AD120" s="1065"/>
      <c r="AE120" s="60" t="str">
        <f t="shared" si="26"/>
        <v>A2</v>
      </c>
      <c r="AF120" s="60"/>
      <c r="AG120" s="60"/>
      <c r="AH120" s="542"/>
      <c r="AI120" s="542"/>
      <c r="AK120" s="589"/>
      <c r="AL120" s="589"/>
      <c r="AM120" s="589"/>
      <c r="AN120" s="589"/>
      <c r="AO120" s="589"/>
      <c r="AP120" s="589"/>
      <c r="AQ120" s="589"/>
      <c r="AR120" s="589"/>
      <c r="AS120" s="589"/>
      <c r="AT120" s="589"/>
      <c r="AU120" s="589"/>
      <c r="AV120" s="589"/>
      <c r="AW120" s="589"/>
      <c r="AX120" s="589"/>
      <c r="AY120" s="589"/>
      <c r="AZ120" s="589"/>
      <c r="BA120" s="589"/>
      <c r="BB120" s="589"/>
      <c r="BD120" s="60" t="s">
        <v>876</v>
      </c>
      <c r="BE120" s="60" t="s">
        <v>867</v>
      </c>
    </row>
    <row r="121" spans="1:59" s="70" customFormat="1" ht="33.75" customHeight="1" x14ac:dyDescent="0.25">
      <c r="A121" s="63">
        <f>IF(D121="","",SUBTOTAL(3,$D$8:D121))</f>
        <v>93</v>
      </c>
      <c r="B121" s="63" t="s">
        <v>26</v>
      </c>
      <c r="C121" s="79" t="s">
        <v>190</v>
      </c>
      <c r="D121" s="80" t="s">
        <v>191</v>
      </c>
      <c r="E121" s="652"/>
      <c r="F121" s="652"/>
      <c r="G121" s="282" t="str">
        <f t="shared" si="37"/>
        <v>A2</v>
      </c>
      <c r="H121" s="234"/>
      <c r="I121" s="737" t="s">
        <v>955</v>
      </c>
      <c r="J121" s="737" t="s">
        <v>954</v>
      </c>
      <c r="K121" s="234"/>
      <c r="L121" s="289" t="s">
        <v>84</v>
      </c>
      <c r="M121" s="297"/>
      <c r="N121" s="291">
        <f>IFERROR(VLOOKUP($D121,'P.QT-DV'!$C$10:$AH$37,14,0),0)</f>
        <v>4</v>
      </c>
      <c r="O121" s="291">
        <f>IFERROR(VLOOKUP($D121,'P.QT-DV'!$C$10:$AH$37,31,0),0)</f>
        <v>1</v>
      </c>
      <c r="P121" s="313" t="str">
        <f t="shared" ref="P121:P136" si="45">IF(AND($W121&gt;=2,$X121&gt;=3,$Y121&gt;=1,H121&lt;&gt;0),"A1",IF(AND($W121&gt;=3,$X121&gt;=1,$Y121&gt;=1,H121&lt;&gt;0),"A1",IF(AND($W121&gt;=2,$X121&gt;=2,$Y121&gt;=1,I121&lt;&gt;0),"A2",IF(AND($W121&gt;=3,$X121&gt;=0,$Y121&gt;=1,I121&lt;&gt;0),"A2",IF(AND(OR($W121&gt;=1,$X121&gt;=2),J121&lt;&gt;0,$Y121&gt;=0),"A3","A4")))))</f>
        <v>A2</v>
      </c>
      <c r="Q121" s="1196" t="s">
        <v>82</v>
      </c>
      <c r="R121" s="317"/>
      <c r="S121" s="664"/>
      <c r="T121" s="664"/>
      <c r="U121" s="176" t="str">
        <f t="shared" si="39"/>
        <v>A1</v>
      </c>
      <c r="V121" s="178"/>
      <c r="W121" s="330">
        <f>IFERROR(VLOOKUP($D121,'P.QT-DV'!$C$10:$AH$37,15,0),0)</f>
        <v>4</v>
      </c>
      <c r="X121" s="330">
        <f>IFERROR(VLOOKUP($D121,'P.QT-DV'!$C$10:$AH$37,32,0),0)</f>
        <v>1</v>
      </c>
      <c r="Y121" s="733">
        <v>1</v>
      </c>
      <c r="Z121" s="3"/>
      <c r="AA121" s="3"/>
      <c r="AB121" s="777" t="s">
        <v>82</v>
      </c>
      <c r="AC121" s="839" t="s">
        <v>1068</v>
      </c>
      <c r="AD121" s="1065"/>
      <c r="AE121" s="60" t="str">
        <f t="shared" si="26"/>
        <v>A2</v>
      </c>
      <c r="AF121" s="60"/>
      <c r="AG121" s="60"/>
      <c r="BD121" s="60" t="s">
        <v>876</v>
      </c>
      <c r="BE121" s="60" t="s">
        <v>867</v>
      </c>
    </row>
    <row r="122" spans="1:59" s="70" customFormat="1" ht="33.75" customHeight="1" x14ac:dyDescent="0.25">
      <c r="A122" s="63">
        <f>IF(D122="","",SUBTOTAL(3,$D$8:D122))</f>
        <v>94</v>
      </c>
      <c r="B122" s="63" t="s">
        <v>28</v>
      </c>
      <c r="C122" s="79" t="s">
        <v>194</v>
      </c>
      <c r="D122" s="80" t="s">
        <v>195</v>
      </c>
      <c r="E122" s="652"/>
      <c r="F122" s="652"/>
      <c r="G122" s="282" t="str">
        <f t="shared" si="37"/>
        <v>A4</v>
      </c>
      <c r="H122" s="234"/>
      <c r="I122" s="234"/>
      <c r="J122" s="234"/>
      <c r="K122" s="234"/>
      <c r="L122" s="289" t="s">
        <v>83</v>
      </c>
      <c r="M122" s="292"/>
      <c r="N122" s="291">
        <f>IFERROR(VLOOKUP($D122,'P.QT-DV'!$C$10:$AH$37,14,0),0)</f>
        <v>4</v>
      </c>
      <c r="O122" s="291">
        <f>IFERROR(VLOOKUP($D122,'P.QT-DV'!$C$10:$AH$37,31,0),0)</f>
        <v>4</v>
      </c>
      <c r="P122" s="313" t="str">
        <f t="shared" si="45"/>
        <v>A4</v>
      </c>
      <c r="Q122" s="1196" t="s">
        <v>85</v>
      </c>
      <c r="R122" s="319"/>
      <c r="S122" s="672"/>
      <c r="T122" s="672"/>
      <c r="U122" s="176" t="str">
        <f t="shared" si="39"/>
        <v>A3</v>
      </c>
      <c r="V122" s="180"/>
      <c r="W122" s="330">
        <f>IFERROR(VLOOKUP($D122,'P.QT-DV'!$C$10:$AH$37,15,0),0)</f>
        <v>4</v>
      </c>
      <c r="X122" s="330">
        <f>IFERROR(VLOOKUP($D122,'P.QT-DV'!$C$10:$AH$37,32,0),0)</f>
        <v>4</v>
      </c>
      <c r="Y122" s="700"/>
      <c r="Z122" s="119"/>
      <c r="AA122" s="3"/>
      <c r="AB122" s="777" t="s">
        <v>85</v>
      </c>
      <c r="AC122" s="839" t="s">
        <v>1068</v>
      </c>
      <c r="AD122" s="213"/>
      <c r="AE122" s="60" t="str">
        <f t="shared" si="26"/>
        <v>A4</v>
      </c>
      <c r="AF122" s="60"/>
      <c r="AG122" s="60"/>
      <c r="BD122" s="60" t="s">
        <v>876</v>
      </c>
      <c r="BE122" s="60" t="s">
        <v>867</v>
      </c>
    </row>
    <row r="123" spans="1:59" s="70" customFormat="1" ht="33.75" customHeight="1" x14ac:dyDescent="0.25">
      <c r="A123" s="63">
        <f>IF(D123="","",SUBTOTAL(3,$D$8:D123))</f>
        <v>95</v>
      </c>
      <c r="B123" s="63" t="s">
        <v>31</v>
      </c>
      <c r="C123" s="79" t="s">
        <v>196</v>
      </c>
      <c r="D123" s="80" t="s">
        <v>197</v>
      </c>
      <c r="E123" s="652"/>
      <c r="F123" s="652"/>
      <c r="G123" s="282" t="str">
        <f t="shared" si="37"/>
        <v>A4</v>
      </c>
      <c r="H123" s="234"/>
      <c r="I123" s="234"/>
      <c r="J123" s="234"/>
      <c r="K123" s="234"/>
      <c r="L123" s="289" t="s">
        <v>83</v>
      </c>
      <c r="M123" s="764"/>
      <c r="N123" s="291">
        <f>IFERROR(VLOOKUP($D123,'P.QT-DV'!$C$10:$AH$37,14,0),0)</f>
        <v>4</v>
      </c>
      <c r="O123" s="291">
        <f>IFERROR(VLOOKUP($D123,'P.QT-DV'!$C$10:$AH$37,31,0),0)</f>
        <v>4</v>
      </c>
      <c r="P123" s="313" t="str">
        <f t="shared" si="45"/>
        <v>A4</v>
      </c>
      <c r="Q123" s="1196" t="s">
        <v>85</v>
      </c>
      <c r="R123" s="319"/>
      <c r="S123" s="673"/>
      <c r="T123" s="673"/>
      <c r="U123" s="176" t="str">
        <f t="shared" si="39"/>
        <v>A3</v>
      </c>
      <c r="V123" s="180"/>
      <c r="W123" s="330">
        <f>IFERROR(VLOOKUP($D123,'P.QT-DV'!$C$10:$AH$37,15,0),0)</f>
        <v>4</v>
      </c>
      <c r="X123" s="330">
        <f>IFERROR(VLOOKUP($D123,'P.QT-DV'!$C$10:$AH$37,32,0),0)</f>
        <v>4</v>
      </c>
      <c r="Y123" s="700"/>
      <c r="Z123" s="68"/>
      <c r="AA123" s="3"/>
      <c r="AB123" s="777" t="s">
        <v>85</v>
      </c>
      <c r="AC123" s="839" t="s">
        <v>1068</v>
      </c>
      <c r="AD123" s="213"/>
      <c r="AE123" s="60" t="str">
        <f t="shared" si="26"/>
        <v>A4</v>
      </c>
      <c r="AF123" s="60"/>
      <c r="AG123" s="60"/>
      <c r="BD123" s="60" t="s">
        <v>876</v>
      </c>
      <c r="BE123" s="60" t="s">
        <v>867</v>
      </c>
    </row>
    <row r="124" spans="1:59" s="57" customFormat="1" ht="33.75" customHeight="1" x14ac:dyDescent="0.25">
      <c r="A124" s="63">
        <f>IF(D124="","",SUBTOTAL(3,$D$8:D124))</f>
        <v>96</v>
      </c>
      <c r="B124" s="63" t="s">
        <v>32</v>
      </c>
      <c r="C124" s="79" t="s">
        <v>198</v>
      </c>
      <c r="D124" s="80" t="s">
        <v>199</v>
      </c>
      <c r="E124" s="652"/>
      <c r="F124" s="652"/>
      <c r="G124" s="282" t="str">
        <f t="shared" si="37"/>
        <v>A4</v>
      </c>
      <c r="H124" s="234"/>
      <c r="I124" s="234"/>
      <c r="J124" s="234"/>
      <c r="K124" s="234"/>
      <c r="L124" s="289" t="s">
        <v>83</v>
      </c>
      <c r="M124" s="292"/>
      <c r="N124" s="291">
        <f>IFERROR(VLOOKUP($D124,'P.QT-DV'!$C$10:$AH$37,14,0),0)</f>
        <v>4</v>
      </c>
      <c r="O124" s="291">
        <f>IFERROR(VLOOKUP($D124,'P.QT-DV'!$C$10:$AH$37,31,0),0)</f>
        <v>4</v>
      </c>
      <c r="P124" s="313" t="str">
        <f t="shared" si="45"/>
        <v>A4</v>
      </c>
      <c r="Q124" s="1196" t="s">
        <v>85</v>
      </c>
      <c r="R124" s="319"/>
      <c r="S124" s="673"/>
      <c r="T124" s="673"/>
      <c r="U124" s="176" t="str">
        <f t="shared" si="39"/>
        <v>A3</v>
      </c>
      <c r="V124" s="180"/>
      <c r="W124" s="330">
        <f>IFERROR(VLOOKUP($D124,'P.QT-DV'!$C$10:$AH$37,15,0),0)</f>
        <v>4</v>
      </c>
      <c r="X124" s="330">
        <f>IFERROR(VLOOKUP($D124,'P.QT-DV'!$C$10:$AH$37,32,0),0)</f>
        <v>4</v>
      </c>
      <c r="Y124" s="700"/>
      <c r="Z124" s="68"/>
      <c r="AA124" s="3"/>
      <c r="AB124" s="777" t="s">
        <v>85</v>
      </c>
      <c r="AC124" s="839" t="s">
        <v>1068</v>
      </c>
      <c r="AD124" s="1065"/>
      <c r="AE124" s="60" t="str">
        <f t="shared" si="26"/>
        <v>A4</v>
      </c>
      <c r="AF124" s="60"/>
      <c r="AG124" s="60"/>
      <c r="AH124" s="542"/>
      <c r="AI124" s="542"/>
      <c r="AK124" s="589"/>
      <c r="AL124" s="589"/>
      <c r="AM124" s="589"/>
      <c r="AN124" s="589"/>
      <c r="AO124" s="589"/>
      <c r="AP124" s="589"/>
      <c r="AQ124" s="589"/>
      <c r="AR124" s="589"/>
      <c r="AS124" s="589"/>
      <c r="AT124" s="589"/>
      <c r="AU124" s="589"/>
      <c r="AV124" s="589"/>
      <c r="AW124" s="589"/>
      <c r="AX124" s="589"/>
      <c r="AY124" s="589"/>
      <c r="AZ124" s="589"/>
      <c r="BA124" s="589"/>
      <c r="BB124" s="589"/>
      <c r="BD124" s="60" t="s">
        <v>876</v>
      </c>
      <c r="BE124" s="60" t="s">
        <v>867</v>
      </c>
    </row>
    <row r="125" spans="1:59" s="57" customFormat="1" ht="33.75" customHeight="1" x14ac:dyDescent="0.25">
      <c r="A125" s="63">
        <f>IF(D125="","",SUBTOTAL(3,$D$8:D125))</f>
        <v>97</v>
      </c>
      <c r="B125" s="63" t="s">
        <v>33</v>
      </c>
      <c r="C125" s="10" t="s">
        <v>200</v>
      </c>
      <c r="D125" s="80" t="s">
        <v>201</v>
      </c>
      <c r="E125" s="652"/>
      <c r="F125" s="652"/>
      <c r="G125" s="282" t="str">
        <f t="shared" si="37"/>
        <v>A4</v>
      </c>
      <c r="H125" s="234"/>
      <c r="I125" s="234"/>
      <c r="J125" s="234"/>
      <c r="K125" s="234"/>
      <c r="L125" s="289" t="s">
        <v>83</v>
      </c>
      <c r="M125" s="292"/>
      <c r="N125" s="291">
        <f>IFERROR(VLOOKUP($D125,'P.QT-DV'!$C$10:$AH$37,14,0),0)</f>
        <v>4</v>
      </c>
      <c r="O125" s="291">
        <f>IFERROR(VLOOKUP($D125,'P.QT-DV'!$C$10:$AH$37,31,0),0)</f>
        <v>4</v>
      </c>
      <c r="P125" s="313" t="str">
        <f t="shared" si="45"/>
        <v>A4</v>
      </c>
      <c r="Q125" s="1196" t="s">
        <v>85</v>
      </c>
      <c r="R125" s="326"/>
      <c r="S125" s="673"/>
      <c r="T125" s="673"/>
      <c r="U125" s="176" t="str">
        <f t="shared" si="39"/>
        <v>A3</v>
      </c>
      <c r="V125" s="180"/>
      <c r="W125" s="330">
        <f>IFERROR(VLOOKUP($D125,'P.QT-DV'!$C$10:$AH$37,15,0),0)</f>
        <v>4</v>
      </c>
      <c r="X125" s="330">
        <f>IFERROR(VLOOKUP($D125,'P.QT-DV'!$C$10:$AH$37,32,0),0)</f>
        <v>4</v>
      </c>
      <c r="Y125" s="700"/>
      <c r="Z125" s="3"/>
      <c r="AA125" s="3"/>
      <c r="AB125" s="777" t="s">
        <v>85</v>
      </c>
      <c r="AC125" s="839" t="s">
        <v>1068</v>
      </c>
      <c r="AD125" s="1065"/>
      <c r="AE125" s="60" t="str">
        <f t="shared" si="26"/>
        <v>A4</v>
      </c>
      <c r="AF125" s="60"/>
      <c r="AG125" s="60"/>
      <c r="AH125" s="542"/>
      <c r="AI125" s="542"/>
      <c r="AK125" s="589"/>
      <c r="AL125" s="589"/>
      <c r="AM125" s="589"/>
      <c r="AN125" s="589"/>
      <c r="AO125" s="589"/>
      <c r="AP125" s="589"/>
      <c r="AQ125" s="589"/>
      <c r="AR125" s="589"/>
      <c r="AS125" s="589"/>
      <c r="AT125" s="589"/>
      <c r="AU125" s="589"/>
      <c r="AV125" s="589"/>
      <c r="AW125" s="589"/>
      <c r="AX125" s="589"/>
      <c r="AY125" s="589"/>
      <c r="AZ125" s="589"/>
      <c r="BA125" s="589"/>
      <c r="BB125" s="589"/>
      <c r="BD125" s="60" t="s">
        <v>876</v>
      </c>
      <c r="BE125" s="60" t="s">
        <v>867</v>
      </c>
    </row>
    <row r="126" spans="1:59" s="57" customFormat="1" ht="30" customHeight="1" x14ac:dyDescent="0.25">
      <c r="A126" s="63">
        <f>IF(D126="","",SUBTOTAL(3,$D$8:D126))</f>
        <v>98</v>
      </c>
      <c r="B126" s="63" t="s">
        <v>34</v>
      </c>
      <c r="C126" s="10" t="s">
        <v>618</v>
      </c>
      <c r="D126" s="80" t="s">
        <v>202</v>
      </c>
      <c r="E126" s="652"/>
      <c r="F126" s="652"/>
      <c r="G126" s="282" t="str">
        <f t="shared" si="37"/>
        <v>A3</v>
      </c>
      <c r="H126" s="234"/>
      <c r="I126" s="234"/>
      <c r="J126" s="737" t="s">
        <v>954</v>
      </c>
      <c r="K126" s="234"/>
      <c r="L126" s="289" t="s">
        <v>85</v>
      </c>
      <c r="M126" s="295"/>
      <c r="N126" s="291">
        <f>IFERROR(VLOOKUP($D126,'P.QT-DV'!$C$10:$AH$37,14,0),0)</f>
        <v>4</v>
      </c>
      <c r="O126" s="291">
        <f>IFERROR(VLOOKUP($D126,'P.QT-DV'!$C$10:$AH$37,31,0),0)</f>
        <v>0</v>
      </c>
      <c r="P126" s="313" t="str">
        <f t="shared" si="45"/>
        <v>A3</v>
      </c>
      <c r="Q126" s="1196" t="s">
        <v>84</v>
      </c>
      <c r="R126" s="317"/>
      <c r="S126" s="663"/>
      <c r="T126" s="663"/>
      <c r="U126" s="176" t="str">
        <f t="shared" si="39"/>
        <v>A2</v>
      </c>
      <c r="V126" s="178"/>
      <c r="W126" s="330">
        <f>IFERROR(VLOOKUP($D126,'P.QT-DV'!$C$10:$AH$37,15,0),0)</f>
        <v>4</v>
      </c>
      <c r="X126" s="330">
        <f>IFERROR(VLOOKUP($D126,'P.QT-DV'!$C$10:$AH$37,32,0),0)</f>
        <v>0</v>
      </c>
      <c r="Y126" s="700"/>
      <c r="Z126" s="857"/>
      <c r="AA126" s="859"/>
      <c r="AB126" s="777" t="s">
        <v>84</v>
      </c>
      <c r="AC126" s="839" t="s">
        <v>1068</v>
      </c>
      <c r="AD126" s="790"/>
      <c r="AE126" s="60" t="str">
        <f t="shared" si="26"/>
        <v>A3</v>
      </c>
      <c r="AF126" s="60"/>
      <c r="AG126" s="60"/>
      <c r="AH126" s="542"/>
      <c r="AI126" s="542"/>
      <c r="AK126" s="589"/>
      <c r="AL126" s="589"/>
      <c r="AM126" s="589"/>
      <c r="AN126" s="589"/>
      <c r="AO126" s="589"/>
      <c r="AP126" s="589"/>
      <c r="AQ126" s="589"/>
      <c r="AR126" s="589"/>
      <c r="AS126" s="589"/>
      <c r="AT126" s="589"/>
      <c r="AU126" s="589"/>
      <c r="AV126" s="589"/>
      <c r="AW126" s="589"/>
      <c r="AX126" s="589"/>
      <c r="AY126" s="589"/>
      <c r="AZ126" s="589"/>
      <c r="BA126" s="589"/>
      <c r="BB126" s="589"/>
      <c r="BD126" s="60" t="s">
        <v>876</v>
      </c>
      <c r="BE126" s="60" t="s">
        <v>867</v>
      </c>
    </row>
    <row r="127" spans="1:59" s="60" customFormat="1" ht="30" customHeight="1" x14ac:dyDescent="0.25">
      <c r="A127" s="63">
        <f>IF(D127="","",SUBTOTAL(3,$D$8:D127))</f>
        <v>99</v>
      </c>
      <c r="B127" s="63" t="s">
        <v>35</v>
      </c>
      <c r="C127" s="150" t="s">
        <v>203</v>
      </c>
      <c r="D127" s="80" t="s">
        <v>204</v>
      </c>
      <c r="E127" s="652"/>
      <c r="F127" s="652"/>
      <c r="G127" s="282" t="str">
        <f t="shared" si="37"/>
        <v>A3</v>
      </c>
      <c r="H127" s="234"/>
      <c r="I127" s="234"/>
      <c r="J127" s="737" t="s">
        <v>954</v>
      </c>
      <c r="K127" s="234"/>
      <c r="L127" s="289" t="s">
        <v>85</v>
      </c>
      <c r="M127" s="297"/>
      <c r="N127" s="291">
        <f>IFERROR(VLOOKUP($D127,'P.QT-DV'!$C$10:$AH$37,14,0),0)</f>
        <v>2</v>
      </c>
      <c r="O127" s="291">
        <f>IFERROR(VLOOKUP($D127,'P.QT-DV'!$C$10:$AH$37,31,0),0)</f>
        <v>0</v>
      </c>
      <c r="P127" s="313" t="str">
        <f t="shared" si="45"/>
        <v>A3</v>
      </c>
      <c r="Q127" s="341" t="str">
        <f t="shared" ref="Q127:Q134" si="46">P127</f>
        <v>A3</v>
      </c>
      <c r="R127" s="317"/>
      <c r="S127" s="663"/>
      <c r="T127" s="663"/>
      <c r="U127" s="176" t="str">
        <f t="shared" si="39"/>
        <v>A3</v>
      </c>
      <c r="V127" s="178"/>
      <c r="W127" s="330">
        <f>IFERROR(VLOOKUP($D127,'P.QT-DV'!$C$10:$AH$37,15,0),0)</f>
        <v>2</v>
      </c>
      <c r="X127" s="330">
        <f>IFERROR(VLOOKUP($D127,'P.QT-DV'!$C$10:$AH$37,32,0),0)</f>
        <v>0</v>
      </c>
      <c r="Y127" s="700"/>
      <c r="Z127" s="68"/>
      <c r="AA127" s="3"/>
      <c r="AB127" s="777"/>
      <c r="AC127" s="839"/>
      <c r="AD127" s="213"/>
      <c r="AE127" s="60" t="str">
        <f t="shared" si="26"/>
        <v>A3</v>
      </c>
      <c r="BD127" s="60" t="s">
        <v>876</v>
      </c>
      <c r="BE127" s="60" t="s">
        <v>867</v>
      </c>
    </row>
    <row r="128" spans="1:59" s="60" customFormat="1" ht="30" customHeight="1" x14ac:dyDescent="0.25">
      <c r="A128" s="63">
        <f>IF(D128="","",SUBTOTAL(3,$D$8:D128))</f>
        <v>100</v>
      </c>
      <c r="B128" s="63" t="s">
        <v>37</v>
      </c>
      <c r="C128" s="79" t="s">
        <v>206</v>
      </c>
      <c r="D128" s="80" t="s">
        <v>207</v>
      </c>
      <c r="E128" s="652"/>
      <c r="F128" s="652"/>
      <c r="G128" s="282" t="str">
        <f t="shared" si="37"/>
        <v>A4</v>
      </c>
      <c r="H128" s="234"/>
      <c r="I128" s="234"/>
      <c r="J128" s="234"/>
      <c r="K128" s="234"/>
      <c r="L128" s="289" t="s">
        <v>83</v>
      </c>
      <c r="M128" s="297"/>
      <c r="N128" s="291">
        <f>IFERROR(VLOOKUP($D128,'P.QT-DV'!$C$10:$AH$37,14,0),0)</f>
        <v>3</v>
      </c>
      <c r="O128" s="291">
        <f>IFERROR(VLOOKUP($D128,'P.QT-DV'!$C$10:$AH$37,31,0),0)</f>
        <v>1</v>
      </c>
      <c r="P128" s="313" t="str">
        <f t="shared" si="45"/>
        <v>A4</v>
      </c>
      <c r="Q128" s="1196" t="s">
        <v>85</v>
      </c>
      <c r="R128" s="317"/>
      <c r="S128" s="663"/>
      <c r="T128" s="663"/>
      <c r="U128" s="176" t="str">
        <f t="shared" si="39"/>
        <v>A3</v>
      </c>
      <c r="V128" s="178"/>
      <c r="W128" s="330">
        <f>IFERROR(VLOOKUP($D128,'P.QT-DV'!$C$10:$AH$37,15,0),0)</f>
        <v>3</v>
      </c>
      <c r="X128" s="330">
        <f>IFERROR(VLOOKUP($D128,'P.QT-DV'!$C$10:$AH$37,32,0),0)</f>
        <v>1</v>
      </c>
      <c r="Y128" s="700"/>
      <c r="Z128" s="3"/>
      <c r="AA128" s="3"/>
      <c r="AB128" s="777" t="s">
        <v>85</v>
      </c>
      <c r="AC128" s="839" t="s">
        <v>1068</v>
      </c>
      <c r="AD128" s="213"/>
      <c r="AE128" s="60" t="str">
        <f t="shared" si="26"/>
        <v>A4</v>
      </c>
      <c r="BD128" s="60" t="s">
        <v>876</v>
      </c>
      <c r="BE128" s="60" t="s">
        <v>867</v>
      </c>
    </row>
    <row r="129" spans="1:59" s="57" customFormat="1" ht="30" customHeight="1" x14ac:dyDescent="0.25">
      <c r="A129" s="63">
        <f>IF(D129="","",SUBTOTAL(3,$D$8:D129))</f>
        <v>101</v>
      </c>
      <c r="B129" s="63" t="s">
        <v>39</v>
      </c>
      <c r="C129" s="79" t="s">
        <v>208</v>
      </c>
      <c r="D129" s="80" t="s">
        <v>209</v>
      </c>
      <c r="E129" s="652"/>
      <c r="F129" s="652"/>
      <c r="G129" s="282" t="str">
        <f t="shared" si="37"/>
        <v>A4</v>
      </c>
      <c r="H129" s="234"/>
      <c r="I129" s="234"/>
      <c r="J129" s="234"/>
      <c r="K129" s="234"/>
      <c r="L129" s="289" t="s">
        <v>83</v>
      </c>
      <c r="M129" s="1147"/>
      <c r="N129" s="291">
        <f>IFERROR(VLOOKUP($D129,'P.QT-DV'!$C$10:$AH$37,14,0),0)</f>
        <v>0</v>
      </c>
      <c r="O129" s="291">
        <f>IFERROR(VLOOKUP($D129,'P.QT-DV'!$C$10:$AH$37,31,0),0)</f>
        <v>1</v>
      </c>
      <c r="P129" s="313" t="str">
        <f t="shared" si="45"/>
        <v>A4</v>
      </c>
      <c r="Q129" s="341" t="str">
        <f t="shared" si="46"/>
        <v>A4</v>
      </c>
      <c r="R129" s="319"/>
      <c r="S129" s="672"/>
      <c r="T129" s="672"/>
      <c r="U129" s="176" t="str">
        <f t="shared" si="39"/>
        <v>A4</v>
      </c>
      <c r="V129" s="180"/>
      <c r="W129" s="330">
        <f>IFERROR(VLOOKUP($D129,'P.QT-DV'!$C$10:$AH$37,15,0),0)</f>
        <v>0</v>
      </c>
      <c r="X129" s="330">
        <f>IFERROR(VLOOKUP($D129,'P.QT-DV'!$C$10:$AH$37,32,0),0)</f>
        <v>1</v>
      </c>
      <c r="Y129" s="700"/>
      <c r="Z129" s="68"/>
      <c r="AA129" s="3"/>
      <c r="AB129" s="843"/>
      <c r="AC129" s="775"/>
      <c r="AD129" s="213"/>
      <c r="AE129" s="60" t="str">
        <f t="shared" si="26"/>
        <v>A4</v>
      </c>
      <c r="AF129" s="60"/>
      <c r="AG129" s="60"/>
      <c r="AH129" s="542"/>
      <c r="AI129" s="542"/>
      <c r="AK129" s="589"/>
      <c r="AL129" s="589"/>
      <c r="AM129" s="589"/>
      <c r="AN129" s="589"/>
      <c r="AO129" s="589"/>
      <c r="AP129" s="589"/>
      <c r="AQ129" s="589"/>
      <c r="AR129" s="589"/>
      <c r="AS129" s="589"/>
      <c r="AT129" s="589"/>
      <c r="AU129" s="589"/>
      <c r="AV129" s="589"/>
      <c r="AW129" s="589"/>
      <c r="AX129" s="589"/>
      <c r="AY129" s="589"/>
      <c r="AZ129" s="589"/>
      <c r="BA129" s="589"/>
      <c r="BB129" s="589"/>
      <c r="BD129" s="60" t="s">
        <v>876</v>
      </c>
      <c r="BE129" s="60" t="s">
        <v>867</v>
      </c>
    </row>
    <row r="130" spans="1:59" s="57" customFormat="1" ht="29.25" customHeight="1" x14ac:dyDescent="0.25">
      <c r="A130" s="63">
        <f>IF(D130="","",SUBTOTAL(3,$D$8:D130))</f>
        <v>102</v>
      </c>
      <c r="B130" s="63" t="s">
        <v>40</v>
      </c>
      <c r="C130" s="79" t="s">
        <v>620</v>
      </c>
      <c r="D130" s="80" t="s">
        <v>210</v>
      </c>
      <c r="E130" s="652"/>
      <c r="F130" s="652"/>
      <c r="G130" s="282" t="str">
        <f t="shared" si="37"/>
        <v>A4</v>
      </c>
      <c r="H130" s="234"/>
      <c r="I130" s="234"/>
      <c r="J130" s="234"/>
      <c r="K130" s="234"/>
      <c r="L130" s="289" t="s">
        <v>83</v>
      </c>
      <c r="M130" s="1140"/>
      <c r="N130" s="291">
        <f>IFERROR(VLOOKUP($D130,'P.QT-DV'!$C$10:$AH$37,14,0),0)</f>
        <v>0</v>
      </c>
      <c r="O130" s="291">
        <f>IFERROR(VLOOKUP($D130,'P.QT-DV'!$C$10:$AH$37,31,0),0)</f>
        <v>3</v>
      </c>
      <c r="P130" s="313" t="str">
        <f t="shared" si="45"/>
        <v>A4</v>
      </c>
      <c r="Q130" s="341" t="str">
        <f t="shared" si="46"/>
        <v>A4</v>
      </c>
      <c r="R130" s="318"/>
      <c r="S130" s="667"/>
      <c r="T130" s="667"/>
      <c r="U130" s="176" t="str">
        <f t="shared" si="39"/>
        <v>A4</v>
      </c>
      <c r="V130" s="179"/>
      <c r="W130" s="330">
        <f>IFERROR(VLOOKUP($D130,'P.QT-DV'!$C$10:$AH$37,15,0),0)</f>
        <v>0</v>
      </c>
      <c r="X130" s="330">
        <f>IFERROR(VLOOKUP($D130,'P.QT-DV'!$C$10:$AH$37,32,0),0)</f>
        <v>3</v>
      </c>
      <c r="Y130" s="700"/>
      <c r="Z130" s="68"/>
      <c r="AA130" s="68"/>
      <c r="AB130" s="845"/>
      <c r="AC130" s="775"/>
      <c r="AD130" s="790"/>
      <c r="AE130" s="60" t="str">
        <f t="shared" si="26"/>
        <v>A4</v>
      </c>
      <c r="AF130" s="60"/>
      <c r="AG130" s="60"/>
      <c r="AH130" s="542"/>
      <c r="AI130" s="542"/>
      <c r="AK130" s="589"/>
      <c r="AL130" s="589"/>
      <c r="AM130" s="589"/>
      <c r="AN130" s="589"/>
      <c r="AO130" s="589"/>
      <c r="AP130" s="589"/>
      <c r="AQ130" s="589"/>
      <c r="AR130" s="589"/>
      <c r="AS130" s="589"/>
      <c r="AT130" s="589"/>
      <c r="AU130" s="589"/>
      <c r="AV130" s="589"/>
      <c r="AW130" s="589"/>
      <c r="AX130" s="589"/>
      <c r="AY130" s="589"/>
      <c r="AZ130" s="589"/>
      <c r="BA130" s="589"/>
      <c r="BB130" s="589"/>
      <c r="BD130" s="60" t="s">
        <v>876</v>
      </c>
      <c r="BE130" s="60" t="s">
        <v>867</v>
      </c>
    </row>
    <row r="131" spans="1:59" s="57" customFormat="1" ht="39.75" customHeight="1" x14ac:dyDescent="0.25">
      <c r="A131" s="63">
        <f>IF(D131="","",SUBTOTAL(3,$D$8:D131))</f>
        <v>103</v>
      </c>
      <c r="B131" s="63" t="s">
        <v>22</v>
      </c>
      <c r="C131" s="259" t="s">
        <v>184</v>
      </c>
      <c r="D131" s="561" t="s">
        <v>586</v>
      </c>
      <c r="E131" s="652"/>
      <c r="F131" s="652"/>
      <c r="G131" s="282" t="str">
        <f t="shared" si="37"/>
        <v>A4</v>
      </c>
      <c r="H131" s="234"/>
      <c r="I131" s="234"/>
      <c r="J131" s="234"/>
      <c r="K131" s="234"/>
      <c r="L131" s="626" t="s">
        <v>743</v>
      </c>
      <c r="M131" s="1147" t="s">
        <v>1184</v>
      </c>
      <c r="N131" s="291">
        <f>IFERROR(VLOOKUP($D131,'P.QT-DV'!$C$10:$AH$37,14,0),0)</f>
        <v>0</v>
      </c>
      <c r="O131" s="291">
        <f>IFERROR(VLOOKUP($D131,'P.QT-DV'!$C$10:$AH$37,31,0),0)</f>
        <v>0</v>
      </c>
      <c r="P131" s="313" t="str">
        <f>L131</f>
        <v>KXL</v>
      </c>
      <c r="Q131" s="341" t="str">
        <f t="shared" si="46"/>
        <v>KXL</v>
      </c>
      <c r="R131" s="318" t="s">
        <v>1184</v>
      </c>
      <c r="S131" s="667"/>
      <c r="T131" s="667"/>
      <c r="U131" s="176" t="str">
        <f t="shared" si="39"/>
        <v>KXL</v>
      </c>
      <c r="V131" s="179" t="s">
        <v>1184</v>
      </c>
      <c r="W131" s="330">
        <f>IFERROR(VLOOKUP($D131,'P.QT-DV'!$C$10:$AH$37,15,0),0)</f>
        <v>0</v>
      </c>
      <c r="X131" s="330">
        <f>IFERROR(VLOOKUP($D131,'P.QT-DV'!$C$10:$AH$37,32,0),0)</f>
        <v>0</v>
      </c>
      <c r="Y131" s="700"/>
      <c r="Z131" s="261"/>
      <c r="AA131" s="261"/>
      <c r="AB131" s="843"/>
      <c r="AC131" s="775"/>
      <c r="AD131" s="1065"/>
      <c r="AE131" s="60" t="str">
        <f t="shared" si="26"/>
        <v>KXL</v>
      </c>
      <c r="AF131" s="60"/>
      <c r="AG131" s="60"/>
      <c r="AH131" s="542"/>
      <c r="AI131" s="542"/>
      <c r="AK131" s="589"/>
      <c r="AL131" s="589"/>
      <c r="AM131" s="589"/>
      <c r="AN131" s="589"/>
      <c r="AO131" s="589"/>
      <c r="AP131" s="589"/>
      <c r="AQ131" s="589"/>
      <c r="AR131" s="589"/>
      <c r="AS131" s="589"/>
      <c r="AT131" s="589"/>
      <c r="AU131" s="589"/>
      <c r="AV131" s="589"/>
      <c r="AW131" s="589"/>
      <c r="AX131" s="589"/>
      <c r="AY131" s="589"/>
      <c r="AZ131" s="589"/>
      <c r="BA131" s="589"/>
      <c r="BB131" s="589"/>
      <c r="BD131" s="60" t="s">
        <v>876</v>
      </c>
      <c r="BE131" s="60" t="s">
        <v>867</v>
      </c>
    </row>
    <row r="132" spans="1:59" s="70" customFormat="1" ht="31.5" customHeight="1" x14ac:dyDescent="0.25">
      <c r="A132" s="63">
        <f>IF(D132="","",SUBTOTAL(3,$D$8:D132))</f>
        <v>104</v>
      </c>
      <c r="B132" s="63" t="s">
        <v>42</v>
      </c>
      <c r="C132" s="79" t="s">
        <v>745</v>
      </c>
      <c r="D132" s="80" t="s">
        <v>720</v>
      </c>
      <c r="E132" s="652"/>
      <c r="F132" s="652"/>
      <c r="G132" s="282" t="str">
        <f t="shared" si="37"/>
        <v>A4</v>
      </c>
      <c r="H132" s="234"/>
      <c r="I132" s="234"/>
      <c r="J132" s="234"/>
      <c r="K132" s="234"/>
      <c r="L132" s="289" t="s">
        <v>83</v>
      </c>
      <c r="M132" s="292"/>
      <c r="N132" s="291">
        <f>IFERROR(VLOOKUP($D132,'P.QT-DV'!$C$10:$AH$37,14,0),0)</f>
        <v>1</v>
      </c>
      <c r="O132" s="291">
        <f>IFERROR(VLOOKUP($D132,'P.QT-DV'!$C$10:$AH$37,31,0),0)</f>
        <v>0</v>
      </c>
      <c r="P132" s="313" t="str">
        <f t="shared" si="45"/>
        <v>A4</v>
      </c>
      <c r="Q132" s="341" t="str">
        <f t="shared" si="46"/>
        <v>A4</v>
      </c>
      <c r="R132" s="319"/>
      <c r="S132" s="664"/>
      <c r="T132" s="664"/>
      <c r="U132" s="176" t="str">
        <f>$Q132</f>
        <v>A4</v>
      </c>
      <c r="V132" s="180">
        <f>R132</f>
        <v>0</v>
      </c>
      <c r="W132" s="330">
        <f>IFERROR(VLOOKUP($D132,'P.QT-DV'!$C$10:$AH$37,15,0),0)</f>
        <v>1</v>
      </c>
      <c r="X132" s="330">
        <f>IFERROR(VLOOKUP($D132,'P.QT-DV'!$C$10:$AH$37,32,0),0)</f>
        <v>0</v>
      </c>
      <c r="Y132" s="700"/>
      <c r="Z132" s="857"/>
      <c r="AA132" s="859"/>
      <c r="AB132" s="843"/>
      <c r="AC132" s="775"/>
      <c r="AD132" s="213"/>
      <c r="AE132" s="60" t="str">
        <f>IF($L132=$P132,$L132,FALSE)</f>
        <v>A4</v>
      </c>
      <c r="AF132" s="60"/>
      <c r="AG132" s="60"/>
      <c r="BD132" s="60" t="s">
        <v>876</v>
      </c>
      <c r="BE132" s="60" t="s">
        <v>867</v>
      </c>
    </row>
    <row r="133" spans="1:59" s="70" customFormat="1" ht="31.5" customHeight="1" x14ac:dyDescent="0.25">
      <c r="A133" s="63">
        <f>IF(D133="","",SUBTOTAL(3,$D$8:D133))</f>
        <v>105</v>
      </c>
      <c r="B133" s="63" t="s">
        <v>43</v>
      </c>
      <c r="C133" s="79" t="s">
        <v>751</v>
      </c>
      <c r="D133" s="80" t="s">
        <v>752</v>
      </c>
      <c r="E133" s="652"/>
      <c r="F133" s="652"/>
      <c r="G133" s="282" t="str">
        <f t="shared" si="37"/>
        <v>A4</v>
      </c>
      <c r="H133" s="234"/>
      <c r="I133" s="234"/>
      <c r="J133" s="234"/>
      <c r="K133" s="234"/>
      <c r="L133" s="289" t="s">
        <v>83</v>
      </c>
      <c r="M133" s="292"/>
      <c r="N133" s="291">
        <f>IFERROR(VLOOKUP($D133,'P.QT-DV'!$C$10:$AH$37,14,0),0)</f>
        <v>0</v>
      </c>
      <c r="O133" s="291">
        <f>IFERROR(VLOOKUP($D133,'P.QT-DV'!$C$10:$AH$37,31,0),0)</f>
        <v>2</v>
      </c>
      <c r="P133" s="313" t="str">
        <f t="shared" si="45"/>
        <v>A4</v>
      </c>
      <c r="Q133" s="341" t="str">
        <f t="shared" si="46"/>
        <v>A4</v>
      </c>
      <c r="R133" s="318"/>
      <c r="S133" s="667"/>
      <c r="T133" s="667"/>
      <c r="U133" s="176" t="str">
        <f>$Q133</f>
        <v>A4</v>
      </c>
      <c r="V133" s="179"/>
      <c r="W133" s="330">
        <f>IFERROR(VLOOKUP($D133,'P.QT-DV'!$C$10:$AH$37,15,0),0)</f>
        <v>0</v>
      </c>
      <c r="X133" s="330">
        <f>IFERROR(VLOOKUP($D133,'P.QT-DV'!$C$10:$AH$37,32,0),0)</f>
        <v>2</v>
      </c>
      <c r="Y133" s="700"/>
      <c r="Z133" s="68"/>
      <c r="AA133" s="3"/>
      <c r="AB133" s="843"/>
      <c r="AC133" s="775"/>
      <c r="AD133" s="1065"/>
      <c r="AE133" s="60" t="str">
        <f>IF($L133=$P133,$L133,FALSE)</f>
        <v>A4</v>
      </c>
      <c r="AF133" s="60"/>
      <c r="AG133" s="60"/>
      <c r="BD133" s="60" t="s">
        <v>876</v>
      </c>
      <c r="BE133" s="60" t="s">
        <v>867</v>
      </c>
    </row>
    <row r="134" spans="1:59" s="70" customFormat="1" ht="31.5" customHeight="1" x14ac:dyDescent="0.25">
      <c r="A134" s="63">
        <f>IF(D134="","",SUBTOTAL(3,$D$8:D134))</f>
        <v>106</v>
      </c>
      <c r="B134" s="63"/>
      <c r="C134" s="79" t="s">
        <v>808</v>
      </c>
      <c r="D134" s="80" t="s">
        <v>809</v>
      </c>
      <c r="E134" s="652"/>
      <c r="F134" s="652"/>
      <c r="G134" s="282" t="str">
        <f>IF($H134&lt;&gt;0,"A1",IF($I134&lt;&gt;0,"A2",IF($J134&lt;&gt;0,"A3","A4")))</f>
        <v>A4</v>
      </c>
      <c r="H134" s="234"/>
      <c r="I134" s="234"/>
      <c r="J134" s="234"/>
      <c r="K134" s="234"/>
      <c r="L134" s="289" t="s">
        <v>83</v>
      </c>
      <c r="M134" s="1147"/>
      <c r="N134" s="291">
        <f>IFERROR(VLOOKUP($D134,'P.QT-DV'!$C$10:$AH$37,14,0),0)</f>
        <v>0</v>
      </c>
      <c r="O134" s="291">
        <f>IFERROR(VLOOKUP($D134,'P.QT-DV'!$C$10:$AH$37,31,0),0)</f>
        <v>1</v>
      </c>
      <c r="P134" s="313" t="str">
        <f t="shared" si="45"/>
        <v>A4</v>
      </c>
      <c r="Q134" s="341" t="str">
        <f t="shared" si="46"/>
        <v>A4</v>
      </c>
      <c r="R134" s="345"/>
      <c r="S134" s="666"/>
      <c r="T134" s="666"/>
      <c r="U134" s="176" t="str">
        <f>$Q134</f>
        <v>A4</v>
      </c>
      <c r="V134" s="179"/>
      <c r="W134" s="330">
        <f>IFERROR(VLOOKUP($D134,'P.QT-DV'!$C$10:$AH$37,15,0),0)</f>
        <v>0</v>
      </c>
      <c r="X134" s="330">
        <f>IFERROR(VLOOKUP($D134,'P.QT-DV'!$C$10:$AH$37,32,0),0)</f>
        <v>1</v>
      </c>
      <c r="Y134" s="700"/>
      <c r="Z134" s="3"/>
      <c r="AA134" s="3"/>
      <c r="AB134" s="843"/>
      <c r="AC134" s="775"/>
      <c r="AD134" s="213"/>
      <c r="AE134" s="60" t="str">
        <f>IF($L134=$P134,$L134,FALSE)</f>
        <v>A4</v>
      </c>
      <c r="AF134" s="60"/>
      <c r="AH134" s="607"/>
      <c r="AI134" s="607"/>
      <c r="AJ134" s="607"/>
      <c r="BD134" s="60" t="s">
        <v>876</v>
      </c>
      <c r="BE134" s="60" t="s">
        <v>867</v>
      </c>
    </row>
    <row r="135" spans="1:59" s="70" customFormat="1" ht="31.5" customHeight="1" x14ac:dyDescent="0.25">
      <c r="A135" s="63">
        <f>IF(D135="","",SUBTOTAL(3,$D$8:D135))</f>
        <v>107</v>
      </c>
      <c r="B135" s="762"/>
      <c r="C135" s="79" t="s">
        <v>1066</v>
      </c>
      <c r="D135" s="80" t="s">
        <v>1069</v>
      </c>
      <c r="E135" s="763"/>
      <c r="F135" s="763"/>
      <c r="G135" s="282" t="str">
        <f>IF($H135&lt;&gt;0,"A1",IF($I135&lt;&gt;0,"A2",IF($J135&lt;&gt;0,"A3","A4")))</f>
        <v>A4</v>
      </c>
      <c r="H135" s="763"/>
      <c r="I135" s="763"/>
      <c r="J135" s="763"/>
      <c r="K135" s="763"/>
      <c r="L135" s="289" t="s">
        <v>83</v>
      </c>
      <c r="M135" s="1147"/>
      <c r="N135" s="291">
        <f>IFERROR(VLOOKUP($D135,'P.QT-DV'!$C$10:$AH$37,14,0),0)</f>
        <v>4</v>
      </c>
      <c r="O135" s="291">
        <f>IFERROR(VLOOKUP($D135,'P.QT-DV'!$C$10:$AH$37,31,0),0)</f>
        <v>0</v>
      </c>
      <c r="P135" s="313" t="str">
        <f t="shared" si="45"/>
        <v>A4</v>
      </c>
      <c r="Q135" s="1196" t="s">
        <v>85</v>
      </c>
      <c r="R135" s="317"/>
      <c r="S135" s="667"/>
      <c r="T135" s="667"/>
      <c r="U135" s="176" t="str">
        <f>$Q135</f>
        <v>A3</v>
      </c>
      <c r="V135" s="178"/>
      <c r="W135" s="330">
        <f>IFERROR(VLOOKUP($D135,'P.QT-DV'!$C$10:$AH$37,15,0),0)</f>
        <v>4</v>
      </c>
      <c r="X135" s="330">
        <f>IFERROR(VLOOKUP($D135,'P.QT-DV'!$C$10:$AH$37,32,0),0)</f>
        <v>0</v>
      </c>
      <c r="Y135" s="765"/>
      <c r="Z135" s="784"/>
      <c r="AA135" s="766"/>
      <c r="AB135" s="777" t="s">
        <v>85</v>
      </c>
      <c r="AC135" s="839" t="s">
        <v>1068</v>
      </c>
      <c r="AD135" s="213"/>
      <c r="AE135" s="60" t="str">
        <f>IF($L135=$P135,$L135,FALSE)</f>
        <v>A4</v>
      </c>
      <c r="AF135" s="60"/>
      <c r="AG135" s="60"/>
      <c r="BD135" s="60" t="s">
        <v>876</v>
      </c>
      <c r="BE135" s="60" t="s">
        <v>867</v>
      </c>
    </row>
    <row r="136" spans="1:59" s="57" customFormat="1" ht="31.5" customHeight="1" x14ac:dyDescent="0.25">
      <c r="A136" s="63">
        <f>IF(D136="","",SUBTOTAL(3,$D$8:D136))</f>
        <v>108</v>
      </c>
      <c r="B136" s="63" t="s">
        <v>30</v>
      </c>
      <c r="C136" s="10" t="s">
        <v>389</v>
      </c>
      <c r="D136" s="63" t="s">
        <v>691</v>
      </c>
      <c r="E136" s="652"/>
      <c r="F136" s="652"/>
      <c r="G136" s="282" t="str">
        <f>IF($H136&lt;&gt;0,"A1",IF($I136&lt;&gt;0,"A2",IF($J136&lt;&gt;0,"A3","A4")))</f>
        <v>A4</v>
      </c>
      <c r="H136" s="737"/>
      <c r="I136" s="737"/>
      <c r="J136" s="737"/>
      <c r="K136" s="234"/>
      <c r="L136" s="298" t="s">
        <v>83</v>
      </c>
      <c r="M136" s="299"/>
      <c r="N136" s="291">
        <f>IFERROR(VLOOKUP($D136,'P.QT-DV'!$C$10:$AH$37,14,0),0)</f>
        <v>4</v>
      </c>
      <c r="O136" s="291">
        <f>IFERROR(VLOOKUP($D136,'P.QT-DV'!$C$10:$AH$37,31,0),0)</f>
        <v>1</v>
      </c>
      <c r="P136" s="313" t="str">
        <f t="shared" si="45"/>
        <v>A4</v>
      </c>
      <c r="Q136" s="1196" t="s">
        <v>85</v>
      </c>
      <c r="R136" s="317"/>
      <c r="S136" s="663"/>
      <c r="T136" s="663"/>
      <c r="U136" s="176" t="str">
        <f>$Q136</f>
        <v>A3</v>
      </c>
      <c r="V136" s="178"/>
      <c r="W136" s="330">
        <f>IFERROR(VLOOKUP($D136,'P.QT-DV'!$C$10:$AH$37,15,0),0)</f>
        <v>4</v>
      </c>
      <c r="X136" s="330">
        <f>IFERROR(VLOOKUP($D136,'P.QT-DV'!$C$10:$AH$37,32,0),0)</f>
        <v>1</v>
      </c>
      <c r="Y136" s="63"/>
      <c r="Z136" s="68"/>
      <c r="AA136" s="68"/>
      <c r="AB136" s="723" t="s">
        <v>85</v>
      </c>
      <c r="AC136" s="839" t="s">
        <v>1068</v>
      </c>
      <c r="AD136" s="213"/>
      <c r="AE136" s="60" t="str">
        <f>IF($L136=$P136,$L136,FALSE)</f>
        <v>A4</v>
      </c>
      <c r="AF136" s="60"/>
      <c r="AG136" s="60"/>
      <c r="AH136" s="542"/>
      <c r="AI136" s="542"/>
      <c r="AK136" s="589"/>
      <c r="AL136" s="589"/>
      <c r="AM136" s="589"/>
      <c r="AN136" s="589"/>
      <c r="AO136" s="589"/>
      <c r="AP136" s="589"/>
      <c r="AQ136" s="589"/>
      <c r="AR136" s="589"/>
      <c r="AS136" s="589"/>
      <c r="AT136" s="589"/>
      <c r="AU136" s="589"/>
      <c r="AV136" s="589"/>
      <c r="AW136" s="589"/>
      <c r="AX136" s="589"/>
      <c r="AY136" s="589"/>
      <c r="AZ136" s="589"/>
      <c r="BA136" s="589"/>
      <c r="BB136" s="589"/>
      <c r="BD136" s="60" t="s">
        <v>876</v>
      </c>
      <c r="BE136" s="60" t="s">
        <v>867</v>
      </c>
    </row>
    <row r="137" spans="1:59" ht="38.25" customHeight="1" x14ac:dyDescent="0.25">
      <c r="A137" s="62" t="s">
        <v>729</v>
      </c>
      <c r="B137" s="62" t="s">
        <v>729</v>
      </c>
      <c r="C137" s="64" t="s">
        <v>56</v>
      </c>
      <c r="D137" s="62"/>
      <c r="E137" s="652"/>
      <c r="F137" s="652"/>
      <c r="G137" s="280">
        <f>COUNTA($L139:$L159)</f>
        <v>21</v>
      </c>
      <c r="H137" s="234"/>
      <c r="I137" s="234"/>
      <c r="J137" s="234"/>
      <c r="K137" s="234"/>
      <c r="L137" s="1010">
        <f>COUNTA($L138:$L158)</f>
        <v>21</v>
      </c>
      <c r="M137" s="286" t="str">
        <f xml:space="preserve"> (COUNTIF($L$139:$L$159, "A1") &amp; "A1")&amp;" + "&amp; (COUNTIF($L$139:$L$159, "A2") &amp; "A2")&amp;" + "&amp; (COUNTIF($L$139:$L$159, "A3") &amp; "A3")&amp;" + "&amp; (COUNTIF($L$139:$L$159, "A4") &amp; "A4") &amp;" + "&amp; (COUNTIF($L$139:$L$159, "B1") &amp; "B1")</f>
        <v>3A1 + 3A2 + 1A3 + 14A4 + 0B1</v>
      </c>
      <c r="N137" s="500"/>
      <c r="O137" s="500"/>
      <c r="P137" s="311">
        <f>COUNTA($Q$139:$Q$159)</f>
        <v>21</v>
      </c>
      <c r="Q137" s="340">
        <f>COUNTA($Q$139:$Q$159)</f>
        <v>21</v>
      </c>
      <c r="R137" s="312" t="str">
        <f xml:space="preserve"> (COUNTIF($Q$139:$Q$159, "A1") &amp; "A1")&amp;" + "&amp; (COUNTIF($Q$139:$Q$159, "A2") &amp; "A2")&amp;" + "&amp; (COUNTIF($Q$139:$Q$159, "A3") &amp; "A3")&amp;" + "&amp; (COUNTIF($Q$139:$Q$159, "A4") &amp; "A4")&amp;" + "&amp; (COUNTIF($Q$139:$Q$159, "B1") &amp; "B1")&amp;" + "&amp; (COUNTIF($Q$139:$Q$159, "B2") &amp; "B2")</f>
        <v>3A1 + 3A2 + 1A3 + 14A4 + 0B1 + 0B2</v>
      </c>
      <c r="S137" s="661"/>
      <c r="T137" s="661"/>
      <c r="U137" s="174">
        <f>COUNTA($U139:$U159)</f>
        <v>21</v>
      </c>
      <c r="V137" s="175" t="str">
        <f xml:space="preserve"> (COUNTIF($U$139:$U$159, "A1") &amp; "A1")&amp;" + "&amp; (COUNTIF($U$139:$U$159, "A2") &amp; "A2")&amp;" + "&amp; (COUNTIF($U$139:$U$159, "A3") &amp; "A3")&amp;" + "&amp; (COUNTIF($U$139:$U$159, "A4") &amp; "A4")&amp;" + "&amp; (COUNTIF($U$139:$U$159, "B1") &amp; " B1")&amp;" + "&amp; (COUNTIF($U$139:$U$159, "B2") &amp; " B2")</f>
        <v>3A1 + 4A2 + 0A3 + 14A4 + 0 B1 + 0 B2</v>
      </c>
      <c r="W137" s="501"/>
      <c r="X137" s="501"/>
      <c r="Y137" s="556"/>
      <c r="Z137" s="95"/>
      <c r="AA137" s="95"/>
      <c r="AB137" s="777"/>
      <c r="AC137" s="839"/>
      <c r="AD137" s="219"/>
      <c r="AE137" s="60"/>
      <c r="AF137" s="60"/>
      <c r="AG137" s="607"/>
      <c r="AH137" s="608"/>
      <c r="AI137" s="608"/>
      <c r="AK137" s="1327" t="s">
        <v>906</v>
      </c>
      <c r="AL137" s="1327"/>
      <c r="AM137" s="1327"/>
      <c r="AN137" s="1327"/>
      <c r="AO137" s="1327"/>
      <c r="AP137" s="1327"/>
      <c r="AQ137" s="1327"/>
      <c r="AR137" s="1327"/>
      <c r="AS137" s="1327"/>
      <c r="AT137" s="1327"/>
      <c r="AU137" s="1327"/>
      <c r="AV137" s="1327"/>
      <c r="AW137" s="1327"/>
      <c r="AX137" s="1327"/>
      <c r="AY137" s="1327"/>
      <c r="AZ137" s="1327"/>
      <c r="BA137" s="1327"/>
      <c r="BB137" s="1327"/>
      <c r="BF137" s="60">
        <f>COUNTIF($BE139:$BE159,"CBQL")</f>
        <v>2</v>
      </c>
      <c r="BG137" s="60">
        <f>COUNTIF($BE139:$BE159,"GV") + COUNTIF($BE139:$BE159,"NV")</f>
        <v>19</v>
      </c>
    </row>
    <row r="138" spans="1:59" ht="38.25" customHeight="1" x14ac:dyDescent="0.25">
      <c r="A138" s="65" t="s">
        <v>45</v>
      </c>
      <c r="B138" s="65" t="s">
        <v>45</v>
      </c>
      <c r="C138" s="66" t="s">
        <v>46</v>
      </c>
      <c r="D138" s="65"/>
      <c r="E138" s="652"/>
      <c r="F138" s="652"/>
      <c r="G138" s="280">
        <f>COUNTA($L139:$L159)</f>
        <v>21</v>
      </c>
      <c r="H138" s="234"/>
      <c r="I138" s="234"/>
      <c r="J138" s="234"/>
      <c r="K138" s="234"/>
      <c r="L138" s="873">
        <f>COUNTA($L139:$L159)</f>
        <v>21</v>
      </c>
      <c r="M138" s="286" t="str">
        <f xml:space="preserve"> (COUNTIF($L$139:$L$159, "A1") &amp; "A1")&amp;" + "&amp; (COUNTIF($L$139:$L$159, "A2") &amp; "A2")&amp;" + "&amp; (COUNTIF($L$139:$L$159, "A3") &amp; "A3")&amp;" + "&amp; (COUNTIF($L$139:$L$159, "A4") &amp; "A4") &amp;" + "&amp; (COUNTIF($L$139:$L$159, "B1") &amp; "B1")</f>
        <v>3A1 + 3A2 + 1A3 + 14A4 + 0B1</v>
      </c>
      <c r="N138" s="500"/>
      <c r="O138" s="500"/>
      <c r="P138" s="311">
        <f>COUNTA($Q$139:$Q$159)</f>
        <v>21</v>
      </c>
      <c r="Q138" s="340">
        <f>COUNTA($Q$139:$Q$159)</f>
        <v>21</v>
      </c>
      <c r="R138" s="312" t="str">
        <f xml:space="preserve"> (COUNTIF($Q$139:$Q$159, "A1") &amp; "A1")&amp;" + "&amp; (COUNTIF($Q$139:$Q$159, "A2") &amp; "A2")&amp;" + "&amp; (COUNTIF($Q$139:$Q$159, "A3") &amp; "A3")&amp;" + "&amp; (COUNTIF($Q$139:$Q$159, "A4") &amp; "A4")&amp;" + "&amp; (COUNTIF($Q$139:$Q$159, "B1") &amp; "B1")&amp;" + "&amp; (COUNTIF($Q$139:$Q$159, "B2") &amp; "B2")</f>
        <v>3A1 + 3A2 + 1A3 + 14A4 + 0B1 + 0B2</v>
      </c>
      <c r="S138" s="661"/>
      <c r="T138" s="661"/>
      <c r="U138" s="874">
        <f>COUNTA($U140:$U160)</f>
        <v>21</v>
      </c>
      <c r="V138" s="175" t="str">
        <f xml:space="preserve"> (COUNTIF($U$139:$U$159, "A1") &amp; "A1")&amp;" + "&amp; (COUNTIF($U$139:$U$159, "A2") &amp; "A2")&amp;" + "&amp; (COUNTIF($U$139:$U$159, "A3") &amp; "A3")&amp;" + "&amp; (COUNTIF($U$139:$U$159, "A4") &amp; "A4")&amp;" + "&amp; (COUNTIF($U$139:$U$159, "B1") &amp; " B1")&amp;" + "&amp; (COUNTIF($U$139:$U$159, "B2") &amp; " B2")</f>
        <v>3A1 + 4A2 + 0A3 + 14A4 + 0 B1 + 0 B2</v>
      </c>
      <c r="W138" s="501"/>
      <c r="X138" s="501"/>
      <c r="Y138" s="556"/>
      <c r="Z138" s="95"/>
      <c r="AA138" s="95"/>
      <c r="AB138" s="242"/>
      <c r="AC138" s="836"/>
      <c r="AD138" s="213"/>
      <c r="AE138" s="60"/>
      <c r="AF138" s="60"/>
      <c r="AG138" s="1328" t="s">
        <v>915</v>
      </c>
      <c r="AH138" s="1328"/>
      <c r="AI138" s="1328"/>
      <c r="AK138" s="598" t="s">
        <v>922</v>
      </c>
      <c r="AL138" s="598" t="s">
        <v>907</v>
      </c>
      <c r="AM138" s="1329" t="s">
        <v>897</v>
      </c>
      <c r="AN138" s="1329"/>
      <c r="AO138" s="1329" t="s">
        <v>898</v>
      </c>
      <c r="AP138" s="1329"/>
      <c r="AQ138" s="1329" t="s">
        <v>899</v>
      </c>
      <c r="AR138" s="1329"/>
      <c r="AS138" s="1329" t="s">
        <v>900</v>
      </c>
      <c r="AT138" s="1329"/>
      <c r="AU138" s="1329" t="s">
        <v>902</v>
      </c>
      <c r="AV138" s="1329"/>
      <c r="AW138" s="1329" t="s">
        <v>903</v>
      </c>
      <c r="AX138" s="1329"/>
      <c r="AY138" s="1329" t="s">
        <v>904</v>
      </c>
      <c r="AZ138" s="1329"/>
      <c r="BA138" s="1329" t="s">
        <v>905</v>
      </c>
      <c r="BB138" s="1329"/>
      <c r="BF138" s="59"/>
      <c r="BG138" s="59"/>
    </row>
    <row r="139" spans="1:59" s="57" customFormat="1" ht="37.5" customHeight="1" x14ac:dyDescent="0.25">
      <c r="A139" s="63">
        <f>IF(D139="","",SUBTOTAL(3,$D$8:D139))</f>
        <v>109</v>
      </c>
      <c r="B139" s="63" t="s">
        <v>5</v>
      </c>
      <c r="C139" s="1280" t="s">
        <v>431</v>
      </c>
      <c r="D139" s="185" t="s">
        <v>773</v>
      </c>
      <c r="E139" s="691" t="s">
        <v>949</v>
      </c>
      <c r="F139" s="691" t="s">
        <v>950</v>
      </c>
      <c r="G139" s="282" t="str">
        <f t="shared" ref="G139:G174" si="47">IF($H139&lt;&gt;0,"A1",IF($I139&lt;&gt;0,"A2",IF($J139&lt;&gt;0,"A3","A4")))</f>
        <v>A2</v>
      </c>
      <c r="H139" s="234"/>
      <c r="I139" s="737" t="s">
        <v>1016</v>
      </c>
      <c r="J139" s="737" t="s">
        <v>1007</v>
      </c>
      <c r="K139" s="737"/>
      <c r="L139" s="294" t="s">
        <v>83</v>
      </c>
      <c r="M139" s="306"/>
      <c r="N139" s="291">
        <f>IFERROR(VLOOKUP($D139,K.KHCB!$C$10:$AG$30,18,0),0)</f>
        <v>0</v>
      </c>
      <c r="O139" s="291">
        <f>IFERROR(VLOOKUP($D139,K.KHCB!$C$10:$AG$30,30,0),0)</f>
        <v>0</v>
      </c>
      <c r="P139" s="313" t="str">
        <f>IF(AND($W139&gt;=2,$X139&gt;=3,H139&lt;&gt;0),"A1",IF(AND($W139&gt;=3,$X139&gt;=1,H139&lt;&gt;0),"A1",IF(AND($W139&gt;=4,$X139&gt;=0,H139&lt;&gt;0),"A1",IF(AND($W139&gt;=2,$X139&gt;=2,I139&lt;&gt;0),"A2",IF(AND($W139&gt;=3,$X139&gt;=0,I139&lt;&gt;0),"A2",IF(AND(OR($W139&gt;=1,$X139&gt;=2),J139&lt;&gt;0),"A3","A4"))))))</f>
        <v>A4</v>
      </c>
      <c r="Q139" s="341" t="str">
        <f t="shared" ref="Q139:Q140" si="48">P139</f>
        <v>A4</v>
      </c>
      <c r="R139" s="317"/>
      <c r="S139" s="691" t="s">
        <v>949</v>
      </c>
      <c r="T139" s="691" t="s">
        <v>950</v>
      </c>
      <c r="U139" s="176" t="str">
        <f t="shared" ref="U139:U174" si="49">$Q139</f>
        <v>A4</v>
      </c>
      <c r="V139" s="180"/>
      <c r="W139" s="330">
        <f>IFERROR(VLOOKUP($D139,K.KHCB!$C$10:$AG$30,19,0),0)</f>
        <v>0</v>
      </c>
      <c r="X139" s="330">
        <f>IFERROR(VLOOKUP($D139,K.KHCB!$C$10:$AG$30,31,0),0)</f>
        <v>0</v>
      </c>
      <c r="Y139" s="89"/>
      <c r="Z139" s="4"/>
      <c r="AA139" s="4"/>
      <c r="AB139" s="846"/>
      <c r="AC139" s="775"/>
      <c r="AD139" s="213"/>
      <c r="AE139" s="60" t="str">
        <f t="shared" ref="AE139:AE203" si="50">IF($L139=$P139,$L139,FALSE)</f>
        <v>A4</v>
      </c>
      <c r="AF139" s="60"/>
      <c r="AG139" s="592" t="s">
        <v>845</v>
      </c>
      <c r="AH139" s="592"/>
      <c r="AI139" s="605">
        <f>AH139/$L137</f>
        <v>0</v>
      </c>
      <c r="AJ139" s="589"/>
      <c r="AK139" s="594"/>
      <c r="AL139" s="595">
        <f>AL140+AL141</f>
        <v>21</v>
      </c>
      <c r="AM139" s="596" t="s">
        <v>896</v>
      </c>
      <c r="AN139" s="596" t="s">
        <v>844</v>
      </c>
      <c r="AO139" s="596" t="s">
        <v>896</v>
      </c>
      <c r="AP139" s="596" t="s">
        <v>844</v>
      </c>
      <c r="AQ139" s="596" t="s">
        <v>896</v>
      </c>
      <c r="AR139" s="596" t="s">
        <v>844</v>
      </c>
      <c r="AS139" s="596" t="s">
        <v>896</v>
      </c>
      <c r="AT139" s="596" t="s">
        <v>844</v>
      </c>
      <c r="AU139" s="596" t="s">
        <v>896</v>
      </c>
      <c r="AV139" s="596" t="s">
        <v>844</v>
      </c>
      <c r="AW139" s="596" t="s">
        <v>896</v>
      </c>
      <c r="AX139" s="596" t="s">
        <v>844</v>
      </c>
      <c r="AY139" s="596" t="s">
        <v>896</v>
      </c>
      <c r="AZ139" s="596" t="s">
        <v>844</v>
      </c>
      <c r="BA139" s="596" t="s">
        <v>896</v>
      </c>
      <c r="BB139" s="596" t="s">
        <v>844</v>
      </c>
      <c r="BD139" s="60" t="s">
        <v>877</v>
      </c>
      <c r="BE139" s="60" t="s">
        <v>866</v>
      </c>
    </row>
    <row r="140" spans="1:59" s="57" customFormat="1" ht="42" customHeight="1" x14ac:dyDescent="0.25">
      <c r="A140" s="63">
        <f>IF(D140="","",SUBTOTAL(3,$D$8:D140))</f>
        <v>110</v>
      </c>
      <c r="B140" s="74" t="s">
        <v>33</v>
      </c>
      <c r="C140" s="71" t="s">
        <v>253</v>
      </c>
      <c r="D140" s="82" t="s">
        <v>254</v>
      </c>
      <c r="E140" s="692">
        <f>COUNTIF($L141:$L174,"A1")</f>
        <v>2</v>
      </c>
      <c r="F140" s="692">
        <f>COUNTIF($L141:$L174,"A2")</f>
        <v>3</v>
      </c>
      <c r="G140" s="282" t="str">
        <f t="shared" si="47"/>
        <v>A2</v>
      </c>
      <c r="H140" s="234"/>
      <c r="I140" s="737" t="s">
        <v>1075</v>
      </c>
      <c r="J140" s="737" t="s">
        <v>1007</v>
      </c>
      <c r="K140" s="334" t="s">
        <v>1074</v>
      </c>
      <c r="L140" s="294" t="s">
        <v>82</v>
      </c>
      <c r="M140" s="307" t="s">
        <v>1188</v>
      </c>
      <c r="N140" s="291">
        <f>IFERROR(VLOOKUP($D140,K.KHCB!$C$10:$AG$30,18,0),0)</f>
        <v>1</v>
      </c>
      <c r="O140" s="291">
        <f>IFERROR(VLOOKUP($D140,K.KHCB!$C$10:$AG$30,30,0),0)</f>
        <v>0</v>
      </c>
      <c r="P140" s="1186" t="s">
        <v>82</v>
      </c>
      <c r="Q140" s="341" t="str">
        <f t="shared" si="48"/>
        <v>A1</v>
      </c>
      <c r="R140" s="317"/>
      <c r="S140" s="692">
        <f>COUNTIF($U141:$U174,"A1")</f>
        <v>3</v>
      </c>
      <c r="T140" s="692">
        <f>COUNTIF($U141:$U174,"A2")</f>
        <v>6</v>
      </c>
      <c r="U140" s="176" t="str">
        <f t="shared" si="49"/>
        <v>A1</v>
      </c>
      <c r="V140" s="178"/>
      <c r="W140" s="330">
        <f>IFERROR(VLOOKUP($D140,K.KHCB!$C$10:$AG$30,19,0),0)</f>
        <v>1</v>
      </c>
      <c r="X140" s="330">
        <f>IFERROR(VLOOKUP($D140,K.KHCB!$C$10:$AG$30,31,0),0)</f>
        <v>0</v>
      </c>
      <c r="Y140" s="82"/>
      <c r="Z140" s="119"/>
      <c r="AA140" s="83"/>
      <c r="AB140" s="846"/>
      <c r="AC140" s="775"/>
      <c r="AD140" s="786"/>
      <c r="AE140" s="60" t="str">
        <f t="shared" si="50"/>
        <v>A1</v>
      </c>
      <c r="AF140" s="60"/>
      <c r="AG140" s="592" t="s">
        <v>846</v>
      </c>
      <c r="AH140" s="592"/>
      <c r="AI140" s="605">
        <f>AH140/$L137</f>
        <v>0</v>
      </c>
      <c r="AJ140" s="589"/>
      <c r="AK140" s="597" t="s">
        <v>864</v>
      </c>
      <c r="AL140" s="595">
        <f>COUNTIF($BE139:$BE159,"CBQL")</f>
        <v>2</v>
      </c>
      <c r="AM140" s="595">
        <f>COUNTIF($U139:$U140,"A1")</f>
        <v>1</v>
      </c>
      <c r="AN140" s="611">
        <f>AM140/$AL$140</f>
        <v>0.5</v>
      </c>
      <c r="AO140" s="595">
        <f>COUNTIF($U139:$U140,"A2")</f>
        <v>0</v>
      </c>
      <c r="AP140" s="611">
        <f>AO140/$AL$140</f>
        <v>0</v>
      </c>
      <c r="AQ140" s="595">
        <f>COUNTIF($U139:$U140,"A3")</f>
        <v>0</v>
      </c>
      <c r="AR140" s="611">
        <f>AQ140/$AL$140</f>
        <v>0</v>
      </c>
      <c r="AS140" s="595">
        <f>COUNTIF($U139:$U140,"A4")</f>
        <v>1</v>
      </c>
      <c r="AT140" s="611">
        <f>AS140/$AL$140</f>
        <v>0.5</v>
      </c>
      <c r="AU140" s="595"/>
      <c r="AV140" s="595"/>
      <c r="AW140" s="595"/>
      <c r="AX140" s="595"/>
      <c r="AY140" s="595"/>
      <c r="AZ140" s="595"/>
      <c r="BA140" s="595"/>
      <c r="BB140" s="595"/>
      <c r="BD140" s="60" t="s">
        <v>877</v>
      </c>
      <c r="BE140" s="60" t="s">
        <v>866</v>
      </c>
    </row>
    <row r="141" spans="1:59" s="57" customFormat="1" ht="28.5" customHeight="1" x14ac:dyDescent="0.25">
      <c r="A141" s="63">
        <f>IF(D141="","",SUBTOTAL(3,$D$8:D141))</f>
        <v>111</v>
      </c>
      <c r="B141" s="74" t="s">
        <v>29</v>
      </c>
      <c r="C141" s="75" t="s">
        <v>245</v>
      </c>
      <c r="D141" s="152" t="s">
        <v>246</v>
      </c>
      <c r="E141" s="693">
        <f>E140/$AL$141</f>
        <v>0.10526315789473684</v>
      </c>
      <c r="F141" s="693">
        <f>F140/$AL$141</f>
        <v>0.15789473684210525</v>
      </c>
      <c r="G141" s="282" t="str">
        <f t="shared" si="47"/>
        <v>A3</v>
      </c>
      <c r="H141" s="234"/>
      <c r="I141" s="737"/>
      <c r="J141" s="737" t="s">
        <v>1017</v>
      </c>
      <c r="K141" s="234"/>
      <c r="L141" s="294" t="s">
        <v>83</v>
      </c>
      <c r="M141" s="307"/>
      <c r="N141" s="291">
        <f>IFERROR(VLOOKUP($D141,K.KHCB!$C$10:$AG$30,18,0),0)</f>
        <v>0</v>
      </c>
      <c r="O141" s="291">
        <f>IFERROR(VLOOKUP($D141,K.KHCB!$C$10:$AG$30,30,0),0)</f>
        <v>0</v>
      </c>
      <c r="P141" s="313" t="str">
        <f t="shared" ref="P141:P159" si="51">IF(AND($W141&gt;=2,$X141&gt;=3,H141&lt;&gt;0),"A1",IF(AND($W141&gt;=3,$X141&gt;=1,H141&lt;&gt;0),"A1",IF(AND($W141&gt;=4,$X141&gt;=0,H141&lt;&gt;0),"A1",IF(AND($W141&gt;=2,$X141&gt;=2,I141&lt;&gt;0),"A2",IF(AND($W141&gt;=3,$X141&gt;=0,I141&lt;&gt;0),"A2",IF(AND(OR($W141&gt;=1,$X141&gt;=2),J141&lt;&gt;0),"A3","A4"))))))</f>
        <v>A4</v>
      </c>
      <c r="Q141" s="341" t="str">
        <f t="shared" ref="Q141:Q159" si="52">P141</f>
        <v>A4</v>
      </c>
      <c r="R141" s="317"/>
      <c r="S141" s="693">
        <f>S140/$AL$141</f>
        <v>0.15789473684210525</v>
      </c>
      <c r="T141" s="693">
        <f>T140/$AL$141</f>
        <v>0.31578947368421051</v>
      </c>
      <c r="U141" s="176" t="str">
        <f t="shared" si="49"/>
        <v>A4</v>
      </c>
      <c r="V141" s="178"/>
      <c r="W141" s="330">
        <f>IFERROR(VLOOKUP($D141,K.KHCB!$C$10:$AG$30,19,0),0)</f>
        <v>0</v>
      </c>
      <c r="X141" s="330">
        <f>IFERROR(VLOOKUP($D141,K.KHCB!$C$10:$AG$30,31,0),0)</f>
        <v>0</v>
      </c>
      <c r="Y141" s="89"/>
      <c r="Z141" s="3"/>
      <c r="AA141" s="68"/>
      <c r="AB141" s="847"/>
      <c r="AC141" s="847"/>
      <c r="AD141" s="213"/>
      <c r="AE141" s="60" t="str">
        <f t="shared" si="50"/>
        <v>A4</v>
      </c>
      <c r="AF141" s="60"/>
      <c r="AG141" s="592"/>
      <c r="AH141" s="591">
        <f>AH139+AH140</f>
        <v>0</v>
      </c>
      <c r="AI141" s="606">
        <f>AI139+AI140</f>
        <v>0</v>
      </c>
      <c r="AJ141" s="589"/>
      <c r="AK141" s="597" t="s">
        <v>865</v>
      </c>
      <c r="AL141" s="595">
        <f>COUNTIF($BE139:$BE159,"GV") + COUNTIF($BE139:$BE159,"NV")</f>
        <v>19</v>
      </c>
      <c r="AM141" s="595">
        <f>COUNTIF($U141:$U159,"A1")</f>
        <v>2</v>
      </c>
      <c r="AN141" s="611">
        <f>AM141/$AL$141</f>
        <v>0.10526315789473684</v>
      </c>
      <c r="AO141" s="595">
        <f>COUNTIF($U141:$U159,"A2")</f>
        <v>4</v>
      </c>
      <c r="AP141" s="611">
        <f>AO141/$AL$141</f>
        <v>0.21052631578947367</v>
      </c>
      <c r="AQ141" s="595">
        <f>COUNTIF($U141:$U159,"A3")</f>
        <v>0</v>
      </c>
      <c r="AR141" s="611">
        <f>AQ141/$AL$141</f>
        <v>0</v>
      </c>
      <c r="AS141" s="595">
        <f>COUNTIF($U141:$U159,"A4")</f>
        <v>13</v>
      </c>
      <c r="AT141" s="611">
        <f>AS141/$AL$141</f>
        <v>0.68421052631578949</v>
      </c>
      <c r="AU141" s="595"/>
      <c r="AV141" s="595"/>
      <c r="AW141" s="595"/>
      <c r="AX141" s="595"/>
      <c r="AY141" s="595"/>
      <c r="AZ141" s="595"/>
      <c r="BA141" s="595"/>
      <c r="BB141" s="595"/>
      <c r="BD141" s="60" t="s">
        <v>877</v>
      </c>
      <c r="BE141" s="60" t="s">
        <v>868</v>
      </c>
    </row>
    <row r="142" spans="1:59" s="57" customFormat="1" ht="28.5" customHeight="1" x14ac:dyDescent="0.25">
      <c r="A142" s="63">
        <f>IF(D142="","",SUBTOTAL(3,$D$8:D142))</f>
        <v>112</v>
      </c>
      <c r="B142" s="74" t="s">
        <v>30</v>
      </c>
      <c r="C142" s="75" t="s">
        <v>247</v>
      </c>
      <c r="D142" s="81" t="s">
        <v>248</v>
      </c>
      <c r="E142" s="652"/>
      <c r="F142" s="652"/>
      <c r="G142" s="282" t="str">
        <f t="shared" si="47"/>
        <v>A3</v>
      </c>
      <c r="H142" s="234"/>
      <c r="I142" s="737"/>
      <c r="J142" s="737" t="s">
        <v>1017</v>
      </c>
      <c r="K142" s="234"/>
      <c r="L142" s="294" t="s">
        <v>83</v>
      </c>
      <c r="M142" s="307"/>
      <c r="N142" s="291">
        <f>IFERROR(VLOOKUP($D142,K.KHCB!$C$10:$AG$30,18,0),0)</f>
        <v>0</v>
      </c>
      <c r="O142" s="291">
        <f>IFERROR(VLOOKUP($D142,K.KHCB!$C$10:$AG$30,30,0),0)</f>
        <v>0</v>
      </c>
      <c r="P142" s="313" t="str">
        <f t="shared" si="51"/>
        <v>A4</v>
      </c>
      <c r="Q142" s="341" t="str">
        <f t="shared" si="52"/>
        <v>A4</v>
      </c>
      <c r="R142" s="317"/>
      <c r="S142" s="664"/>
      <c r="T142" s="664"/>
      <c r="U142" s="176" t="str">
        <f t="shared" si="49"/>
        <v>A4</v>
      </c>
      <c r="V142" s="178"/>
      <c r="W142" s="330">
        <f>IFERROR(VLOOKUP($D142,K.KHCB!$C$10:$AG$30,19,0),0)</f>
        <v>0</v>
      </c>
      <c r="X142" s="330">
        <f>IFERROR(VLOOKUP($D142,K.KHCB!$C$10:$AG$30,31,0),0)</f>
        <v>0</v>
      </c>
      <c r="Y142" s="82"/>
      <c r="Z142" s="3"/>
      <c r="AA142" s="68"/>
      <c r="AB142" s="847"/>
      <c r="AC142" s="847"/>
      <c r="AD142" s="529"/>
      <c r="AE142" s="60" t="str">
        <f t="shared" si="50"/>
        <v>A4</v>
      </c>
      <c r="AF142" s="60"/>
      <c r="AG142" s="60"/>
      <c r="AH142" s="542"/>
      <c r="AI142" s="542"/>
      <c r="AK142" s="589"/>
      <c r="AL142" s="589"/>
      <c r="AM142" s="589"/>
      <c r="AN142" s="589"/>
      <c r="AO142" s="589"/>
      <c r="AP142" s="589"/>
      <c r="AQ142" s="589"/>
      <c r="AR142" s="589"/>
      <c r="AS142" s="589"/>
      <c r="AT142" s="589"/>
      <c r="AU142" s="589"/>
      <c r="AV142" s="589"/>
      <c r="AW142" s="589"/>
      <c r="AX142" s="589"/>
      <c r="AY142" s="589"/>
      <c r="AZ142" s="589"/>
      <c r="BA142" s="589"/>
      <c r="BB142" s="589"/>
      <c r="BD142" s="60" t="s">
        <v>877</v>
      </c>
      <c r="BE142" s="60" t="s">
        <v>868</v>
      </c>
    </row>
    <row r="143" spans="1:59" s="57" customFormat="1" ht="33" customHeight="1" x14ac:dyDescent="0.25">
      <c r="A143" s="63">
        <f>IF(D143="","",SUBTOTAL(3,$D$8:D143))</f>
        <v>113</v>
      </c>
      <c r="B143" s="74" t="s">
        <v>31</v>
      </c>
      <c r="C143" s="75" t="s">
        <v>249</v>
      </c>
      <c r="D143" s="81" t="s">
        <v>250</v>
      </c>
      <c r="E143" s="652"/>
      <c r="F143" s="652"/>
      <c r="G143" s="282" t="str">
        <f t="shared" si="47"/>
        <v>A2</v>
      </c>
      <c r="H143" s="234"/>
      <c r="I143" s="334" t="s">
        <v>1073</v>
      </c>
      <c r="J143" s="234"/>
      <c r="K143" s="334" t="s">
        <v>1072</v>
      </c>
      <c r="L143" s="294" t="s">
        <v>83</v>
      </c>
      <c r="M143" s="307"/>
      <c r="N143" s="291">
        <f>IFERROR(VLOOKUP($D143,K.KHCB!$C$10:$AG$30,18,0),0)</f>
        <v>0</v>
      </c>
      <c r="O143" s="291">
        <f>IFERROR(VLOOKUP($D143,K.KHCB!$C$10:$AG$30,30,0),0)</f>
        <v>0</v>
      </c>
      <c r="P143" s="313" t="str">
        <f t="shared" si="51"/>
        <v>A4</v>
      </c>
      <c r="Q143" s="341" t="str">
        <f t="shared" si="52"/>
        <v>A4</v>
      </c>
      <c r="R143" s="317"/>
      <c r="S143" s="664"/>
      <c r="T143" s="664"/>
      <c r="U143" s="176" t="str">
        <f t="shared" si="49"/>
        <v>A4</v>
      </c>
      <c r="V143" s="178"/>
      <c r="W143" s="330">
        <f>IFERROR(VLOOKUP($D143,K.KHCB!$C$10:$AG$30,19,0),0)</f>
        <v>0</v>
      </c>
      <c r="X143" s="330">
        <f>IFERROR(VLOOKUP($D143,K.KHCB!$C$10:$AG$30,31,0),0)</f>
        <v>0</v>
      </c>
      <c r="Y143" s="82"/>
      <c r="Z143" s="119"/>
      <c r="AA143" s="83"/>
      <c r="AB143" s="847"/>
      <c r="AC143" s="847"/>
      <c r="AD143" s="786"/>
      <c r="AE143" s="60" t="str">
        <f t="shared" si="50"/>
        <v>A4</v>
      </c>
      <c r="AF143" s="60"/>
      <c r="AG143" s="60"/>
      <c r="AH143" s="542"/>
      <c r="AI143" s="542"/>
      <c r="AK143" s="589"/>
      <c r="AL143" s="589"/>
      <c r="AM143" s="589"/>
      <c r="AN143" s="589"/>
      <c r="AO143" s="589"/>
      <c r="AP143" s="589"/>
      <c r="AQ143" s="589"/>
      <c r="AR143" s="589"/>
      <c r="AS143" s="589"/>
      <c r="AT143" s="589"/>
      <c r="AU143" s="589"/>
      <c r="AV143" s="589"/>
      <c r="AW143" s="589"/>
      <c r="AX143" s="589"/>
      <c r="AY143" s="589"/>
      <c r="AZ143" s="589"/>
      <c r="BA143" s="589"/>
      <c r="BB143" s="589"/>
      <c r="BD143" s="60" t="s">
        <v>877</v>
      </c>
      <c r="BE143" s="60" t="s">
        <v>868</v>
      </c>
    </row>
    <row r="144" spans="1:59" s="57" customFormat="1" ht="37.5" customHeight="1" x14ac:dyDescent="0.25">
      <c r="A144" s="63">
        <f>IF(D144="","",SUBTOTAL(3,$D$8:D144))</f>
        <v>114</v>
      </c>
      <c r="B144" s="74" t="s">
        <v>34</v>
      </c>
      <c r="C144" s="71" t="s">
        <v>255</v>
      </c>
      <c r="D144" s="82" t="s">
        <v>256</v>
      </c>
      <c r="E144" s="652"/>
      <c r="F144" s="652"/>
      <c r="G144" s="282" t="str">
        <f t="shared" si="47"/>
        <v>A4</v>
      </c>
      <c r="H144" s="234"/>
      <c r="I144" s="234"/>
      <c r="J144" s="234"/>
      <c r="K144" s="234"/>
      <c r="L144" s="294" t="s">
        <v>83</v>
      </c>
      <c r="M144" s="307"/>
      <c r="N144" s="291">
        <f>IFERROR(VLOOKUP($D144,K.KHCB!$C$10:$AG$30,18,0),0)</f>
        <v>0</v>
      </c>
      <c r="O144" s="291">
        <f>IFERROR(VLOOKUP($D144,K.KHCB!$C$10:$AG$30,30,0),0)</f>
        <v>0</v>
      </c>
      <c r="P144" s="313" t="str">
        <f t="shared" si="51"/>
        <v>A4</v>
      </c>
      <c r="Q144" s="341" t="str">
        <f t="shared" si="52"/>
        <v>A4</v>
      </c>
      <c r="R144" s="317"/>
      <c r="S144" s="664"/>
      <c r="T144" s="664"/>
      <c r="U144" s="176" t="str">
        <f t="shared" si="49"/>
        <v>A4</v>
      </c>
      <c r="V144" s="178"/>
      <c r="W144" s="330">
        <f>IFERROR(VLOOKUP($D144,K.KHCB!$C$10:$AG$30,19,0),0)</f>
        <v>0</v>
      </c>
      <c r="X144" s="330">
        <f>IFERROR(VLOOKUP($D144,K.KHCB!$C$10:$AG$30,31,0),0)</f>
        <v>0</v>
      </c>
      <c r="Y144" s="82"/>
      <c r="Z144" s="68"/>
      <c r="AA144" s="83"/>
      <c r="AB144" s="847"/>
      <c r="AC144" s="847"/>
      <c r="AD144" s="529"/>
      <c r="AE144" s="60" t="str">
        <f t="shared" si="50"/>
        <v>A4</v>
      </c>
      <c r="AF144" s="60"/>
      <c r="AG144" s="60"/>
      <c r="AH144" s="542"/>
      <c r="AI144" s="542"/>
      <c r="AK144" s="589"/>
      <c r="AL144" s="589"/>
      <c r="AM144" s="589"/>
      <c r="AN144" s="589"/>
      <c r="AO144" s="589"/>
      <c r="AP144" s="589"/>
      <c r="AQ144" s="589"/>
      <c r="AR144" s="589"/>
      <c r="AS144" s="589"/>
      <c r="AT144" s="589"/>
      <c r="AU144" s="589"/>
      <c r="AV144" s="589"/>
      <c r="AW144" s="589"/>
      <c r="AX144" s="589"/>
      <c r="AY144" s="589"/>
      <c r="AZ144" s="589"/>
      <c r="BA144" s="589"/>
      <c r="BB144" s="589"/>
      <c r="BD144" s="60" t="s">
        <v>877</v>
      </c>
      <c r="BE144" s="60" t="s">
        <v>868</v>
      </c>
    </row>
    <row r="145" spans="1:57" s="57" customFormat="1" ht="32.25" customHeight="1" x14ac:dyDescent="0.25">
      <c r="A145" s="63">
        <f>IF(D145="","",SUBTOTAL(3,$D$8:D145))</f>
        <v>115</v>
      </c>
      <c r="B145" s="74" t="s">
        <v>35</v>
      </c>
      <c r="C145" s="71" t="s">
        <v>257</v>
      </c>
      <c r="D145" s="82" t="s">
        <v>258</v>
      </c>
      <c r="E145" s="652"/>
      <c r="F145" s="652"/>
      <c r="G145" s="282" t="str">
        <f t="shared" si="47"/>
        <v>A2</v>
      </c>
      <c r="H145" s="234"/>
      <c r="I145" s="334" t="s">
        <v>1073</v>
      </c>
      <c r="J145" s="737" t="s">
        <v>1017</v>
      </c>
      <c r="K145" s="334" t="s">
        <v>1072</v>
      </c>
      <c r="L145" s="294" t="s">
        <v>83</v>
      </c>
      <c r="M145" s="290"/>
      <c r="N145" s="291">
        <f>IFERROR(VLOOKUP($D145,K.KHCB!$C$10:$AG$30,18,0),0)</f>
        <v>0</v>
      </c>
      <c r="O145" s="291">
        <f>IFERROR(VLOOKUP($D145,K.KHCB!$C$10:$AG$30,30,0),0)</f>
        <v>0</v>
      </c>
      <c r="P145" s="313" t="str">
        <f t="shared" si="51"/>
        <v>A4</v>
      </c>
      <c r="Q145" s="341" t="str">
        <f t="shared" si="52"/>
        <v>A4</v>
      </c>
      <c r="R145" s="317"/>
      <c r="S145" s="664"/>
      <c r="T145" s="664"/>
      <c r="U145" s="176" t="str">
        <f t="shared" si="49"/>
        <v>A4</v>
      </c>
      <c r="V145" s="178"/>
      <c r="W145" s="330">
        <f>IFERROR(VLOOKUP($D145,K.KHCB!$C$10:$AG$30,19,0),0)</f>
        <v>0</v>
      </c>
      <c r="X145" s="330">
        <f>IFERROR(VLOOKUP($D145,K.KHCB!$C$10:$AG$30,31,0),0)</f>
        <v>0</v>
      </c>
      <c r="Y145" s="82"/>
      <c r="Z145" s="68"/>
      <c r="AA145" s="68"/>
      <c r="AB145" s="847"/>
      <c r="AC145" s="847"/>
      <c r="AD145" s="786"/>
      <c r="AE145" s="60" t="str">
        <f t="shared" si="50"/>
        <v>A4</v>
      </c>
      <c r="AF145" s="60"/>
      <c r="AG145" s="60"/>
      <c r="AH145" s="542"/>
      <c r="AI145" s="542"/>
      <c r="AK145" s="589"/>
      <c r="AL145" s="589"/>
      <c r="AM145" s="589"/>
      <c r="AN145" s="589"/>
      <c r="AO145" s="589"/>
      <c r="AP145" s="589"/>
      <c r="AQ145" s="589"/>
      <c r="AR145" s="589"/>
      <c r="AS145" s="589"/>
      <c r="AT145" s="589"/>
      <c r="AU145" s="589"/>
      <c r="AV145" s="589"/>
      <c r="AW145" s="589"/>
      <c r="AX145" s="589"/>
      <c r="AY145" s="589"/>
      <c r="AZ145" s="589"/>
      <c r="BA145" s="589"/>
      <c r="BB145" s="589"/>
      <c r="BD145" s="60" t="s">
        <v>877</v>
      </c>
      <c r="BE145" s="60" t="s">
        <v>868</v>
      </c>
    </row>
    <row r="146" spans="1:57" s="57" customFormat="1" ht="36.75" customHeight="1" x14ac:dyDescent="0.25">
      <c r="A146" s="63">
        <f>IF(D146="","",SUBTOTAL(3,$D$8:D146))</f>
        <v>116</v>
      </c>
      <c r="B146" s="74" t="s">
        <v>15</v>
      </c>
      <c r="C146" s="75" t="s">
        <v>220</v>
      </c>
      <c r="D146" s="81" t="s">
        <v>221</v>
      </c>
      <c r="E146" s="652"/>
      <c r="F146" s="652"/>
      <c r="G146" s="282" t="str">
        <f t="shared" si="47"/>
        <v>A3</v>
      </c>
      <c r="H146" s="234"/>
      <c r="I146" s="234"/>
      <c r="J146" s="737" t="s">
        <v>1017</v>
      </c>
      <c r="K146" s="234"/>
      <c r="L146" s="294" t="s">
        <v>83</v>
      </c>
      <c r="M146" s="307"/>
      <c r="N146" s="291">
        <f>IFERROR(VLOOKUP($D146,K.KHCB!$C$10:$AG$30,18,0),0)</f>
        <v>0</v>
      </c>
      <c r="O146" s="291">
        <f>IFERROR(VLOOKUP($D146,K.KHCB!$C$10:$AG$30,30,0),0)</f>
        <v>0</v>
      </c>
      <c r="P146" s="313" t="str">
        <f t="shared" si="51"/>
        <v>A4</v>
      </c>
      <c r="Q146" s="341" t="str">
        <f t="shared" si="52"/>
        <v>A4</v>
      </c>
      <c r="R146" s="317"/>
      <c r="S146" s="664"/>
      <c r="T146" s="664"/>
      <c r="U146" s="176" t="str">
        <f t="shared" si="49"/>
        <v>A4</v>
      </c>
      <c r="V146" s="178"/>
      <c r="W146" s="330">
        <f>IFERROR(VLOOKUP($D146,K.KHCB!$C$10:$AG$30,19,0),0)</f>
        <v>0</v>
      </c>
      <c r="X146" s="330">
        <f>IFERROR(VLOOKUP($D146,K.KHCB!$C$10:$AG$30,31,0),0)</f>
        <v>0</v>
      </c>
      <c r="Y146" s="82"/>
      <c r="Z146" s="3"/>
      <c r="AA146" s="83"/>
      <c r="AB146" s="847"/>
      <c r="AC146" s="847"/>
      <c r="AD146" s="529"/>
      <c r="AE146" s="60" t="str">
        <f t="shared" si="50"/>
        <v>A4</v>
      </c>
      <c r="AF146" s="60"/>
      <c r="AG146" s="60"/>
      <c r="AH146" s="542"/>
      <c r="AI146" s="542"/>
      <c r="AK146" s="589"/>
      <c r="AL146" s="589"/>
      <c r="AM146" s="589"/>
      <c r="AN146" s="589"/>
      <c r="AO146" s="589"/>
      <c r="AP146" s="589"/>
      <c r="AQ146" s="589"/>
      <c r="AR146" s="589"/>
      <c r="AS146" s="589"/>
      <c r="AT146" s="589"/>
      <c r="AU146" s="589"/>
      <c r="AV146" s="589"/>
      <c r="AW146" s="589"/>
      <c r="AX146" s="589"/>
      <c r="AY146" s="589"/>
      <c r="AZ146" s="589"/>
      <c r="BA146" s="589"/>
      <c r="BB146" s="589"/>
      <c r="BD146" s="60" t="s">
        <v>877</v>
      </c>
      <c r="BE146" s="60" t="s">
        <v>868</v>
      </c>
    </row>
    <row r="147" spans="1:57" s="57" customFormat="1" ht="41.25" customHeight="1" x14ac:dyDescent="0.25">
      <c r="A147" s="63">
        <f>IF(D147="","",SUBTOTAL(3,$D$8:D147))</f>
        <v>117</v>
      </c>
      <c r="B147" s="74" t="s">
        <v>6</v>
      </c>
      <c r="C147" s="75" t="s">
        <v>626</v>
      </c>
      <c r="D147" s="81" t="s">
        <v>213</v>
      </c>
      <c r="E147" s="652"/>
      <c r="F147" s="652"/>
      <c r="G147" s="282" t="str">
        <f t="shared" si="47"/>
        <v>A2</v>
      </c>
      <c r="H147" s="234"/>
      <c r="I147" s="737" t="s">
        <v>965</v>
      </c>
      <c r="J147" s="737" t="s">
        <v>1007</v>
      </c>
      <c r="K147" s="234"/>
      <c r="L147" s="294" t="s">
        <v>82</v>
      </c>
      <c r="M147" s="307" t="s">
        <v>1125</v>
      </c>
      <c r="N147" s="291">
        <f>IFERROR(VLOOKUP($D147,K.KHCB!$C$10:$AG$30,18,0),0)</f>
        <v>1</v>
      </c>
      <c r="O147" s="291">
        <f>IFERROR(VLOOKUP($D147,K.KHCB!$C$10:$AG$30,30,0),0)</f>
        <v>0</v>
      </c>
      <c r="P147" s="1186" t="s">
        <v>82</v>
      </c>
      <c r="Q147" s="341" t="str">
        <f t="shared" si="52"/>
        <v>A1</v>
      </c>
      <c r="R147" s="317"/>
      <c r="S147" s="664"/>
      <c r="T147" s="664"/>
      <c r="U147" s="176" t="str">
        <f t="shared" si="49"/>
        <v>A1</v>
      </c>
      <c r="V147" s="178"/>
      <c r="W147" s="330">
        <f>IFERROR(VLOOKUP($D147,K.KHCB!$C$10:$AG$30,19,0),0)</f>
        <v>1</v>
      </c>
      <c r="X147" s="330">
        <f>IFERROR(VLOOKUP($D147,K.KHCB!$C$10:$AG$30,31,0),0)</f>
        <v>0</v>
      </c>
      <c r="Y147" s="82"/>
      <c r="Z147" s="119"/>
      <c r="AA147" s="83"/>
      <c r="AB147" s="848"/>
      <c r="AC147" s="776"/>
      <c r="AD147" s="529"/>
      <c r="AE147" s="60" t="str">
        <f t="shared" si="50"/>
        <v>A1</v>
      </c>
      <c r="AF147" s="60"/>
      <c r="AG147" s="60"/>
      <c r="AH147" s="542"/>
      <c r="AI147" s="542"/>
      <c r="AK147" s="589"/>
      <c r="AL147" s="589"/>
      <c r="AM147" s="589"/>
      <c r="AN147" s="589"/>
      <c r="AO147" s="589"/>
      <c r="AP147" s="589"/>
      <c r="AQ147" s="589"/>
      <c r="AR147" s="589"/>
      <c r="AS147" s="589"/>
      <c r="AT147" s="589"/>
      <c r="AU147" s="589"/>
      <c r="AV147" s="589"/>
      <c r="AW147" s="589"/>
      <c r="AX147" s="589"/>
      <c r="AY147" s="589"/>
      <c r="AZ147" s="589"/>
      <c r="BA147" s="589"/>
      <c r="BB147" s="589"/>
      <c r="BD147" s="60" t="s">
        <v>877</v>
      </c>
      <c r="BE147" s="60" t="s">
        <v>868</v>
      </c>
    </row>
    <row r="148" spans="1:57" s="57" customFormat="1" ht="36.75" customHeight="1" x14ac:dyDescent="0.25">
      <c r="A148" s="63">
        <f>IF(D148="","",SUBTOTAL(3,$D$8:D148))</f>
        <v>118</v>
      </c>
      <c r="B148" s="74" t="s">
        <v>13</v>
      </c>
      <c r="C148" s="75" t="s">
        <v>630</v>
      </c>
      <c r="D148" s="81" t="s">
        <v>217</v>
      </c>
      <c r="E148" s="652"/>
      <c r="F148" s="652"/>
      <c r="G148" s="282" t="str">
        <f t="shared" si="47"/>
        <v>A3</v>
      </c>
      <c r="H148" s="234"/>
      <c r="I148" s="234"/>
      <c r="J148" s="737" t="s">
        <v>1007</v>
      </c>
      <c r="K148" s="234"/>
      <c r="L148" s="294" t="s">
        <v>83</v>
      </c>
      <c r="M148" s="825"/>
      <c r="N148" s="291">
        <f>IFERROR(VLOOKUP($D148,K.KHCB!$C$10:$AG$30,18,0),0)</f>
        <v>0</v>
      </c>
      <c r="O148" s="291">
        <f>IFERROR(VLOOKUP($D148,K.KHCB!$C$10:$AG$30,30,0),0)</f>
        <v>0</v>
      </c>
      <c r="P148" s="313" t="str">
        <f t="shared" si="51"/>
        <v>A4</v>
      </c>
      <c r="Q148" s="341" t="str">
        <f t="shared" si="52"/>
        <v>A4</v>
      </c>
      <c r="R148" s="317"/>
      <c r="S148" s="664"/>
      <c r="T148" s="664"/>
      <c r="U148" s="176" t="str">
        <f t="shared" si="49"/>
        <v>A4</v>
      </c>
      <c r="V148" s="178"/>
      <c r="W148" s="330">
        <f>IFERROR(VLOOKUP($D148,K.KHCB!$C$10:$AG$30,19,0),0)</f>
        <v>0</v>
      </c>
      <c r="X148" s="330">
        <f>IFERROR(VLOOKUP($D148,K.KHCB!$C$10:$AG$30,31,0),0)</f>
        <v>0</v>
      </c>
      <c r="Y148" s="82"/>
      <c r="Z148" s="68"/>
      <c r="AA148" s="2"/>
      <c r="AB148" s="846"/>
      <c r="AC148" s="846"/>
      <c r="AD148" s="529"/>
      <c r="AE148" s="60" t="str">
        <f t="shared" si="50"/>
        <v>A4</v>
      </c>
      <c r="AF148" s="60"/>
      <c r="AG148" s="60"/>
      <c r="AH148" s="542"/>
      <c r="AI148" s="542"/>
      <c r="AK148" s="589"/>
      <c r="AL148" s="589"/>
      <c r="AM148" s="589"/>
      <c r="AN148" s="589"/>
      <c r="AO148" s="589"/>
      <c r="AP148" s="589"/>
      <c r="AQ148" s="589"/>
      <c r="AR148" s="589"/>
      <c r="AS148" s="589"/>
      <c r="AT148" s="589"/>
      <c r="AU148" s="589"/>
      <c r="AV148" s="589"/>
      <c r="AW148" s="589"/>
      <c r="AX148" s="589"/>
      <c r="AY148" s="589"/>
      <c r="AZ148" s="589"/>
      <c r="BA148" s="589"/>
      <c r="BB148" s="589"/>
      <c r="BD148" s="60" t="s">
        <v>877</v>
      </c>
      <c r="BE148" s="60" t="s">
        <v>868</v>
      </c>
    </row>
    <row r="149" spans="1:57" s="57" customFormat="1" ht="31.5" customHeight="1" x14ac:dyDescent="0.25">
      <c r="A149" s="63">
        <f>IF(D149="","",SUBTOTAL(3,$D$8:D149))</f>
        <v>119</v>
      </c>
      <c r="B149" s="74" t="s">
        <v>14</v>
      </c>
      <c r="C149" s="75" t="s">
        <v>218</v>
      </c>
      <c r="D149" s="81" t="s">
        <v>219</v>
      </c>
      <c r="E149" s="652"/>
      <c r="F149" s="652"/>
      <c r="G149" s="282" t="str">
        <f t="shared" si="47"/>
        <v>A2</v>
      </c>
      <c r="H149" s="234"/>
      <c r="I149" s="737" t="s">
        <v>965</v>
      </c>
      <c r="J149" s="737" t="s">
        <v>1007</v>
      </c>
      <c r="K149" s="234"/>
      <c r="L149" s="294" t="s">
        <v>83</v>
      </c>
      <c r="M149" s="826"/>
      <c r="N149" s="291">
        <f>IFERROR(VLOOKUP($D149,K.KHCB!$C$10:$AG$30,18,0),0)</f>
        <v>0</v>
      </c>
      <c r="O149" s="291">
        <f>IFERROR(VLOOKUP($D149,K.KHCB!$C$10:$AG$30,30,0),0)</f>
        <v>0</v>
      </c>
      <c r="P149" s="313" t="str">
        <f t="shared" si="51"/>
        <v>A4</v>
      </c>
      <c r="Q149" s="341" t="str">
        <f t="shared" si="52"/>
        <v>A4</v>
      </c>
      <c r="R149" s="317"/>
      <c r="S149" s="664"/>
      <c r="T149" s="664"/>
      <c r="U149" s="176" t="str">
        <f t="shared" si="49"/>
        <v>A4</v>
      </c>
      <c r="V149" s="178"/>
      <c r="W149" s="330">
        <f>IFERROR(VLOOKUP($D149,K.KHCB!$C$10:$AG$30,19,0),0)</f>
        <v>0</v>
      </c>
      <c r="X149" s="330">
        <f>IFERROR(VLOOKUP($D149,K.KHCB!$C$10:$AG$30,31,0),0)</f>
        <v>0</v>
      </c>
      <c r="Y149" s="82"/>
      <c r="Z149" s="119"/>
      <c r="AA149" s="83"/>
      <c r="AB149" s="847"/>
      <c r="AC149" s="847"/>
      <c r="AD149" s="529"/>
      <c r="AE149" s="60" t="str">
        <f t="shared" si="50"/>
        <v>A4</v>
      </c>
      <c r="AF149" s="60"/>
      <c r="AG149" s="60"/>
      <c r="AH149" s="542"/>
      <c r="AI149" s="542"/>
      <c r="AK149" s="589"/>
      <c r="AL149" s="589"/>
      <c r="AM149" s="589"/>
      <c r="AN149" s="589"/>
      <c r="AO149" s="589"/>
      <c r="AP149" s="589"/>
      <c r="AQ149" s="589"/>
      <c r="AR149" s="589"/>
      <c r="AS149" s="589"/>
      <c r="AT149" s="589"/>
      <c r="AU149" s="589"/>
      <c r="AV149" s="589"/>
      <c r="AW149" s="589"/>
      <c r="AX149" s="589"/>
      <c r="AY149" s="589"/>
      <c r="AZ149" s="589"/>
      <c r="BA149" s="589"/>
      <c r="BB149" s="589"/>
      <c r="BD149" s="60" t="s">
        <v>877</v>
      </c>
      <c r="BE149" s="60" t="s">
        <v>868</v>
      </c>
    </row>
    <row r="150" spans="1:57" s="57" customFormat="1" ht="30.75" customHeight="1" x14ac:dyDescent="0.25">
      <c r="A150" s="63">
        <f>IF(D150="","",SUBTOTAL(3,$D$8:D150))</f>
        <v>120</v>
      </c>
      <c r="B150" s="74" t="s">
        <v>10</v>
      </c>
      <c r="C150" s="75" t="s">
        <v>628</v>
      </c>
      <c r="D150" s="81" t="s">
        <v>214</v>
      </c>
      <c r="E150" s="652"/>
      <c r="F150" s="652"/>
      <c r="G150" s="282" t="str">
        <f t="shared" si="47"/>
        <v>A3</v>
      </c>
      <c r="H150" s="234"/>
      <c r="I150" s="234"/>
      <c r="J150" s="737" t="s">
        <v>1017</v>
      </c>
      <c r="K150" s="234"/>
      <c r="L150" s="294" t="s">
        <v>83</v>
      </c>
      <c r="M150" s="826"/>
      <c r="N150" s="291">
        <f>IFERROR(VLOOKUP($D150,K.KHCB!$C$10:$AG$30,18,0),0)</f>
        <v>0</v>
      </c>
      <c r="O150" s="291">
        <f>IFERROR(VLOOKUP($D150,K.KHCB!$C$10:$AG$30,30,0),0)</f>
        <v>0</v>
      </c>
      <c r="P150" s="313" t="str">
        <f t="shared" si="51"/>
        <v>A4</v>
      </c>
      <c r="Q150" s="341" t="str">
        <f t="shared" si="52"/>
        <v>A4</v>
      </c>
      <c r="R150" s="327"/>
      <c r="S150" s="657"/>
      <c r="T150" s="657"/>
      <c r="U150" s="176" t="str">
        <f t="shared" si="49"/>
        <v>A4</v>
      </c>
      <c r="V150" s="178"/>
      <c r="W150" s="330">
        <f>IFERROR(VLOOKUP($D150,K.KHCB!$C$10:$AG$30,19,0),0)</f>
        <v>0</v>
      </c>
      <c r="X150" s="330">
        <f>IFERROR(VLOOKUP($D150,K.KHCB!$C$10:$AG$30,31,0),0)</f>
        <v>0</v>
      </c>
      <c r="Y150" s="82"/>
      <c r="Z150" s="119"/>
      <c r="AA150" s="83"/>
      <c r="AB150" s="847"/>
      <c r="AC150" s="847"/>
      <c r="AD150" s="529"/>
      <c r="AE150" s="60" t="str">
        <f t="shared" si="50"/>
        <v>A4</v>
      </c>
      <c r="AF150" s="60"/>
      <c r="AG150" s="60"/>
      <c r="AH150" s="542"/>
      <c r="AI150" s="542"/>
      <c r="AK150" s="589"/>
      <c r="AL150" s="589"/>
      <c r="AM150" s="589"/>
      <c r="AN150" s="589"/>
      <c r="AO150" s="589"/>
      <c r="AP150" s="589"/>
      <c r="AQ150" s="589"/>
      <c r="AR150" s="589"/>
      <c r="AS150" s="589"/>
      <c r="AT150" s="589"/>
      <c r="AU150" s="589"/>
      <c r="AV150" s="589"/>
      <c r="AW150" s="589"/>
      <c r="AX150" s="589"/>
      <c r="AY150" s="589"/>
      <c r="AZ150" s="589"/>
      <c r="BA150" s="589"/>
      <c r="BB150" s="589"/>
      <c r="BD150" s="60" t="s">
        <v>877</v>
      </c>
      <c r="BE150" s="60" t="s">
        <v>868</v>
      </c>
    </row>
    <row r="151" spans="1:57" s="57" customFormat="1" ht="33" customHeight="1" x14ac:dyDescent="0.25">
      <c r="A151" s="63">
        <f>IF(D151="","",SUBTOTAL(3,$D$8:D151))</f>
        <v>121</v>
      </c>
      <c r="B151" s="74" t="s">
        <v>12</v>
      </c>
      <c r="C151" s="75" t="s">
        <v>629</v>
      </c>
      <c r="D151" s="81" t="s">
        <v>216</v>
      </c>
      <c r="E151" s="652"/>
      <c r="F151" s="652"/>
      <c r="G151" s="282" t="str">
        <f t="shared" si="47"/>
        <v>A3</v>
      </c>
      <c r="H151" s="234"/>
      <c r="I151" s="234"/>
      <c r="J151" s="737" t="s">
        <v>1017</v>
      </c>
      <c r="K151" s="234"/>
      <c r="L151" s="294" t="s">
        <v>83</v>
      </c>
      <c r="M151" s="826"/>
      <c r="N151" s="291">
        <f>IFERROR(VLOOKUP($D151,K.KHCB!$C$10:$AG$30,18,0),0)</f>
        <v>0</v>
      </c>
      <c r="O151" s="291">
        <f>IFERROR(VLOOKUP($D151,K.KHCB!$C$10:$AG$30,30,0),0)</f>
        <v>0</v>
      </c>
      <c r="P151" s="313" t="str">
        <f t="shared" si="51"/>
        <v>A4</v>
      </c>
      <c r="Q151" s="341" t="str">
        <f t="shared" si="52"/>
        <v>A4</v>
      </c>
      <c r="R151" s="349"/>
      <c r="S151" s="676"/>
      <c r="T151" s="676"/>
      <c r="U151" s="176" t="str">
        <f t="shared" si="49"/>
        <v>A4</v>
      </c>
      <c r="V151" s="180">
        <f>R151</f>
        <v>0</v>
      </c>
      <c r="W151" s="330">
        <f>IFERROR(VLOOKUP($D151,K.KHCB!$C$10:$AG$30,19,0),0)</f>
        <v>0</v>
      </c>
      <c r="X151" s="330">
        <f>IFERROR(VLOOKUP($D151,K.KHCB!$C$10:$AG$30,31,0),0)</f>
        <v>0</v>
      </c>
      <c r="Y151" s="82"/>
      <c r="Z151" s="119"/>
      <c r="AA151" s="83"/>
      <c r="AB151" s="846"/>
      <c r="AC151" s="848"/>
      <c r="AD151" s="213"/>
      <c r="AE151" s="60" t="str">
        <f t="shared" si="50"/>
        <v>A4</v>
      </c>
      <c r="AF151" s="60"/>
      <c r="AG151" s="60"/>
      <c r="AH151" s="542"/>
      <c r="AI151" s="542"/>
      <c r="AK151" s="589"/>
      <c r="AL151" s="589"/>
      <c r="AM151" s="589"/>
      <c r="AN151" s="589"/>
      <c r="AO151" s="589"/>
      <c r="AP151" s="589"/>
      <c r="AQ151" s="589"/>
      <c r="AR151" s="589"/>
      <c r="AS151" s="589"/>
      <c r="AT151" s="589"/>
      <c r="AU151" s="589"/>
      <c r="AV151" s="589"/>
      <c r="AW151" s="589"/>
      <c r="AX151" s="589"/>
      <c r="AY151" s="589"/>
      <c r="AZ151" s="589"/>
      <c r="BA151" s="589"/>
      <c r="BB151" s="589"/>
      <c r="BD151" s="60" t="s">
        <v>877</v>
      </c>
      <c r="BE151" s="60" t="s">
        <v>868</v>
      </c>
    </row>
    <row r="152" spans="1:57" s="57" customFormat="1" ht="36" customHeight="1" x14ac:dyDescent="0.25">
      <c r="A152" s="63">
        <f>IF(D152="","",SUBTOTAL(3,$D$8:D152))</f>
        <v>122</v>
      </c>
      <c r="B152" s="74" t="s">
        <v>16</v>
      </c>
      <c r="C152" s="75" t="s">
        <v>222</v>
      </c>
      <c r="D152" s="81" t="s">
        <v>223</v>
      </c>
      <c r="E152" s="652"/>
      <c r="F152" s="652"/>
      <c r="G152" s="282" t="str">
        <f t="shared" si="47"/>
        <v>A4</v>
      </c>
      <c r="H152" s="234"/>
      <c r="I152" s="234"/>
      <c r="J152" s="234"/>
      <c r="K152" s="234"/>
      <c r="L152" s="294" t="s">
        <v>83</v>
      </c>
      <c r="M152" s="826"/>
      <c r="N152" s="291">
        <f>IFERROR(VLOOKUP($D152,K.KHCB!$C$10:$AG$30,18,0),0)</f>
        <v>0</v>
      </c>
      <c r="O152" s="291">
        <f>IFERROR(VLOOKUP($D152,K.KHCB!$C$10:$AG$30,30,0),0)</f>
        <v>0</v>
      </c>
      <c r="P152" s="313" t="str">
        <f t="shared" si="51"/>
        <v>A4</v>
      </c>
      <c r="Q152" s="341" t="str">
        <f t="shared" si="52"/>
        <v>A4</v>
      </c>
      <c r="R152" s="317"/>
      <c r="S152" s="664"/>
      <c r="T152" s="664"/>
      <c r="U152" s="176" t="str">
        <f t="shared" si="49"/>
        <v>A4</v>
      </c>
      <c r="V152" s="178"/>
      <c r="W152" s="330">
        <f>IFERROR(VLOOKUP($D152,K.KHCB!$C$10:$AG$30,19,0),0)</f>
        <v>0</v>
      </c>
      <c r="X152" s="330">
        <f>IFERROR(VLOOKUP($D152,K.KHCB!$C$10:$AG$30,31,0),0)</f>
        <v>0</v>
      </c>
      <c r="Y152" s="82"/>
      <c r="Z152" s="857"/>
      <c r="AA152" s="850"/>
      <c r="AB152" s="847"/>
      <c r="AC152" s="847"/>
      <c r="AD152" s="213"/>
      <c r="AE152" s="60" t="str">
        <f t="shared" si="50"/>
        <v>A4</v>
      </c>
      <c r="AF152" s="60"/>
      <c r="AG152" s="60"/>
      <c r="AH152" s="542"/>
      <c r="AI152" s="542"/>
      <c r="AK152" s="589"/>
      <c r="AL152" s="589"/>
      <c r="AM152" s="589"/>
      <c r="AN152" s="589"/>
      <c r="AO152" s="589"/>
      <c r="AP152" s="589"/>
      <c r="AQ152" s="589"/>
      <c r="AR152" s="589"/>
      <c r="AS152" s="589"/>
      <c r="AT152" s="589"/>
      <c r="AU152" s="589"/>
      <c r="AV152" s="589"/>
      <c r="AW152" s="589"/>
      <c r="AX152" s="589"/>
      <c r="AY152" s="589"/>
      <c r="AZ152" s="589"/>
      <c r="BA152" s="589"/>
      <c r="BB152" s="589"/>
      <c r="BD152" s="60" t="s">
        <v>877</v>
      </c>
      <c r="BE152" s="60" t="s">
        <v>868</v>
      </c>
    </row>
    <row r="153" spans="1:57" s="57" customFormat="1" ht="41.25" customHeight="1" x14ac:dyDescent="0.25">
      <c r="A153" s="63">
        <f>IF(D153="","",SUBTOTAL(3,$D$8:D153))</f>
        <v>123</v>
      </c>
      <c r="B153" s="74" t="s">
        <v>5</v>
      </c>
      <c r="C153" s="71" t="s">
        <v>211</v>
      </c>
      <c r="D153" s="74" t="s">
        <v>212</v>
      </c>
      <c r="E153" s="652"/>
      <c r="F153" s="652"/>
      <c r="G153" s="282" t="str">
        <f t="shared" si="47"/>
        <v>A3</v>
      </c>
      <c r="H153" s="234"/>
      <c r="I153" s="234"/>
      <c r="J153" s="741" t="s">
        <v>1017</v>
      </c>
      <c r="K153" s="234"/>
      <c r="L153" s="294" t="s">
        <v>83</v>
      </c>
      <c r="M153" s="827"/>
      <c r="N153" s="291">
        <f>IFERROR(VLOOKUP($D153,K.KHCB!$C$10:$AG$30,18,0),0)</f>
        <v>0</v>
      </c>
      <c r="O153" s="291">
        <f>IFERROR(VLOOKUP($D153,K.KHCB!$C$10:$AG$30,30,0),0)</f>
        <v>0</v>
      </c>
      <c r="P153" s="313" t="str">
        <f t="shared" si="51"/>
        <v>A4</v>
      </c>
      <c r="Q153" s="341" t="str">
        <f t="shared" si="52"/>
        <v>A4</v>
      </c>
      <c r="R153" s="317"/>
      <c r="S153" s="664"/>
      <c r="T153" s="664"/>
      <c r="U153" s="176" t="str">
        <f t="shared" si="49"/>
        <v>A4</v>
      </c>
      <c r="V153" s="178"/>
      <c r="W153" s="330">
        <f>IFERROR(VLOOKUP($D153,K.KHCB!$C$10:$AG$30,19,0),0)</f>
        <v>0</v>
      </c>
      <c r="X153" s="330">
        <f>IFERROR(VLOOKUP($D153,K.KHCB!$C$10:$AG$30,31,0),0)</f>
        <v>0</v>
      </c>
      <c r="Y153" s="63"/>
      <c r="Z153" s="68"/>
      <c r="AA153" s="68"/>
      <c r="AB153" s="847"/>
      <c r="AC153" s="847"/>
      <c r="AD153" s="529"/>
      <c r="AE153" s="60" t="str">
        <f t="shared" si="50"/>
        <v>A4</v>
      </c>
      <c r="AF153" s="60"/>
      <c r="AG153" s="60"/>
      <c r="AH153" s="542"/>
      <c r="AI153" s="542"/>
      <c r="AK153" s="589"/>
      <c r="AL153" s="589"/>
      <c r="AM153" s="589"/>
      <c r="AN153" s="589"/>
      <c r="AO153" s="589"/>
      <c r="AP153" s="589"/>
      <c r="AQ153" s="589"/>
      <c r="AR153" s="589"/>
      <c r="AS153" s="589"/>
      <c r="AT153" s="589"/>
      <c r="AU153" s="589"/>
      <c r="AV153" s="589"/>
      <c r="AW153" s="589"/>
      <c r="AX153" s="589"/>
      <c r="AY153" s="589"/>
      <c r="AZ153" s="589"/>
      <c r="BA153" s="589"/>
      <c r="BB153" s="589"/>
      <c r="BD153" s="60" t="s">
        <v>877</v>
      </c>
      <c r="BE153" s="60" t="s">
        <v>868</v>
      </c>
    </row>
    <row r="154" spans="1:57" s="57" customFormat="1" ht="32.25" customHeight="1" x14ac:dyDescent="0.25">
      <c r="A154" s="63">
        <f>IF(D154="","",SUBTOTAL(3,$D$8:D154))</f>
        <v>124</v>
      </c>
      <c r="B154" s="74" t="s">
        <v>11</v>
      </c>
      <c r="C154" s="75" t="s">
        <v>627</v>
      </c>
      <c r="D154" s="81" t="s">
        <v>215</v>
      </c>
      <c r="E154" s="652"/>
      <c r="F154" s="652"/>
      <c r="G154" s="282" t="str">
        <f t="shared" si="47"/>
        <v>A3</v>
      </c>
      <c r="H154" s="234"/>
      <c r="I154" s="234"/>
      <c r="J154" s="741" t="s">
        <v>1017</v>
      </c>
      <c r="K154" s="234"/>
      <c r="L154" s="294" t="s">
        <v>83</v>
      </c>
      <c r="M154" s="826"/>
      <c r="N154" s="291">
        <f>IFERROR(VLOOKUP($D154,K.KHCB!$C$10:$AG$30,18,0),0)</f>
        <v>0</v>
      </c>
      <c r="O154" s="291">
        <f>IFERROR(VLOOKUP($D154,K.KHCB!$C$10:$AG$30,30,0),0)</f>
        <v>0</v>
      </c>
      <c r="P154" s="313" t="str">
        <f t="shared" si="51"/>
        <v>A4</v>
      </c>
      <c r="Q154" s="341" t="str">
        <f t="shared" si="52"/>
        <v>A4</v>
      </c>
      <c r="R154" s="317"/>
      <c r="S154" s="664"/>
      <c r="T154" s="664"/>
      <c r="U154" s="176" t="str">
        <f t="shared" si="49"/>
        <v>A4</v>
      </c>
      <c r="V154" s="178"/>
      <c r="W154" s="330">
        <f>IFERROR(VLOOKUP($D154,K.KHCB!$C$10:$AG$30,19,0),0)</f>
        <v>0</v>
      </c>
      <c r="X154" s="330">
        <f>IFERROR(VLOOKUP($D154,K.KHCB!$C$10:$AG$30,31,0),0)</f>
        <v>0</v>
      </c>
      <c r="Y154" s="82"/>
      <c r="Z154" s="119"/>
      <c r="AA154" s="83"/>
      <c r="AB154" s="847"/>
      <c r="AC154" s="847"/>
      <c r="AD154" s="529"/>
      <c r="AE154" s="60" t="str">
        <f t="shared" si="50"/>
        <v>A4</v>
      </c>
      <c r="AF154" s="60"/>
      <c r="AG154" s="60"/>
      <c r="AH154" s="542"/>
      <c r="AI154" s="542"/>
      <c r="AK154" s="589"/>
      <c r="AL154" s="589"/>
      <c r="AM154" s="589"/>
      <c r="AN154" s="589"/>
      <c r="AO154" s="589"/>
      <c r="AP154" s="589"/>
      <c r="AQ154" s="589"/>
      <c r="AR154" s="589"/>
      <c r="AS154" s="589"/>
      <c r="AT154" s="589"/>
      <c r="AU154" s="589"/>
      <c r="AV154" s="589"/>
      <c r="AW154" s="589"/>
      <c r="AX154" s="589"/>
      <c r="AY154" s="589"/>
      <c r="AZ154" s="589"/>
      <c r="BA154" s="589"/>
      <c r="BB154" s="589"/>
      <c r="BD154" s="60" t="s">
        <v>877</v>
      </c>
      <c r="BE154" s="60" t="s">
        <v>868</v>
      </c>
    </row>
    <row r="155" spans="1:57" s="57" customFormat="1" ht="32.25" customHeight="1" x14ac:dyDescent="0.25">
      <c r="A155" s="63">
        <f>IF(D155="","",SUBTOTAL(3,$D$8:D155))</f>
        <v>125</v>
      </c>
      <c r="B155" s="74" t="s">
        <v>40</v>
      </c>
      <c r="C155" s="71" t="s">
        <v>264</v>
      </c>
      <c r="D155" s="92" t="s">
        <v>265</v>
      </c>
      <c r="E155" s="652"/>
      <c r="F155" s="652"/>
      <c r="G155" s="282" t="str">
        <f t="shared" si="47"/>
        <v>A2</v>
      </c>
      <c r="H155" s="234"/>
      <c r="I155" s="737" t="s">
        <v>966</v>
      </c>
      <c r="J155" s="737" t="s">
        <v>1017</v>
      </c>
      <c r="K155" s="234"/>
      <c r="L155" s="294" t="s">
        <v>84</v>
      </c>
      <c r="M155" s="827"/>
      <c r="N155" s="291">
        <f>IFERROR(VLOOKUP($D155,K.KHCB!$C$10:$AG$30,18,0),0)</f>
        <v>3</v>
      </c>
      <c r="O155" s="291">
        <f>IFERROR(VLOOKUP($D155,K.KHCB!$C$10:$AG$30,30,0),0)</f>
        <v>1</v>
      </c>
      <c r="P155" s="313" t="str">
        <f t="shared" si="51"/>
        <v>A2</v>
      </c>
      <c r="Q155" s="341" t="str">
        <f t="shared" si="52"/>
        <v>A2</v>
      </c>
      <c r="R155" s="317"/>
      <c r="S155" s="664"/>
      <c r="T155" s="664"/>
      <c r="U155" s="176" t="str">
        <f>$Q155</f>
        <v>A2</v>
      </c>
      <c r="V155" s="178"/>
      <c r="W155" s="330">
        <f>IFERROR(VLOOKUP($D155,K.KHCB!$C$10:$AG$30,19,0),0)</f>
        <v>3</v>
      </c>
      <c r="X155" s="330">
        <f>IFERROR(VLOOKUP($D155,K.KHCB!$C$10:$AG$30,31,0),0)</f>
        <v>1</v>
      </c>
      <c r="Y155" s="92"/>
      <c r="Z155" s="3"/>
      <c r="AA155" s="68"/>
      <c r="AB155" s="846"/>
      <c r="AC155" s="775"/>
      <c r="AD155" s="213"/>
      <c r="AE155" s="60" t="str">
        <f t="shared" ref="AE155:AE174" si="53">IF($L155=$P155,$L155,FALSE)</f>
        <v>A2</v>
      </c>
      <c r="AF155" s="60"/>
      <c r="AG155" s="60"/>
      <c r="AH155" s="542"/>
      <c r="AI155" s="542"/>
      <c r="AK155" s="589"/>
      <c r="AL155" s="589"/>
      <c r="AM155" s="589"/>
      <c r="AN155" s="589"/>
      <c r="AO155" s="589"/>
      <c r="AP155" s="589"/>
      <c r="AQ155" s="589"/>
      <c r="AR155" s="589"/>
      <c r="AS155" s="589"/>
      <c r="AT155" s="589"/>
      <c r="AU155" s="589"/>
      <c r="AV155" s="589"/>
      <c r="AW155" s="589"/>
      <c r="AX155" s="589"/>
      <c r="AY155" s="589"/>
      <c r="AZ155" s="589"/>
      <c r="BA155" s="589"/>
      <c r="BB155" s="589"/>
      <c r="BD155" s="60" t="s">
        <v>877</v>
      </c>
      <c r="BE155" s="60" t="s">
        <v>868</v>
      </c>
    </row>
    <row r="156" spans="1:57" s="57" customFormat="1" ht="36" customHeight="1" x14ac:dyDescent="0.25">
      <c r="A156" s="63">
        <f>IF(D156="","",SUBTOTAL(3,$D$8:D156))</f>
        <v>126</v>
      </c>
      <c r="B156" s="74" t="s">
        <v>38</v>
      </c>
      <c r="C156" s="71" t="s">
        <v>261</v>
      </c>
      <c r="D156" s="82" t="s">
        <v>744</v>
      </c>
      <c r="E156" s="652"/>
      <c r="F156" s="652"/>
      <c r="G156" s="282" t="str">
        <f t="shared" si="47"/>
        <v>A2</v>
      </c>
      <c r="H156" s="234"/>
      <c r="I156" s="737" t="s">
        <v>966</v>
      </c>
      <c r="J156" s="737" t="s">
        <v>1017</v>
      </c>
      <c r="K156" s="234"/>
      <c r="L156" s="294" t="s">
        <v>84</v>
      </c>
      <c r="M156" s="826"/>
      <c r="N156" s="291">
        <f>IFERROR(VLOOKUP($D156,K.KHCB!$C$10:$AG$30,18,0),0)</f>
        <v>5</v>
      </c>
      <c r="O156" s="291">
        <f>IFERROR(VLOOKUP($D156,K.KHCB!$C$10:$AG$30,30,0),0)</f>
        <v>0</v>
      </c>
      <c r="P156" s="313" t="str">
        <f t="shared" si="51"/>
        <v>A2</v>
      </c>
      <c r="Q156" s="1196" t="s">
        <v>82</v>
      </c>
      <c r="R156" s="317"/>
      <c r="S156" s="664"/>
      <c r="T156" s="664"/>
      <c r="U156" s="176" t="str">
        <f>$Q156</f>
        <v>A1</v>
      </c>
      <c r="V156" s="178"/>
      <c r="W156" s="330">
        <f>IFERROR(VLOOKUP($D156,K.KHCB!$C$10:$AG$30,19,0),0)</f>
        <v>5</v>
      </c>
      <c r="X156" s="330">
        <f>IFERROR(VLOOKUP($D156,K.KHCB!$C$10:$AG$30,31,0),0)</f>
        <v>0</v>
      </c>
      <c r="Y156" s="82"/>
      <c r="Z156" s="83"/>
      <c r="AA156" s="83"/>
      <c r="AB156" s="846" t="s">
        <v>82</v>
      </c>
      <c r="AC156" s="775" t="s">
        <v>1154</v>
      </c>
      <c r="AD156" s="213"/>
      <c r="AE156" s="60" t="str">
        <f t="shared" si="53"/>
        <v>A2</v>
      </c>
      <c r="AF156" s="60"/>
      <c r="AG156" s="60"/>
      <c r="AH156" s="542"/>
      <c r="AI156" s="542"/>
      <c r="AK156" s="589"/>
      <c r="AL156" s="589"/>
      <c r="AM156" s="589"/>
      <c r="AN156" s="589"/>
      <c r="AO156" s="589"/>
      <c r="AP156" s="589"/>
      <c r="AQ156" s="589"/>
      <c r="AR156" s="589"/>
      <c r="AS156" s="589"/>
      <c r="AT156" s="589"/>
      <c r="AU156" s="589"/>
      <c r="AV156" s="589"/>
      <c r="AW156" s="589"/>
      <c r="AX156" s="589"/>
      <c r="AY156" s="589"/>
      <c r="AZ156" s="589"/>
      <c r="BA156" s="589"/>
      <c r="BB156" s="589"/>
      <c r="BD156" s="60" t="s">
        <v>877</v>
      </c>
      <c r="BE156" s="60" t="s">
        <v>868</v>
      </c>
    </row>
    <row r="157" spans="1:57" s="57" customFormat="1" ht="37.5" customHeight="1" x14ac:dyDescent="0.25">
      <c r="A157" s="63">
        <f>IF(D157="","",SUBTOTAL(3,$D$8:D157))</f>
        <v>127</v>
      </c>
      <c r="B157" s="74" t="s">
        <v>41</v>
      </c>
      <c r="C157" s="71" t="s">
        <v>266</v>
      </c>
      <c r="D157" s="82" t="s">
        <v>267</v>
      </c>
      <c r="E157" s="652"/>
      <c r="F157" s="652"/>
      <c r="G157" s="282" t="str">
        <f t="shared" si="47"/>
        <v>A2</v>
      </c>
      <c r="H157" s="234"/>
      <c r="I157" s="737" t="s">
        <v>966</v>
      </c>
      <c r="J157" s="737" t="s">
        <v>1017</v>
      </c>
      <c r="K157" s="234"/>
      <c r="L157" s="294" t="s">
        <v>84</v>
      </c>
      <c r="M157" s="827"/>
      <c r="N157" s="291">
        <f>IFERROR(VLOOKUP($D157,K.KHCB!$C$10:$AG$30,18,0),0)</f>
        <v>3</v>
      </c>
      <c r="O157" s="291">
        <f>IFERROR(VLOOKUP($D157,K.KHCB!$C$10:$AG$30,30,0),0)</f>
        <v>1</v>
      </c>
      <c r="P157" s="313" t="str">
        <f t="shared" si="51"/>
        <v>A2</v>
      </c>
      <c r="Q157" s="341" t="str">
        <f t="shared" si="52"/>
        <v>A2</v>
      </c>
      <c r="R157" s="317"/>
      <c r="S157" s="664"/>
      <c r="T157" s="664"/>
      <c r="U157" s="176" t="str">
        <f>$Q157</f>
        <v>A2</v>
      </c>
      <c r="V157" s="178"/>
      <c r="W157" s="330">
        <f>IFERROR(VLOOKUP($D157,K.KHCB!$C$10:$AG$30,19,0),0)</f>
        <v>3</v>
      </c>
      <c r="X157" s="330">
        <f>IFERROR(VLOOKUP($D157,K.KHCB!$C$10:$AG$30,31,0),0)</f>
        <v>1</v>
      </c>
      <c r="Y157" s="82"/>
      <c r="Z157" s="3"/>
      <c r="AA157" s="68"/>
      <c r="AB157" s="846"/>
      <c r="AC157" s="775"/>
      <c r="AD157" s="213"/>
      <c r="AE157" s="60" t="str">
        <f t="shared" si="53"/>
        <v>A2</v>
      </c>
      <c r="AF157" s="60"/>
      <c r="AG157" s="60"/>
      <c r="AH157" s="542"/>
      <c r="AI157" s="542"/>
      <c r="AK157" s="589"/>
      <c r="AL157" s="589"/>
      <c r="AM157" s="589"/>
      <c r="AN157" s="589"/>
      <c r="AO157" s="589"/>
      <c r="AP157" s="589"/>
      <c r="AQ157" s="589"/>
      <c r="AR157" s="589"/>
      <c r="AS157" s="589"/>
      <c r="AT157" s="589"/>
      <c r="AU157" s="589"/>
      <c r="AV157" s="589"/>
      <c r="AW157" s="589"/>
      <c r="AX157" s="589"/>
      <c r="AY157" s="589"/>
      <c r="AZ157" s="589"/>
      <c r="BA157" s="589"/>
      <c r="BB157" s="589"/>
      <c r="BD157" s="60" t="s">
        <v>877</v>
      </c>
      <c r="BE157" s="60" t="s">
        <v>868</v>
      </c>
    </row>
    <row r="158" spans="1:57" s="57" customFormat="1" ht="38.25" customHeight="1" x14ac:dyDescent="0.25">
      <c r="A158" s="63">
        <f>IF(D158="","",SUBTOTAL(3,$D$8:D158))</f>
        <v>128</v>
      </c>
      <c r="B158" s="74" t="s">
        <v>39</v>
      </c>
      <c r="C158" s="71" t="s">
        <v>262</v>
      </c>
      <c r="D158" s="89" t="s">
        <v>263</v>
      </c>
      <c r="E158" s="652"/>
      <c r="F158" s="652"/>
      <c r="G158" s="282" t="str">
        <f t="shared" si="47"/>
        <v>A2</v>
      </c>
      <c r="H158" s="234"/>
      <c r="I158" s="737" t="s">
        <v>966</v>
      </c>
      <c r="J158" s="737" t="s">
        <v>1017</v>
      </c>
      <c r="K158" s="234"/>
      <c r="L158" s="294" t="s">
        <v>85</v>
      </c>
      <c r="M158" s="827"/>
      <c r="N158" s="291">
        <f>IFERROR(VLOOKUP($D158,K.KHCB!$C$10:$AG$30,18,0),0)</f>
        <v>3</v>
      </c>
      <c r="O158" s="291">
        <f>IFERROR(VLOOKUP($D158,K.KHCB!$C$10:$AG$30,30,0),0)</f>
        <v>0</v>
      </c>
      <c r="P158" s="313" t="s">
        <v>85</v>
      </c>
      <c r="Q158" s="1196" t="s">
        <v>84</v>
      </c>
      <c r="R158" s="317"/>
      <c r="S158" s="664"/>
      <c r="T158" s="664"/>
      <c r="U158" s="176" t="str">
        <f>$Q158</f>
        <v>A2</v>
      </c>
      <c r="V158" s="180">
        <f>R158</f>
        <v>0</v>
      </c>
      <c r="W158" s="330">
        <f>IFERROR(VLOOKUP($D158,K.KHCB!$C$10:$AG$30,19,0),0)</f>
        <v>3</v>
      </c>
      <c r="X158" s="330">
        <f>IFERROR(VLOOKUP($D158,K.KHCB!$C$10:$AG$30,31,0),0)</f>
        <v>0</v>
      </c>
      <c r="Y158" s="89"/>
      <c r="Z158" s="3"/>
      <c r="AA158" s="68"/>
      <c r="AB158" s="846" t="s">
        <v>84</v>
      </c>
      <c r="AC158" s="775" t="s">
        <v>1154</v>
      </c>
      <c r="AD158" s="213"/>
      <c r="AE158" s="60" t="str">
        <f t="shared" si="53"/>
        <v>A3</v>
      </c>
      <c r="AF158" s="60"/>
      <c r="AG158" s="60"/>
      <c r="AH158" s="94"/>
      <c r="AI158" s="94"/>
      <c r="AJ158" s="94"/>
      <c r="AK158" s="94"/>
      <c r="AL158" s="589"/>
      <c r="AM158" s="589"/>
      <c r="AN158" s="589"/>
      <c r="AO158" s="589"/>
      <c r="AP158" s="589"/>
      <c r="AQ158" s="589"/>
      <c r="AR158" s="589"/>
      <c r="AS158" s="589"/>
      <c r="AT158" s="589"/>
      <c r="AU158" s="589"/>
      <c r="AV158" s="589"/>
      <c r="AW158" s="589"/>
      <c r="AX158" s="589"/>
      <c r="AY158" s="589"/>
      <c r="AZ158" s="589"/>
      <c r="BA158" s="589"/>
      <c r="BB158" s="589"/>
      <c r="BD158" s="60" t="s">
        <v>877</v>
      </c>
      <c r="BE158" s="60" t="s">
        <v>868</v>
      </c>
    </row>
    <row r="159" spans="1:57" s="57" customFormat="1" ht="39" customHeight="1" x14ac:dyDescent="0.25">
      <c r="A159" s="63">
        <f>IF(D159="","",SUBTOTAL(3,$D$8:D159))</f>
        <v>129</v>
      </c>
      <c r="B159" s="74" t="s">
        <v>37</v>
      </c>
      <c r="C159" s="71" t="s">
        <v>633</v>
      </c>
      <c r="D159" s="82" t="s">
        <v>260</v>
      </c>
      <c r="E159" s="652"/>
      <c r="F159" s="652"/>
      <c r="G159" s="282" t="str">
        <f t="shared" si="47"/>
        <v>A1</v>
      </c>
      <c r="H159" s="738" t="s">
        <v>1018</v>
      </c>
      <c r="I159" s="737" t="s">
        <v>966</v>
      </c>
      <c r="J159" s="737" t="s">
        <v>1017</v>
      </c>
      <c r="K159" s="739" t="s">
        <v>1047</v>
      </c>
      <c r="L159" s="1175" t="s">
        <v>82</v>
      </c>
      <c r="M159" s="827"/>
      <c r="N159" s="291">
        <f>IFERROR(VLOOKUP($D159,K.KHCB!$C$10:$AG$30,18,0),0)</f>
        <v>2</v>
      </c>
      <c r="O159" s="291">
        <f>IFERROR(VLOOKUP($D159,K.KHCB!$C$10:$AG$30,30,0),0)</f>
        <v>1</v>
      </c>
      <c r="P159" s="313" t="str">
        <f t="shared" si="51"/>
        <v>A3</v>
      </c>
      <c r="Q159" s="1196" t="str">
        <f t="shared" si="52"/>
        <v>A3</v>
      </c>
      <c r="R159" s="1281" t="s">
        <v>1209</v>
      </c>
      <c r="S159" s="664"/>
      <c r="T159" s="664"/>
      <c r="U159" s="1289" t="s">
        <v>84</v>
      </c>
      <c r="V159" s="178"/>
      <c r="W159" s="330">
        <f>IFERROR(VLOOKUP($D159,K.KHCB!$C$10:$AG$30,19,0),0)</f>
        <v>2</v>
      </c>
      <c r="X159" s="330">
        <f>IFERROR(VLOOKUP($D159,K.KHCB!$C$10:$AG$30,31,0),0)</f>
        <v>1</v>
      </c>
      <c r="Y159" s="82"/>
      <c r="Z159" s="3"/>
      <c r="AA159" s="68"/>
      <c r="AB159" s="846"/>
      <c r="AC159" s="775"/>
      <c r="AD159" s="213"/>
      <c r="AE159" s="60" t="b">
        <f t="shared" si="53"/>
        <v>0</v>
      </c>
      <c r="AF159" s="60"/>
      <c r="AG159" s="589"/>
      <c r="AH159" s="94"/>
      <c r="AI159" s="94"/>
      <c r="AJ159" s="94"/>
      <c r="AK159" s="94"/>
      <c r="AL159" s="589"/>
      <c r="AM159" s="589"/>
      <c r="AN159" s="589"/>
      <c r="AO159" s="589"/>
      <c r="AP159" s="589"/>
      <c r="AQ159" s="589"/>
      <c r="AR159" s="589"/>
      <c r="AS159" s="589"/>
      <c r="AT159" s="589"/>
      <c r="AU159" s="589"/>
      <c r="AV159" s="589"/>
      <c r="AW159" s="589"/>
      <c r="AX159" s="589"/>
      <c r="AY159" s="589"/>
      <c r="AZ159" s="589"/>
      <c r="BA159" s="589"/>
      <c r="BB159" s="589"/>
      <c r="BD159" s="60" t="s">
        <v>877</v>
      </c>
      <c r="BE159" s="60" t="s">
        <v>868</v>
      </c>
    </row>
    <row r="160" spans="1:57" ht="35.25" customHeight="1" x14ac:dyDescent="0.25">
      <c r="A160" s="62" t="s">
        <v>581</v>
      </c>
      <c r="B160" s="62" t="s">
        <v>729</v>
      </c>
      <c r="C160" s="64" t="s">
        <v>1088</v>
      </c>
      <c r="D160" s="62"/>
      <c r="E160" s="691" t="s">
        <v>949</v>
      </c>
      <c r="F160" s="691" t="s">
        <v>950</v>
      </c>
      <c r="G160" s="875">
        <f>COUNTA($L162:$L174)</f>
        <v>13</v>
      </c>
      <c r="H160" s="234"/>
      <c r="I160" s="234"/>
      <c r="J160" s="234"/>
      <c r="K160" s="234"/>
      <c r="L160" s="873">
        <f>COUNTA($L162:$L174)</f>
        <v>13</v>
      </c>
      <c r="M160" s="286" t="str">
        <f xml:space="preserve"> (COUNTIF($L$162:$L$174, "A1") &amp; "A1")&amp;" + "&amp; (COUNTIF($L$162:$L$174, "A2") &amp; "A2")&amp;" + "&amp; (COUNTIF($L$162:$L$174, "A3") &amp; "A3")&amp;" + "&amp; (COUNTIF($L$162:$L$174, "A4") &amp; "A4") &amp;" + "&amp; (COUNTIF($L$162:$L$174, "KXL") &amp; " KXL")</f>
        <v>0A1 + 0A2 + 6A3 + 6A4 + 1 KXL</v>
      </c>
      <c r="N160" s="873"/>
      <c r="O160" s="873"/>
      <c r="P160" s="311">
        <f>COUNTA($Q$162:$Q$174)</f>
        <v>13</v>
      </c>
      <c r="Q160" s="931">
        <f>COUNTA($Q$162:$Q$174)</f>
        <v>13</v>
      </c>
      <c r="R160" s="312" t="str">
        <f xml:space="preserve"> (COUNTIF($Q$162:$Q$174, "A1") &amp; "A1")&amp;" + "&amp; (COUNTIF($Q$162:$Q$174, "A2") &amp; "A2")&amp;" + "&amp; (COUNTIF($Q$162:$Q$174, "A3") &amp; "A3")&amp;" + "&amp; (COUNTIF($Q$162:$Q$174, "A4") &amp; "A4")&amp;" + "&amp; (COUNTIF($Q$162:$Q$174, "KXL") &amp; "KXL")</f>
        <v>1A1 + 2A2 + 4A3 + 5A4 + 1KXL</v>
      </c>
      <c r="S160" s="691" t="s">
        <v>949</v>
      </c>
      <c r="T160" s="691" t="s">
        <v>950</v>
      </c>
      <c r="U160" s="874">
        <f>COUNTA($U162:$U174)</f>
        <v>13</v>
      </c>
      <c r="V160" s="175" t="str">
        <f xml:space="preserve"> (COUNTIF($U$162:$U$174, "A1") &amp; "A1")&amp;" + "&amp; (COUNTIF($U$162:$U$174, "A2") &amp; "A2")&amp;" + "&amp; (COUNTIF($U$162:$U$174, "A3") &amp; "A3")&amp;" + "&amp; (COUNTIF($U$162:$U$174, "A4") &amp; "A4")&amp;" + "&amp; (COUNTIF($U$162:$U$174, "KXL") &amp; " KXL")</f>
        <v>1A1 + 2A2 + 4A3 + 5A4 + 1 KXL</v>
      </c>
      <c r="W160" s="872"/>
      <c r="X160" s="872"/>
      <c r="Y160" s="871"/>
      <c r="Z160" s="95"/>
      <c r="AA160" s="95"/>
      <c r="AB160" s="777"/>
      <c r="AC160" s="839"/>
      <c r="AD160" s="219"/>
      <c r="AE160" s="60"/>
      <c r="AF160" s="60"/>
      <c r="AG160" s="1328" t="s">
        <v>915</v>
      </c>
      <c r="AH160" s="1328"/>
      <c r="AI160" s="1328"/>
      <c r="AK160" s="1327" t="s">
        <v>906</v>
      </c>
      <c r="AL160" s="1327"/>
      <c r="AM160" s="1327"/>
      <c r="AN160" s="1327"/>
      <c r="AO160" s="1327"/>
      <c r="AP160" s="1327"/>
      <c r="AQ160" s="1327"/>
      <c r="AR160" s="1327"/>
      <c r="AS160" s="1327"/>
      <c r="AT160" s="1327"/>
      <c r="AU160" s="1327"/>
      <c r="AV160" s="1327"/>
      <c r="AW160" s="1327"/>
      <c r="AX160" s="1327"/>
      <c r="AY160" s="1327"/>
      <c r="AZ160" s="1327"/>
      <c r="BA160" s="1327"/>
      <c r="BB160" s="1327"/>
    </row>
    <row r="161" spans="1:59" ht="35.25" customHeight="1" x14ac:dyDescent="0.25">
      <c r="A161" s="65" t="s">
        <v>45</v>
      </c>
      <c r="B161" s="65" t="s">
        <v>45</v>
      </c>
      <c r="C161" s="66" t="s">
        <v>46</v>
      </c>
      <c r="D161" s="65"/>
      <c r="E161" s="692">
        <f>COUNTIF($L163:$L174,"A1")</f>
        <v>0</v>
      </c>
      <c r="F161" s="692">
        <f>COUNTIF($L163:$L174,"A2")</f>
        <v>0</v>
      </c>
      <c r="G161" s="875">
        <f>COUNTA($L163:$L175)</f>
        <v>13</v>
      </c>
      <c r="H161" s="234"/>
      <c r="I161" s="234"/>
      <c r="J161" s="234"/>
      <c r="K161" s="234"/>
      <c r="L161" s="873">
        <f>COUNTA($L163:$L175)</f>
        <v>13</v>
      </c>
      <c r="M161" s="286" t="str">
        <f xml:space="preserve"> (COUNTIF($L$162:$L$174, "A1") &amp; "A1")&amp;" + "&amp; (COUNTIF($L$162:$L$174, "A2") &amp; "A2")&amp;" + "&amp; (COUNTIF($L$162:$L$174, "A3") &amp; "A3")&amp;" + "&amp; (COUNTIF($L$162:$L$174, "A4") &amp; "A4") &amp;" + "&amp; (COUNTIF($L$162:$L$174, "KXL") &amp; " KXL")</f>
        <v>0A1 + 0A2 + 6A3 + 6A4 + 1 KXL</v>
      </c>
      <c r="N161" s="873"/>
      <c r="O161" s="873"/>
      <c r="P161" s="311">
        <f>COUNTA($Q$162:$Q$174)</f>
        <v>13</v>
      </c>
      <c r="Q161" s="931">
        <f>COUNTA($Q$162:$Q$174)</f>
        <v>13</v>
      </c>
      <c r="R161" s="312" t="str">
        <f xml:space="preserve"> (COUNTIF($Q$162:$Q$174, "A1") &amp; "A1")&amp;" + "&amp; (COUNTIF($Q$162:$Q$174, "A2") &amp; "A2")&amp;" + "&amp; (COUNTIF($Q$162:$Q$174, "A3") &amp; "A3")&amp;" + "&amp; (COUNTIF($Q$162:$Q$174, "A4") &amp; "A4")&amp;" + "&amp; (COUNTIF($Q$162:$Q$174, "KXL") &amp; "KXL")</f>
        <v>1A1 + 2A2 + 4A3 + 5A4 + 1KXL</v>
      </c>
      <c r="S161" s="692">
        <f>COUNTIF($U163:$U174,"A1")</f>
        <v>0</v>
      </c>
      <c r="T161" s="692">
        <f>COUNTIF($U163:$U174,"A2")</f>
        <v>2</v>
      </c>
      <c r="U161" s="874">
        <f>COUNTA($U163:$U175)</f>
        <v>13</v>
      </c>
      <c r="V161" s="175" t="str">
        <f xml:space="preserve"> (COUNTIF($U$162:$U$174, "A1") &amp; "A1")&amp;" + "&amp; (COUNTIF($U$162:$U$174, "A2") &amp; "A2")&amp;" + "&amp; (COUNTIF($U$162:$U$174, "A3") &amp; "A3")&amp;" + "&amp; (COUNTIF($U$162:$U$174, "A4") &amp; "A4")&amp;" + "&amp; (COUNTIF($U$162:$U$174, "KXL") &amp; " KXL")</f>
        <v>1A1 + 2A2 + 4A3 + 5A4 + 1 KXL</v>
      </c>
      <c r="W161" s="872"/>
      <c r="X161" s="872"/>
      <c r="Y161" s="871"/>
      <c r="Z161" s="95"/>
      <c r="AA161" s="95"/>
      <c r="AB161" s="242"/>
      <c r="AC161" s="836"/>
      <c r="AD161" s="213"/>
      <c r="AE161" s="60"/>
      <c r="AF161" s="60"/>
      <c r="AG161" s="956" t="s">
        <v>845</v>
      </c>
      <c r="AH161" s="956"/>
      <c r="AI161" s="605">
        <f>AH161/$L160</f>
        <v>0</v>
      </c>
      <c r="AK161" s="869" t="s">
        <v>1100</v>
      </c>
      <c r="AL161" s="869" t="s">
        <v>907</v>
      </c>
      <c r="AM161" s="1329" t="s">
        <v>897</v>
      </c>
      <c r="AN161" s="1329"/>
      <c r="AO161" s="1329" t="s">
        <v>898</v>
      </c>
      <c r="AP161" s="1329"/>
      <c r="AQ161" s="1329" t="s">
        <v>899</v>
      </c>
      <c r="AR161" s="1329"/>
      <c r="AS161" s="1329" t="s">
        <v>900</v>
      </c>
      <c r="AT161" s="1329"/>
      <c r="AU161" s="1329" t="s">
        <v>902</v>
      </c>
      <c r="AV161" s="1329"/>
      <c r="AW161" s="1329" t="s">
        <v>903</v>
      </c>
      <c r="AX161" s="1329"/>
      <c r="AY161" s="1329" t="s">
        <v>904</v>
      </c>
      <c r="AZ161" s="1329"/>
      <c r="BA161" s="1329" t="s">
        <v>905</v>
      </c>
      <c r="BB161" s="1329"/>
      <c r="BF161" s="60">
        <f>COUNTIF($BE162:$BE174,"CBQL")</f>
        <v>1</v>
      </c>
      <c r="BG161" s="60">
        <f>COUNTIF($BE162:$BE174,"GV") + COUNTIF($BE162:$BE174,"NV")</f>
        <v>12</v>
      </c>
    </row>
    <row r="162" spans="1:59" s="57" customFormat="1" ht="45" customHeight="1" x14ac:dyDescent="0.25">
      <c r="A162" s="63">
        <f>IF(D162="","",SUBTOTAL(3,$D$8:D162))</f>
        <v>130</v>
      </c>
      <c r="B162" s="74" t="s">
        <v>17</v>
      </c>
      <c r="C162" s="75" t="s">
        <v>224</v>
      </c>
      <c r="D162" s="81" t="s">
        <v>225</v>
      </c>
      <c r="E162" s="693">
        <f>E161/$AL$164</f>
        <v>0</v>
      </c>
      <c r="F162" s="693">
        <f>F161/$AL$164</f>
        <v>0</v>
      </c>
      <c r="G162" s="282" t="str">
        <f t="shared" ref="G162:G172" si="54">IF($H162&lt;&gt;0,"A1",IF($I162&lt;&gt;0,"A2",IF($J162&lt;&gt;0,"A3","A4")))</f>
        <v>A2</v>
      </c>
      <c r="H162" s="234"/>
      <c r="I162" s="737" t="s">
        <v>966</v>
      </c>
      <c r="J162" s="737" t="s">
        <v>1017</v>
      </c>
      <c r="K162" s="234"/>
      <c r="L162" s="294" t="s">
        <v>85</v>
      </c>
      <c r="M162" s="1279" t="s">
        <v>1210</v>
      </c>
      <c r="N162" s="291">
        <f>IFERROR(VLOOKUP($D162,'P.TTGD-CTSV'!$C$10:$AE$24,14,0),0)</f>
        <v>0</v>
      </c>
      <c r="O162" s="291">
        <f>IFERROR(VLOOKUP($D162,'P.TTGD-CTSV'!$C$10:$AE$24,28,0),0)</f>
        <v>0</v>
      </c>
      <c r="P162" s="313" t="str">
        <f t="shared" ref="P162" si="55">IF(AND($W162&gt;=2,$X162&gt;=3,$Y162&gt;=1,H162&lt;&gt;0),"A1",IF(AND($W162&gt;=3,$X162&gt;=1,$Y162&gt;=1,H162&lt;&gt;0),"A1",IF(AND($W162&gt;=4,$X162&gt;=0,$Y162&gt;=1,H162&lt;&gt;0),"A1",IF(AND($W162&gt;=2,$X162&gt;=2,$Y162&gt;=1,I162&lt;&gt;0),"A2",IF(AND($W162&gt;=3,$X162&gt;=0,$Y162&gt;=1,I162&lt;&gt;0),"A2",IF(AND(OR($W162&gt;=1,$X162&gt;=2),J162&lt;&gt;0,$Y162&gt;=-2),"A3","A4"))))))</f>
        <v>A3</v>
      </c>
      <c r="Q162" s="1196" t="s">
        <v>82</v>
      </c>
      <c r="R162" s="317"/>
      <c r="S162" s="693">
        <f>S161/$AL$164</f>
        <v>0</v>
      </c>
      <c r="T162" s="693">
        <f>T161/$AL$164</f>
        <v>0.16666666666666666</v>
      </c>
      <c r="U162" s="176" t="str">
        <f t="shared" ref="U162:U172" si="56">$Q162</f>
        <v>A1</v>
      </c>
      <c r="V162" s="179"/>
      <c r="W162" s="330">
        <f>IFERROR(VLOOKUP($D162,'K.NG NGU'!$C$10:$AH$22,19,0),0)</f>
        <v>1</v>
      </c>
      <c r="X162" s="330">
        <f>IFERROR(VLOOKUP($D162,'K.NG NGU'!$C$10:$AH$22,31,0),0)</f>
        <v>1</v>
      </c>
      <c r="Y162" s="82"/>
      <c r="Z162" s="119"/>
      <c r="AA162" s="68"/>
      <c r="AB162" s="846"/>
      <c r="AC162" s="775"/>
      <c r="AD162" s="213"/>
      <c r="AE162" s="60" t="str">
        <f t="shared" ref="AE162:AE172" si="57">IF($L162=$P162,$L162,FALSE)</f>
        <v>A3</v>
      </c>
      <c r="AF162" s="60"/>
      <c r="AG162" s="956" t="s">
        <v>846</v>
      </c>
      <c r="AH162" s="956"/>
      <c r="AI162" s="605">
        <f>AH162/$L160</f>
        <v>0</v>
      </c>
      <c r="AK162" s="594"/>
      <c r="AL162" s="595">
        <f>AL163+AL164</f>
        <v>13</v>
      </c>
      <c r="AM162" s="957" t="s">
        <v>896</v>
      </c>
      <c r="AN162" s="957" t="s">
        <v>844</v>
      </c>
      <c r="AO162" s="957" t="s">
        <v>896</v>
      </c>
      <c r="AP162" s="957" t="s">
        <v>844</v>
      </c>
      <c r="AQ162" s="957" t="s">
        <v>896</v>
      </c>
      <c r="AR162" s="957" t="s">
        <v>844</v>
      </c>
      <c r="AS162" s="957" t="s">
        <v>896</v>
      </c>
      <c r="AT162" s="957" t="s">
        <v>844</v>
      </c>
      <c r="AU162" s="957" t="s">
        <v>896</v>
      </c>
      <c r="AV162" s="957" t="s">
        <v>844</v>
      </c>
      <c r="AW162" s="957" t="s">
        <v>896</v>
      </c>
      <c r="AX162" s="957" t="s">
        <v>844</v>
      </c>
      <c r="AY162" s="957" t="s">
        <v>896</v>
      </c>
      <c r="AZ162" s="957" t="s">
        <v>844</v>
      </c>
      <c r="BA162" s="957" t="s">
        <v>896</v>
      </c>
      <c r="BB162" s="957" t="s">
        <v>844</v>
      </c>
      <c r="BD162" s="60" t="s">
        <v>1101</v>
      </c>
      <c r="BE162" s="60" t="s">
        <v>866</v>
      </c>
    </row>
    <row r="163" spans="1:59" s="57" customFormat="1" ht="49.5" customHeight="1" x14ac:dyDescent="0.25">
      <c r="A163" s="63">
        <f>IF(D163="","",SUBTOTAL(3,$D$8:D163))</f>
        <v>131</v>
      </c>
      <c r="B163" s="74" t="s">
        <v>18</v>
      </c>
      <c r="C163" s="75" t="s">
        <v>226</v>
      </c>
      <c r="D163" s="151" t="s">
        <v>227</v>
      </c>
      <c r="E163" s="652"/>
      <c r="F163" s="652"/>
      <c r="G163" s="282" t="str">
        <f t="shared" si="54"/>
        <v>A2</v>
      </c>
      <c r="H163" s="234"/>
      <c r="I163" s="737" t="s">
        <v>966</v>
      </c>
      <c r="J163" s="737" t="s">
        <v>1007</v>
      </c>
      <c r="K163" s="234"/>
      <c r="L163" s="294" t="s">
        <v>85</v>
      </c>
      <c r="M163" s="827"/>
      <c r="N163" s="291">
        <f>IFERROR(VLOOKUP($D163,'K.NG NGU'!$C$10:$AH$22,18,0),0)</f>
        <v>2</v>
      </c>
      <c r="O163" s="291">
        <f>IFERROR(VLOOKUP($D163,'K.NG NGU'!$C$10:$AH$22,30,0),0)</f>
        <v>1</v>
      </c>
      <c r="P163" s="313" t="str">
        <f t="shared" ref="P163:P174" si="58">IF(AND($W163&gt;=2,$X163&gt;=3,H163&lt;&gt;0),"A1",IF(AND($W163&gt;=3,$X163&gt;=1,H163&lt;&gt;0),"A1",IF(AND($W163&gt;=4,$X163&gt;=0,H163&lt;&gt;0),"A1",IF(AND($W163&gt;=2,$X163&gt;=2,I163&lt;&gt;0),"A2",IF(AND($W163&gt;=3,$X163&gt;=0,I163&lt;&gt;0),"A2",IF(AND(OR($W163&gt;=1,$X163&gt;=2),J163&lt;&gt;0),"A3","A4"))))))</f>
        <v>A3</v>
      </c>
      <c r="Q163" s="1196" t="s">
        <v>84</v>
      </c>
      <c r="R163" s="317"/>
      <c r="S163" s="664"/>
      <c r="T163" s="664"/>
      <c r="U163" s="176" t="str">
        <f t="shared" si="56"/>
        <v>A2</v>
      </c>
      <c r="V163" s="178"/>
      <c r="W163" s="330">
        <f>IFERROR(VLOOKUP($D163,'K.NG NGU'!$C$10:$AH$22,19,0),0)</f>
        <v>2</v>
      </c>
      <c r="X163" s="330">
        <f>IFERROR(VLOOKUP($D163,'K.NG NGU'!$C$10:$AH$22,31,0),0)</f>
        <v>1</v>
      </c>
      <c r="Y163" s="92"/>
      <c r="Z163" s="119"/>
      <c r="AA163" s="68"/>
      <c r="AB163" s="848" t="s">
        <v>84</v>
      </c>
      <c r="AC163" s="775" t="s">
        <v>1155</v>
      </c>
      <c r="AD163" s="213"/>
      <c r="AE163" s="60" t="str">
        <f t="shared" si="57"/>
        <v>A3</v>
      </c>
      <c r="AF163" s="60"/>
      <c r="AG163" s="956"/>
      <c r="AH163" s="958">
        <f>AH161+AH162</f>
        <v>0</v>
      </c>
      <c r="AI163" s="606">
        <f>AI161+AI162</f>
        <v>0</v>
      </c>
      <c r="AK163" s="597" t="s">
        <v>864</v>
      </c>
      <c r="AL163" s="595">
        <f>COUNTIF($BE162:$BE174,"CBQL")</f>
        <v>1</v>
      </c>
      <c r="AM163" s="595">
        <f>COUNTIF($U162:$U162,"A1")</f>
        <v>1</v>
      </c>
      <c r="AN163" s="611">
        <f>AM163/$AL$139</f>
        <v>4.7619047619047616E-2</v>
      </c>
      <c r="AO163" s="595">
        <f>COUNTIF($U162:$U162,"A2")</f>
        <v>0</v>
      </c>
      <c r="AP163" s="611">
        <f>AO163/$AL$139</f>
        <v>0</v>
      </c>
      <c r="AQ163" s="595">
        <f>COUNTIF($U162:$U162,"A3")</f>
        <v>0</v>
      </c>
      <c r="AR163" s="611">
        <f>AQ163/$AL$139</f>
        <v>0</v>
      </c>
      <c r="AS163" s="595">
        <f>COUNTIF($U162:$U162,"A4")</f>
        <v>0</v>
      </c>
      <c r="AT163" s="611">
        <f>AS163/$AL$139</f>
        <v>0</v>
      </c>
      <c r="AU163" s="595"/>
      <c r="AV163" s="595"/>
      <c r="AW163" s="595"/>
      <c r="AX163" s="595"/>
      <c r="AY163" s="595"/>
      <c r="AZ163" s="595"/>
      <c r="BA163" s="595"/>
      <c r="BB163" s="595"/>
      <c r="BD163" s="60" t="s">
        <v>1101</v>
      </c>
      <c r="BE163" s="60" t="s">
        <v>868</v>
      </c>
    </row>
    <row r="164" spans="1:59" s="57" customFormat="1" ht="46.5" customHeight="1" x14ac:dyDescent="0.25">
      <c r="A164" s="63">
        <f>IF(D164="","",SUBTOTAL(3,$D$8:D164))</f>
        <v>132</v>
      </c>
      <c r="B164" s="74" t="s">
        <v>19</v>
      </c>
      <c r="C164" s="75" t="s">
        <v>228</v>
      </c>
      <c r="D164" s="81" t="s">
        <v>229</v>
      </c>
      <c r="E164" s="652"/>
      <c r="F164" s="652"/>
      <c r="G164" s="282" t="str">
        <f t="shared" si="54"/>
        <v>A2</v>
      </c>
      <c r="H164" s="234"/>
      <c r="I164" s="737" t="s">
        <v>966</v>
      </c>
      <c r="J164" s="737" t="s">
        <v>1017</v>
      </c>
      <c r="K164" s="234"/>
      <c r="L164" s="294" t="s">
        <v>85</v>
      </c>
      <c r="M164" s="826"/>
      <c r="N164" s="291">
        <f>IFERROR(VLOOKUP($D164,'K.NG NGU'!$C$10:$AH$22,18,0),0)</f>
        <v>2</v>
      </c>
      <c r="O164" s="291">
        <f>IFERROR(VLOOKUP($D164,'K.NG NGU'!$C$10:$AH$22,30,0),0)</f>
        <v>1</v>
      </c>
      <c r="P164" s="313" t="str">
        <f t="shared" si="58"/>
        <v>A3</v>
      </c>
      <c r="Q164" s="1196" t="s">
        <v>84</v>
      </c>
      <c r="R164" s="317"/>
      <c r="S164" s="664"/>
      <c r="T164" s="664"/>
      <c r="U164" s="176" t="str">
        <f t="shared" si="56"/>
        <v>A2</v>
      </c>
      <c r="V164" s="178"/>
      <c r="W164" s="330">
        <f>IFERROR(VLOOKUP($D164,'K.NG NGU'!$C$10:$AH$22,19,0),0)</f>
        <v>2</v>
      </c>
      <c r="X164" s="330">
        <f>IFERROR(VLOOKUP($D164,'K.NG NGU'!$C$10:$AH$22,31,0),0)</f>
        <v>1</v>
      </c>
      <c r="Y164" s="82"/>
      <c r="Z164" s="119"/>
      <c r="AA164" s="83"/>
      <c r="AB164" s="848" t="s">
        <v>84</v>
      </c>
      <c r="AC164" s="775" t="s">
        <v>1155</v>
      </c>
      <c r="AD164" s="529"/>
      <c r="AE164" s="60" t="str">
        <f t="shared" si="57"/>
        <v>A3</v>
      </c>
      <c r="AF164" s="60"/>
      <c r="AG164" s="60"/>
      <c r="AH164" s="542"/>
      <c r="AI164" s="542"/>
      <c r="AK164" s="597" t="s">
        <v>865</v>
      </c>
      <c r="AL164" s="595">
        <f>COUNTIF($BE162:$BE174,"GV") + COUNTIF($BE162:$BE174,"NV")</f>
        <v>12</v>
      </c>
      <c r="AM164" s="595">
        <f>COUNTIF($U163:$U174,"A1")</f>
        <v>0</v>
      </c>
      <c r="AN164" s="611">
        <f>AM164/$AL$139</f>
        <v>0</v>
      </c>
      <c r="AO164" s="595">
        <f>COUNTIF($U163:$U174,"A2")</f>
        <v>2</v>
      </c>
      <c r="AP164" s="611">
        <f>AO164/$AL$139</f>
        <v>9.5238095238095233E-2</v>
      </c>
      <c r="AQ164" s="595">
        <f>COUNTIF($U163:$U174,"A3")</f>
        <v>4</v>
      </c>
      <c r="AR164" s="611">
        <f>AQ164/$AL$139</f>
        <v>0.19047619047619047</v>
      </c>
      <c r="AS164" s="595">
        <f>COUNTIF($U163:$U174,"A4")</f>
        <v>5</v>
      </c>
      <c r="AT164" s="611">
        <f>AS164/$AL$139</f>
        <v>0.23809523809523808</v>
      </c>
      <c r="AU164" s="595"/>
      <c r="AV164" s="595"/>
      <c r="AW164" s="595"/>
      <c r="AX164" s="595"/>
      <c r="AY164" s="595"/>
      <c r="AZ164" s="595"/>
      <c r="BA164" s="595"/>
      <c r="BB164" s="595"/>
      <c r="BD164" s="60" t="s">
        <v>1101</v>
      </c>
      <c r="BE164" s="60" t="s">
        <v>868</v>
      </c>
    </row>
    <row r="165" spans="1:59" s="57" customFormat="1" ht="34.5" customHeight="1" x14ac:dyDescent="0.25">
      <c r="A165" s="63">
        <f>IF(D165="","",SUBTOTAL(3,$D$8:D165))</f>
        <v>133</v>
      </c>
      <c r="B165" s="74" t="s">
        <v>21</v>
      </c>
      <c r="C165" s="75" t="s">
        <v>230</v>
      </c>
      <c r="D165" s="81" t="s">
        <v>231</v>
      </c>
      <c r="E165" s="652"/>
      <c r="F165" s="652"/>
      <c r="G165" s="282" t="str">
        <f t="shared" si="54"/>
        <v>A4</v>
      </c>
      <c r="H165" s="234"/>
      <c r="I165" s="234"/>
      <c r="J165" s="234"/>
      <c r="K165" s="234"/>
      <c r="L165" s="294" t="s">
        <v>83</v>
      </c>
      <c r="M165" s="826"/>
      <c r="N165" s="291">
        <f>IFERROR(VLOOKUP($D165,'K.NG NGU'!$C$10:$AH$22,18,0),0)</f>
        <v>0</v>
      </c>
      <c r="O165" s="291">
        <f>IFERROR(VLOOKUP($D165,'K.NG NGU'!$C$10:$AH$22,30,0),0)</f>
        <v>0</v>
      </c>
      <c r="P165" s="313" t="str">
        <f t="shared" si="58"/>
        <v>A4</v>
      </c>
      <c r="Q165" s="341" t="str">
        <f t="shared" ref="Q165:Q174" si="59">P165</f>
        <v>A4</v>
      </c>
      <c r="R165" s="317"/>
      <c r="S165" s="664"/>
      <c r="T165" s="664"/>
      <c r="U165" s="176" t="str">
        <f t="shared" si="56"/>
        <v>A4</v>
      </c>
      <c r="V165" s="178"/>
      <c r="W165" s="330">
        <f>IFERROR(VLOOKUP($D165,'K.NG NGU'!$C$10:$AH$22,19,0),0)</f>
        <v>0</v>
      </c>
      <c r="X165" s="330">
        <f>IFERROR(VLOOKUP($D165,'K.NG NGU'!$C$10:$AH$22,31,0),0)</f>
        <v>0</v>
      </c>
      <c r="Y165" s="82"/>
      <c r="Z165" s="83"/>
      <c r="AA165" s="83"/>
      <c r="AB165" s="848"/>
      <c r="AC165" s="775"/>
      <c r="AD165" s="213"/>
      <c r="AE165" s="60" t="str">
        <f t="shared" si="57"/>
        <v>A4</v>
      </c>
      <c r="AF165" s="60"/>
      <c r="AG165" s="60"/>
      <c r="AH165" s="542"/>
      <c r="AI165" s="542"/>
      <c r="AK165" s="589"/>
      <c r="AL165" s="589"/>
      <c r="AM165" s="589"/>
      <c r="AN165" s="589"/>
      <c r="AO165" s="589"/>
      <c r="AP165" s="589"/>
      <c r="AQ165" s="589"/>
      <c r="AR165" s="589"/>
      <c r="AS165" s="589"/>
      <c r="AT165" s="589"/>
      <c r="AU165" s="589"/>
      <c r="AV165" s="589"/>
      <c r="AW165" s="589"/>
      <c r="AX165" s="589"/>
      <c r="AY165" s="589"/>
      <c r="AZ165" s="589"/>
      <c r="BA165" s="589"/>
      <c r="BB165" s="589"/>
      <c r="BD165" s="60" t="s">
        <v>1101</v>
      </c>
      <c r="BE165" s="60" t="s">
        <v>868</v>
      </c>
    </row>
    <row r="166" spans="1:59" s="57" customFormat="1" ht="132.75" customHeight="1" x14ac:dyDescent="0.25">
      <c r="A166" s="63">
        <f>IF(D166="","",SUBTOTAL(3,$D$8:D166))</f>
        <v>134</v>
      </c>
      <c r="B166" s="74" t="s">
        <v>22</v>
      </c>
      <c r="C166" s="75" t="s">
        <v>232</v>
      </c>
      <c r="D166" s="81" t="s">
        <v>233</v>
      </c>
      <c r="E166" s="652"/>
      <c r="F166" s="652"/>
      <c r="G166" s="282" t="str">
        <f t="shared" si="54"/>
        <v>A2</v>
      </c>
      <c r="H166" s="234"/>
      <c r="I166" s="737" t="s">
        <v>966</v>
      </c>
      <c r="J166" s="737" t="s">
        <v>1007</v>
      </c>
      <c r="K166" s="234"/>
      <c r="L166" s="294" t="s">
        <v>85</v>
      </c>
      <c r="M166" s="1277" t="s">
        <v>1181</v>
      </c>
      <c r="N166" s="291">
        <f>IFERROR(VLOOKUP($D166,'K.NG NGU'!$C$10:$AH$22,18,0),0)</f>
        <v>1</v>
      </c>
      <c r="O166" s="291">
        <f>IFERROR(VLOOKUP($D166,'K.NG NGU'!$C$10:$AH$22,30,0),0)</f>
        <v>1</v>
      </c>
      <c r="P166" s="313" t="str">
        <f t="shared" si="58"/>
        <v>A3</v>
      </c>
      <c r="Q166" s="341" t="str">
        <f t="shared" si="59"/>
        <v>A3</v>
      </c>
      <c r="R166" s="346" t="s">
        <v>1213</v>
      </c>
      <c r="S166" s="664"/>
      <c r="T166" s="664"/>
      <c r="U166" s="176" t="str">
        <f t="shared" si="56"/>
        <v>A3</v>
      </c>
      <c r="V166" s="178" t="str">
        <f>R166</f>
        <v>Nhắc nhở GV thực hiện đúng quy định giờ lên lớp</v>
      </c>
      <c r="W166" s="330">
        <f>IFERROR(VLOOKUP($D166,'K.NG NGU'!$C$10:$AH$22,19,0),0)</f>
        <v>1</v>
      </c>
      <c r="X166" s="330">
        <f>IFERROR(VLOOKUP($D166,'K.NG NGU'!$C$10:$AH$22,31,0),0)</f>
        <v>1</v>
      </c>
      <c r="Y166" s="82"/>
      <c r="Z166" s="68" t="s">
        <v>1176</v>
      </c>
      <c r="AA166" s="68" t="s">
        <v>1177</v>
      </c>
      <c r="AB166" s="848"/>
      <c r="AC166" s="775"/>
      <c r="AD166" s="529"/>
      <c r="AE166" s="60" t="str">
        <f t="shared" si="57"/>
        <v>A3</v>
      </c>
      <c r="AF166" s="60"/>
      <c r="AG166" s="60"/>
      <c r="AH166" s="542"/>
      <c r="AI166" s="542"/>
      <c r="AK166" s="589"/>
      <c r="AL166" s="589"/>
      <c r="AM166" s="589"/>
      <c r="AN166" s="589"/>
      <c r="AO166" s="589"/>
      <c r="AP166" s="589"/>
      <c r="AQ166" s="589"/>
      <c r="AR166" s="589"/>
      <c r="AS166" s="589"/>
      <c r="AT166" s="589"/>
      <c r="AU166" s="589"/>
      <c r="AV166" s="589"/>
      <c r="AW166" s="589"/>
      <c r="AX166" s="589"/>
      <c r="AY166" s="589"/>
      <c r="AZ166" s="589"/>
      <c r="BA166" s="589"/>
      <c r="BB166" s="589"/>
      <c r="BD166" s="60" t="s">
        <v>1101</v>
      </c>
      <c r="BE166" s="60" t="s">
        <v>868</v>
      </c>
    </row>
    <row r="167" spans="1:59" s="57" customFormat="1" ht="36" customHeight="1" x14ac:dyDescent="0.25">
      <c r="A167" s="63">
        <f>IF(D167="","",SUBTOTAL(3,$D$8:D167))</f>
        <v>135</v>
      </c>
      <c r="B167" s="74" t="s">
        <v>23</v>
      </c>
      <c r="C167" s="75" t="s">
        <v>234</v>
      </c>
      <c r="D167" s="81" t="s">
        <v>235</v>
      </c>
      <c r="E167" s="652"/>
      <c r="F167" s="652"/>
      <c r="G167" s="282" t="str">
        <f t="shared" si="54"/>
        <v>A4</v>
      </c>
      <c r="H167" s="234"/>
      <c r="I167" s="234"/>
      <c r="J167" s="234"/>
      <c r="K167" s="234"/>
      <c r="L167" s="294" t="s">
        <v>83</v>
      </c>
      <c r="M167" s="825"/>
      <c r="N167" s="291">
        <f>IFERROR(VLOOKUP($D167,'K.NG NGU'!$C$10:$AH$22,18,0),0)</f>
        <v>0</v>
      </c>
      <c r="O167" s="291">
        <f>IFERROR(VLOOKUP($D167,'K.NG NGU'!$C$10:$AH$22,30,0),0)</f>
        <v>0</v>
      </c>
      <c r="P167" s="313" t="str">
        <f t="shared" si="58"/>
        <v>A4</v>
      </c>
      <c r="Q167" s="341" t="str">
        <f t="shared" si="59"/>
        <v>A4</v>
      </c>
      <c r="R167" s="317"/>
      <c r="S167" s="664"/>
      <c r="T167" s="664"/>
      <c r="U167" s="176" t="str">
        <f t="shared" si="56"/>
        <v>A4</v>
      </c>
      <c r="V167" s="178"/>
      <c r="W167" s="330">
        <f>IFERROR(VLOOKUP($D167,'K.NG NGU'!$C$10:$AH$22,19,0),0)</f>
        <v>0</v>
      </c>
      <c r="X167" s="330">
        <f>IFERROR(VLOOKUP($D167,'K.NG NGU'!$C$10:$AH$22,31,0),0)</f>
        <v>0</v>
      </c>
      <c r="Y167" s="82"/>
      <c r="Z167" s="68"/>
      <c r="AA167" s="85"/>
      <c r="AB167" s="848"/>
      <c r="AC167" s="775"/>
      <c r="AD167" s="213"/>
      <c r="AE167" s="60" t="str">
        <f t="shared" si="57"/>
        <v>A4</v>
      </c>
      <c r="AF167" s="60"/>
      <c r="AG167" s="60"/>
      <c r="AH167" s="542"/>
      <c r="AI167" s="542"/>
      <c r="AK167" s="589"/>
      <c r="AL167" s="589"/>
      <c r="AM167" s="589"/>
      <c r="AN167" s="589"/>
      <c r="AO167" s="589"/>
      <c r="AP167" s="589"/>
      <c r="AQ167" s="589"/>
      <c r="AR167" s="589"/>
      <c r="AS167" s="589"/>
      <c r="AT167" s="589"/>
      <c r="AU167" s="589"/>
      <c r="AV167" s="589"/>
      <c r="AW167" s="589"/>
      <c r="AX167" s="589"/>
      <c r="AY167" s="589"/>
      <c r="AZ167" s="589"/>
      <c r="BA167" s="589"/>
      <c r="BB167" s="589"/>
      <c r="BD167" s="60" t="s">
        <v>1101</v>
      </c>
      <c r="BE167" s="60" t="s">
        <v>868</v>
      </c>
    </row>
    <row r="168" spans="1:59" s="57" customFormat="1" ht="36" customHeight="1" x14ac:dyDescent="0.25">
      <c r="A168" s="63">
        <f>IF(D168="","",SUBTOTAL(3,$D$8:D168))</f>
        <v>136</v>
      </c>
      <c r="B168" s="74" t="s">
        <v>24</v>
      </c>
      <c r="C168" s="75" t="s">
        <v>236</v>
      </c>
      <c r="D168" s="81" t="s">
        <v>237</v>
      </c>
      <c r="E168" s="652"/>
      <c r="F168" s="652"/>
      <c r="G168" s="282" t="str">
        <f t="shared" si="54"/>
        <v>A2</v>
      </c>
      <c r="H168" s="234"/>
      <c r="I168" s="737" t="s">
        <v>966</v>
      </c>
      <c r="J168" s="737" t="s">
        <v>1017</v>
      </c>
      <c r="K168" s="234"/>
      <c r="L168" s="294" t="s">
        <v>85</v>
      </c>
      <c r="M168" s="826"/>
      <c r="N168" s="291">
        <f>IFERROR(VLOOKUP($D168,'K.NG NGU'!$C$10:$AH$22,18,0),0)</f>
        <v>1</v>
      </c>
      <c r="O168" s="291">
        <f>IFERROR(VLOOKUP($D168,'K.NG NGU'!$C$10:$AH$22,30,0),0)</f>
        <v>0</v>
      </c>
      <c r="P168" s="313" t="str">
        <f t="shared" si="58"/>
        <v>A3</v>
      </c>
      <c r="Q168" s="341" t="str">
        <f t="shared" si="59"/>
        <v>A3</v>
      </c>
      <c r="R168" s="317"/>
      <c r="S168" s="664"/>
      <c r="T168" s="664"/>
      <c r="U168" s="176" t="str">
        <f t="shared" si="56"/>
        <v>A3</v>
      </c>
      <c r="V168" s="178"/>
      <c r="W168" s="330">
        <f>IFERROR(VLOOKUP($D168,'K.NG NGU'!$C$10:$AH$22,19,0),0)</f>
        <v>1</v>
      </c>
      <c r="X168" s="330">
        <f>IFERROR(VLOOKUP($D168,'K.NG NGU'!$C$10:$AH$22,31,0),0)</f>
        <v>0</v>
      </c>
      <c r="Y168" s="82"/>
      <c r="Z168" s="83"/>
      <c r="AA168" s="83"/>
      <c r="AB168" s="849"/>
      <c r="AC168" s="848"/>
      <c r="AD168" s="529"/>
      <c r="AE168" s="60" t="str">
        <f t="shared" si="57"/>
        <v>A3</v>
      </c>
      <c r="AF168" s="60"/>
      <c r="AG168" s="60"/>
      <c r="AH168" s="542"/>
      <c r="AI168" s="542"/>
      <c r="AK168" s="589"/>
      <c r="AL168" s="589"/>
      <c r="AM168" s="589"/>
      <c r="AN168" s="589"/>
      <c r="AO168" s="589"/>
      <c r="AP168" s="589"/>
      <c r="AQ168" s="589"/>
      <c r="AR168" s="589"/>
      <c r="AS168" s="589"/>
      <c r="AT168" s="589"/>
      <c r="AU168" s="589"/>
      <c r="AV168" s="589"/>
      <c r="AW168" s="589"/>
      <c r="AX168" s="589"/>
      <c r="AY168" s="589"/>
      <c r="AZ168" s="589"/>
      <c r="BA168" s="589"/>
      <c r="BB168" s="589"/>
      <c r="BD168" s="60" t="s">
        <v>1101</v>
      </c>
      <c r="BE168" s="60" t="s">
        <v>868</v>
      </c>
    </row>
    <row r="169" spans="1:59" s="57" customFormat="1" ht="44.25" customHeight="1" x14ac:dyDescent="0.25">
      <c r="A169" s="63">
        <f>IF(D169="","",SUBTOTAL(3,$D$8:D169))</f>
        <v>137</v>
      </c>
      <c r="B169" s="74" t="s">
        <v>25</v>
      </c>
      <c r="C169" s="75" t="s">
        <v>238</v>
      </c>
      <c r="D169" s="81" t="s">
        <v>239</v>
      </c>
      <c r="E169" s="652"/>
      <c r="F169" s="652"/>
      <c r="G169" s="282" t="str">
        <f t="shared" si="54"/>
        <v>A4</v>
      </c>
      <c r="H169" s="234"/>
      <c r="I169" s="234"/>
      <c r="J169" s="234"/>
      <c r="K169" s="234"/>
      <c r="L169" s="294" t="s">
        <v>83</v>
      </c>
      <c r="M169" s="825"/>
      <c r="N169" s="291">
        <f>IFERROR(VLOOKUP($D169,'K.NG NGU'!$C$10:$AH$22,18,0),0)</f>
        <v>1</v>
      </c>
      <c r="O169" s="291">
        <f>IFERROR(VLOOKUP($D169,'K.NG NGU'!$C$10:$AH$22,30,0),0)</f>
        <v>1</v>
      </c>
      <c r="P169" s="313" t="str">
        <f t="shared" si="58"/>
        <v>A4</v>
      </c>
      <c r="Q169" s="1196" t="s">
        <v>85</v>
      </c>
      <c r="R169" s="317"/>
      <c r="S169" s="664"/>
      <c r="T169" s="664"/>
      <c r="U169" s="176" t="str">
        <f t="shared" si="56"/>
        <v>A3</v>
      </c>
      <c r="V169" s="178"/>
      <c r="W169" s="330">
        <f>IFERROR(VLOOKUP($D169,'K.NG NGU'!$C$10:$AH$22,19,0),0)</f>
        <v>1</v>
      </c>
      <c r="X169" s="330">
        <f>IFERROR(VLOOKUP($D169,'K.NG NGU'!$C$10:$AH$22,31,0),0)</f>
        <v>1</v>
      </c>
      <c r="Y169" s="82"/>
      <c r="Z169" s="119"/>
      <c r="AA169" s="83"/>
      <c r="AB169" s="848" t="s">
        <v>85</v>
      </c>
      <c r="AC169" s="775" t="s">
        <v>1155</v>
      </c>
      <c r="AD169" s="529"/>
      <c r="AE169" s="60" t="str">
        <f t="shared" si="57"/>
        <v>A4</v>
      </c>
      <c r="AF169" s="60"/>
      <c r="AG169" s="60"/>
      <c r="AH169" s="542"/>
      <c r="AI169" s="542"/>
      <c r="AK169" s="589"/>
      <c r="AL169" s="589"/>
      <c r="AM169" s="589"/>
      <c r="AN169" s="589"/>
      <c r="AO169" s="589"/>
      <c r="AP169" s="589"/>
      <c r="AQ169" s="589"/>
      <c r="AR169" s="589"/>
      <c r="AS169" s="589"/>
      <c r="AT169" s="589"/>
      <c r="AU169" s="589"/>
      <c r="AV169" s="589"/>
      <c r="AW169" s="589"/>
      <c r="AX169" s="589"/>
      <c r="AY169" s="589"/>
      <c r="AZ169" s="589"/>
      <c r="BA169" s="589"/>
      <c r="BB169" s="589"/>
      <c r="BD169" s="60" t="s">
        <v>1101</v>
      </c>
      <c r="BE169" s="60" t="s">
        <v>868</v>
      </c>
    </row>
    <row r="170" spans="1:59" s="57" customFormat="1" ht="36" customHeight="1" x14ac:dyDescent="0.25">
      <c r="A170" s="63">
        <f>IF(D170="","",SUBTOTAL(3,$D$8:D170))</f>
        <v>138</v>
      </c>
      <c r="B170" s="74" t="s">
        <v>26</v>
      </c>
      <c r="C170" s="75" t="s">
        <v>240</v>
      </c>
      <c r="D170" s="81" t="s">
        <v>241</v>
      </c>
      <c r="E170" s="686"/>
      <c r="F170" s="686"/>
      <c r="G170" s="282" t="str">
        <f t="shared" si="54"/>
        <v>A2</v>
      </c>
      <c r="H170" s="234"/>
      <c r="I170" s="737" t="s">
        <v>965</v>
      </c>
      <c r="J170" s="737" t="s">
        <v>1007</v>
      </c>
      <c r="K170" s="239"/>
      <c r="L170" s="294" t="s">
        <v>83</v>
      </c>
      <c r="M170" s="827"/>
      <c r="N170" s="291">
        <f>IFERROR(VLOOKUP($D170,'K.NG NGU'!$C$10:$AH$22,18,0),0)</f>
        <v>0</v>
      </c>
      <c r="O170" s="291">
        <f>IFERROR(VLOOKUP($D170,'K.NG NGU'!$C$10:$AH$22,30,0),0)</f>
        <v>1</v>
      </c>
      <c r="P170" s="313" t="str">
        <f t="shared" si="58"/>
        <v>A4</v>
      </c>
      <c r="Q170" s="341" t="str">
        <f t="shared" si="59"/>
        <v>A4</v>
      </c>
      <c r="R170" s="317"/>
      <c r="S170" s="664"/>
      <c r="T170" s="664"/>
      <c r="U170" s="176" t="str">
        <f t="shared" si="56"/>
        <v>A4</v>
      </c>
      <c r="V170" s="178"/>
      <c r="W170" s="330">
        <f>IFERROR(VLOOKUP($D170,'K.NG NGU'!$C$10:$AH$22,19,0),0)</f>
        <v>0</v>
      </c>
      <c r="X170" s="330">
        <f>IFERROR(VLOOKUP($D170,'K.NG NGU'!$C$10:$AH$22,31,0),0)</f>
        <v>1</v>
      </c>
      <c r="Y170" s="82"/>
      <c r="Z170" s="2"/>
      <c r="AA170" s="68"/>
      <c r="AB170" s="848"/>
      <c r="AC170" s="850"/>
      <c r="AD170" s="213"/>
      <c r="AE170" s="60" t="str">
        <f t="shared" si="57"/>
        <v>A4</v>
      </c>
      <c r="AF170" s="60"/>
      <c r="AG170" s="60"/>
      <c r="AH170" s="542"/>
      <c r="AI170" s="542"/>
      <c r="AK170" s="589"/>
      <c r="AL170" s="589"/>
      <c r="AM170" s="589"/>
      <c r="AN170" s="589"/>
      <c r="AO170" s="589"/>
      <c r="AP170" s="589"/>
      <c r="AQ170" s="589"/>
      <c r="AR170" s="589"/>
      <c r="AS170" s="589"/>
      <c r="AT170" s="589"/>
      <c r="AU170" s="589"/>
      <c r="AV170" s="589"/>
      <c r="AW170" s="589"/>
      <c r="AX170" s="589"/>
      <c r="AY170" s="589"/>
      <c r="AZ170" s="589"/>
      <c r="BA170" s="589"/>
      <c r="BB170" s="589"/>
      <c r="BD170" s="60" t="s">
        <v>1101</v>
      </c>
      <c r="BE170" s="60" t="s">
        <v>868</v>
      </c>
    </row>
    <row r="171" spans="1:59" s="57" customFormat="1" ht="36" customHeight="1" x14ac:dyDescent="0.25">
      <c r="A171" s="63">
        <f>IF(D171="","",SUBTOTAL(3,$D$8:D171))</f>
        <v>139</v>
      </c>
      <c r="B171" s="74" t="s">
        <v>27</v>
      </c>
      <c r="C171" s="75" t="s">
        <v>631</v>
      </c>
      <c r="D171" s="81" t="s">
        <v>242</v>
      </c>
      <c r="E171" s="652"/>
      <c r="F171" s="652"/>
      <c r="G171" s="282" t="str">
        <f t="shared" si="54"/>
        <v>A4</v>
      </c>
      <c r="H171" s="234"/>
      <c r="I171" s="234"/>
      <c r="J171" s="234"/>
      <c r="K171" s="234"/>
      <c r="L171" s="294" t="s">
        <v>83</v>
      </c>
      <c r="M171" s="826"/>
      <c r="N171" s="291">
        <f>IFERROR(VLOOKUP($D171,'K.NG NGU'!$C$10:$AH$22,18,0),0)</f>
        <v>0</v>
      </c>
      <c r="O171" s="291">
        <f>IFERROR(VLOOKUP($D171,'K.NG NGU'!$C$10:$AH$22,30,0),0)</f>
        <v>0</v>
      </c>
      <c r="P171" s="313" t="str">
        <f t="shared" si="58"/>
        <v>A4</v>
      </c>
      <c r="Q171" s="341" t="str">
        <f t="shared" si="59"/>
        <v>A4</v>
      </c>
      <c r="R171" s="317"/>
      <c r="S171" s="664"/>
      <c r="T171" s="664"/>
      <c r="U171" s="176" t="str">
        <f t="shared" si="56"/>
        <v>A4</v>
      </c>
      <c r="V171" s="178"/>
      <c r="W171" s="330">
        <f>IFERROR(VLOOKUP($D171,'K.NG NGU'!$C$10:$AH$22,19,0),0)</f>
        <v>0</v>
      </c>
      <c r="X171" s="330">
        <f>IFERROR(VLOOKUP($D171,'K.NG NGU'!$C$10:$AH$22,31,0),0)</f>
        <v>0</v>
      </c>
      <c r="Y171" s="82"/>
      <c r="Z171" s="3"/>
      <c r="AA171" s="68"/>
      <c r="AB171" s="846"/>
      <c r="AC171" s="775"/>
      <c r="AD171" s="213"/>
      <c r="AE171" s="60" t="str">
        <f t="shared" si="57"/>
        <v>A4</v>
      </c>
      <c r="AF171" s="60"/>
      <c r="AG171" s="60"/>
      <c r="AH171" s="542"/>
      <c r="AI171" s="542"/>
      <c r="AK171" s="589"/>
      <c r="AL171" s="589"/>
      <c r="AM171" s="589"/>
      <c r="AN171" s="589"/>
      <c r="AO171" s="589"/>
      <c r="AP171" s="589"/>
      <c r="AQ171" s="589"/>
      <c r="AR171" s="589"/>
      <c r="AS171" s="589"/>
      <c r="AT171" s="589"/>
      <c r="AU171" s="589"/>
      <c r="AV171" s="589"/>
      <c r="AW171" s="589"/>
      <c r="AX171" s="589"/>
      <c r="AY171" s="589"/>
      <c r="AZ171" s="589"/>
      <c r="BA171" s="589"/>
      <c r="BB171" s="589"/>
      <c r="BD171" s="60" t="s">
        <v>1101</v>
      </c>
      <c r="BE171" s="60" t="s">
        <v>868</v>
      </c>
    </row>
    <row r="172" spans="1:59" s="57" customFormat="1" ht="36" customHeight="1" x14ac:dyDescent="0.25">
      <c r="A172" s="63">
        <f>IF(D172="","",SUBTOTAL(3,$D$8:D172))</f>
        <v>140</v>
      </c>
      <c r="B172" s="74" t="s">
        <v>28</v>
      </c>
      <c r="C172" s="75" t="s">
        <v>243</v>
      </c>
      <c r="D172" s="81" t="s">
        <v>244</v>
      </c>
      <c r="E172" s="652"/>
      <c r="F172" s="652"/>
      <c r="G172" s="282" t="str">
        <f t="shared" si="54"/>
        <v>A2</v>
      </c>
      <c r="H172" s="234"/>
      <c r="I172" s="737" t="s">
        <v>966</v>
      </c>
      <c r="J172" s="737" t="s">
        <v>1017</v>
      </c>
      <c r="K172" s="234"/>
      <c r="L172" s="294" t="s">
        <v>85</v>
      </c>
      <c r="M172" s="826"/>
      <c r="N172" s="291">
        <f>IFERROR(VLOOKUP($D172,'K.NG NGU'!$C$10:$AH$22,18,0),0)</f>
        <v>1</v>
      </c>
      <c r="O172" s="291">
        <f>IFERROR(VLOOKUP($D172,'K.NG NGU'!$C$10:$AH$22,30,0),0)</f>
        <v>0</v>
      </c>
      <c r="P172" s="313" t="str">
        <f t="shared" si="58"/>
        <v>A3</v>
      </c>
      <c r="Q172" s="341" t="str">
        <f t="shared" si="59"/>
        <v>A3</v>
      </c>
      <c r="R172" s="346"/>
      <c r="S172" s="663"/>
      <c r="T172" s="663"/>
      <c r="U172" s="176" t="str">
        <f t="shared" si="56"/>
        <v>A3</v>
      </c>
      <c r="V172" s="178"/>
      <c r="W172" s="330">
        <f>IFERROR(VLOOKUP($D172,'K.NG NGU'!$C$10:$AH$22,19,0),0)</f>
        <v>1</v>
      </c>
      <c r="X172" s="330">
        <f>IFERROR(VLOOKUP($D172,'K.NG NGU'!$C$10:$AH$22,31,0),0)</f>
        <v>0</v>
      </c>
      <c r="Y172" s="82"/>
      <c r="Z172" s="119"/>
      <c r="AA172" s="83"/>
      <c r="AB172" s="846"/>
      <c r="AC172" s="775"/>
      <c r="AD172" s="213"/>
      <c r="AE172" s="60" t="str">
        <f t="shared" si="57"/>
        <v>A3</v>
      </c>
      <c r="AF172" s="60"/>
      <c r="AG172" s="60"/>
      <c r="AH172" s="542"/>
      <c r="AI172" s="542"/>
      <c r="AK172" s="589"/>
      <c r="AL172" s="589"/>
      <c r="AM172" s="589"/>
      <c r="AN172" s="589"/>
      <c r="AO172" s="589"/>
      <c r="AP172" s="589"/>
      <c r="AQ172" s="589"/>
      <c r="AR172" s="589"/>
      <c r="AS172" s="589"/>
      <c r="AT172" s="589"/>
      <c r="AU172" s="589"/>
      <c r="AV172" s="589"/>
      <c r="AW172" s="589"/>
      <c r="AX172" s="589"/>
      <c r="AY172" s="589"/>
      <c r="AZ172" s="589"/>
      <c r="BA172" s="589"/>
      <c r="BB172" s="589"/>
      <c r="BD172" s="60" t="s">
        <v>1101</v>
      </c>
      <c r="BE172" s="60" t="s">
        <v>868</v>
      </c>
    </row>
    <row r="173" spans="1:59" s="1134" customFormat="1" ht="42" customHeight="1" x14ac:dyDescent="0.25">
      <c r="A173" s="63">
        <f>IF(D173="","",SUBTOTAL(3,$D$8:D173))</f>
        <v>141</v>
      </c>
      <c r="B173" s="651"/>
      <c r="C173" s="932" t="s">
        <v>947</v>
      </c>
      <c r="D173" s="89" t="s">
        <v>948</v>
      </c>
      <c r="E173" s="652"/>
      <c r="F173" s="652"/>
      <c r="G173" s="282" t="str">
        <f t="shared" si="47"/>
        <v>A4</v>
      </c>
      <c r="H173" s="652"/>
      <c r="I173" s="652"/>
      <c r="J173" s="652"/>
      <c r="K173" s="652"/>
      <c r="L173" s="1175" t="s">
        <v>743</v>
      </c>
      <c r="M173" s="653" t="s">
        <v>1136</v>
      </c>
      <c r="N173" s="291">
        <f>IFERROR(VLOOKUP($D173,'K.NG NGU'!$C$10:$AH$22,18,0),0)</f>
        <v>0</v>
      </c>
      <c r="O173" s="291">
        <f>IFERROR(VLOOKUP($D173,'K.NG NGU'!$C$10:$AH$22,30,0),0)</f>
        <v>0</v>
      </c>
      <c r="P173" s="313" t="s">
        <v>743</v>
      </c>
      <c r="Q173" s="341" t="str">
        <f t="shared" ref="Q173" si="60">P173</f>
        <v>KXL</v>
      </c>
      <c r="R173" s="654" t="s">
        <v>1136</v>
      </c>
      <c r="S173" s="663"/>
      <c r="T173" s="663"/>
      <c r="U173" s="176" t="str">
        <f t="shared" si="49"/>
        <v>KXL</v>
      </c>
      <c r="V173" s="655" t="s">
        <v>1136</v>
      </c>
      <c r="W173" s="330">
        <f>IFERROR(VLOOKUP($D173,'K.NG NGU'!$C$10:$AH$22,19,0),0)</f>
        <v>0</v>
      </c>
      <c r="X173" s="330">
        <f>IFERROR(VLOOKUP($D173,'K.NG NGU'!$C$10:$AH$22,31,0),0)</f>
        <v>0</v>
      </c>
      <c r="Y173" s="656"/>
      <c r="Z173" s="718"/>
      <c r="AA173" s="657"/>
      <c r="AB173" s="846"/>
      <c r="AC173" s="775"/>
      <c r="AD173" s="213"/>
      <c r="AE173" s="60" t="str">
        <f t="shared" si="53"/>
        <v>KXL</v>
      </c>
      <c r="AF173" s="60"/>
      <c r="AG173" s="60"/>
      <c r="BD173" s="60" t="s">
        <v>1101</v>
      </c>
      <c r="BE173" s="60" t="s">
        <v>868</v>
      </c>
    </row>
    <row r="174" spans="1:59" s="647" customFormat="1" ht="36" customHeight="1" x14ac:dyDescent="0.25">
      <c r="A174" s="63">
        <f>IF(D174="","",SUBTOTAL(3,$D$8:D174))</f>
        <v>142</v>
      </c>
      <c r="B174" s="651"/>
      <c r="C174" s="1174" t="s">
        <v>1119</v>
      </c>
      <c r="D174" s="1149" t="s">
        <v>1120</v>
      </c>
      <c r="E174" s="652"/>
      <c r="F174" s="652"/>
      <c r="G174" s="282" t="str">
        <f t="shared" si="47"/>
        <v>A4</v>
      </c>
      <c r="H174" s="652"/>
      <c r="I174" s="652"/>
      <c r="J174" s="652"/>
      <c r="K174" s="652"/>
      <c r="L174" s="294" t="s">
        <v>83</v>
      </c>
      <c r="M174" s="653"/>
      <c r="N174" s="291">
        <f>IFERROR(VLOOKUP($D174,'K.NG NGU'!$C$10:$AH$22,18,0),0)</f>
        <v>0</v>
      </c>
      <c r="O174" s="291">
        <f>IFERROR(VLOOKUP($D174,'K.NG NGU'!$C$10:$AH$22,30,0),0)</f>
        <v>1</v>
      </c>
      <c r="P174" s="313" t="str">
        <f t="shared" si="58"/>
        <v>A4</v>
      </c>
      <c r="Q174" s="341" t="str">
        <f t="shared" si="59"/>
        <v>A4</v>
      </c>
      <c r="R174" s="654"/>
      <c r="S174" s="663"/>
      <c r="T174" s="663"/>
      <c r="U174" s="176" t="str">
        <f t="shared" si="49"/>
        <v>A4</v>
      </c>
      <c r="V174" s="655"/>
      <c r="W174" s="330">
        <f>IFERROR(VLOOKUP($D174,'K.NG NGU'!$C$10:$AH$22,19,0),0)</f>
        <v>0</v>
      </c>
      <c r="X174" s="330">
        <f>IFERROR(VLOOKUP($D174,'K.NG NGU'!$C$10:$AH$22,31,0),0)</f>
        <v>1</v>
      </c>
      <c r="Y174" s="656"/>
      <c r="Z174" s="718"/>
      <c r="AA174" s="657"/>
      <c r="AB174" s="846"/>
      <c r="AC174" s="775"/>
      <c r="AD174" s="213"/>
      <c r="AE174" s="60" t="str">
        <f t="shared" si="53"/>
        <v>A4</v>
      </c>
      <c r="AF174" s="60"/>
      <c r="AG174" s="60"/>
      <c r="BD174" s="60" t="s">
        <v>1101</v>
      </c>
      <c r="BE174" s="60" t="s">
        <v>868</v>
      </c>
    </row>
    <row r="175" spans="1:59" ht="48.75" customHeight="1" x14ac:dyDescent="0.25">
      <c r="A175" s="62" t="s">
        <v>730</v>
      </c>
      <c r="B175" s="62" t="s">
        <v>581</v>
      </c>
      <c r="C175" s="64" t="s">
        <v>57</v>
      </c>
      <c r="D175" s="62"/>
      <c r="E175" s="652"/>
      <c r="F175" s="652"/>
      <c r="G175" s="280">
        <f>COUNTA($L177:$L191)</f>
        <v>15</v>
      </c>
      <c r="H175" s="234"/>
      <c r="I175" s="234"/>
      <c r="J175" s="234"/>
      <c r="K175" s="234"/>
      <c r="L175" s="500">
        <f>COUNTA($L177:$L191)</f>
        <v>15</v>
      </c>
      <c r="M175" s="286" t="str">
        <f>(COUNTIF($L$177:$L$191,"A1")&amp;"A1")&amp;" + "&amp;(COUNTIF($L$177:$L$191,"A2")&amp;"A2")&amp;" + "&amp;(COUNTIF($L$177:$L$191,"A3")&amp;"A3")&amp;" + "&amp;(COUNTIF($L$177:$L$191,"A4")&amp;"A4")&amp;" + "&amp;(COUNTIF($L$177:$L$191,"B1")&amp;"B1")&amp;" + "&amp;(COUNTIF($L$177:$L$191,"B2")&amp;"B2")</f>
        <v>2A1 + 0A2 + 4A3 + 9A4 + 0B1 + 0B2</v>
      </c>
      <c r="N175" s="500"/>
      <c r="O175" s="500"/>
      <c r="P175" s="311">
        <f>COUNTA($Q$177:$Q$191)</f>
        <v>15</v>
      </c>
      <c r="Q175" s="340">
        <f>COUNTA($Q$177:$Q$191)</f>
        <v>15</v>
      </c>
      <c r="R175" s="312" t="str">
        <f>(COUNTIF($Q$177:$Q$191,"A1")&amp;"A1")&amp;" + "&amp;(COUNTIF($Q$177:$Q$191,"A2")&amp;"A2")&amp;" + "&amp;(COUNTIF($Q$177:$Q$191,"A3")&amp;"A3")&amp;" + "&amp;(COUNTIF($Q$177:$Q$191,"A4")&amp;"A4")&amp;" + "&amp;(COUNTIF($Q$177:$Q$191,"B1")&amp;"B1")&amp;" + "&amp;(COUNTIF($Q$177:$Q$191,"B2")&amp;"B2")</f>
        <v>2A1 + 0A2 + 4A3 + 9A4 + 0B1 + 0B2</v>
      </c>
      <c r="S175" s="661"/>
      <c r="T175" s="661"/>
      <c r="U175" s="174">
        <f>COUNTA($U177:$U191)</f>
        <v>15</v>
      </c>
      <c r="V175" s="175" t="str">
        <f>(COUNTIF($U$177:$U$191,"A1")&amp;"A1")&amp;" + "&amp;(COUNTIF($U$177:$U$191,"A2")&amp;"A2")&amp;" + "&amp;(COUNTIF($U$177:$U$191,"A3")&amp;"A3")&amp;" + "&amp;(COUNTIF($U$177:$U$191,"A4")&amp;"A4")&amp;" + "&amp;(COUNTIF($U$177:$U$191,"B1")&amp;"B1")&amp;" + "&amp;(COUNTIF($U$177:$U$191,"B2")&amp;"B2")</f>
        <v>2A1 + 0A2 + 4A3 + 9A4 + 0B1 + 0B2</v>
      </c>
      <c r="W175" s="501"/>
      <c r="X175" s="501"/>
      <c r="Y175" s="556"/>
      <c r="Z175" s="95"/>
      <c r="AA175" s="95"/>
      <c r="AB175" s="242"/>
      <c r="AC175" s="529"/>
      <c r="AD175" s="219"/>
      <c r="AE175" s="60"/>
      <c r="AF175" s="60"/>
      <c r="AG175" s="607"/>
      <c r="AH175" s="608"/>
      <c r="AI175" s="608"/>
      <c r="AK175" s="1327" t="s">
        <v>906</v>
      </c>
      <c r="AL175" s="1327"/>
      <c r="AM175" s="1327"/>
      <c r="AN175" s="1327"/>
      <c r="AO175" s="1327"/>
      <c r="AP175" s="1327"/>
      <c r="AQ175" s="1327"/>
      <c r="AR175" s="1327"/>
      <c r="AS175" s="1327"/>
      <c r="AT175" s="1327"/>
      <c r="AU175" s="1327"/>
      <c r="AV175" s="1327"/>
      <c r="AW175" s="1327"/>
      <c r="AX175" s="1327"/>
      <c r="AY175" s="1327"/>
      <c r="AZ175" s="1327"/>
      <c r="BA175" s="1327"/>
      <c r="BB175" s="1327"/>
      <c r="BF175" s="60">
        <f>COUNTIF($BE177:$BE191,"CBQL")</f>
        <v>2</v>
      </c>
      <c r="BG175" s="60">
        <f>COUNTIF($BE177:$BE191,"GV") + COUNTIF($BE177:$BE191,"NV")</f>
        <v>13</v>
      </c>
    </row>
    <row r="176" spans="1:59" s="57" customFormat="1" ht="31.5" x14ac:dyDescent="0.25">
      <c r="A176" s="65" t="s">
        <v>45</v>
      </c>
      <c r="B176" s="65" t="s">
        <v>45</v>
      </c>
      <c r="C176" s="66" t="s">
        <v>46</v>
      </c>
      <c r="D176" s="65"/>
      <c r="E176" s="691" t="s">
        <v>949</v>
      </c>
      <c r="F176" s="691" t="s">
        <v>950</v>
      </c>
      <c r="G176" s="280">
        <f>COUNTA($L177:$L191)</f>
        <v>15</v>
      </c>
      <c r="H176" s="234"/>
      <c r="I176" s="234"/>
      <c r="J176" s="234"/>
      <c r="K176" s="234"/>
      <c r="L176" s="500">
        <f>COUNTA($L177:$L191)</f>
        <v>15</v>
      </c>
      <c r="M176" s="286" t="str">
        <f>(COUNTIF($L$177:$L$191,"A1")&amp;"A1")&amp;" + "&amp;(COUNTIF($L$177:$L$191,"A2")&amp;"A2")&amp;" + "&amp;(COUNTIF($L$177:$L$191,"A3")&amp;"A3")&amp;" + "&amp;(COUNTIF($L$177:$L$191,"A4")&amp;"A4")&amp;" + "&amp;(COUNTIF($L$177:$L$191,"B1")&amp;"B1")&amp;" + "&amp;(COUNTIF($L$177:$L$191,"B2")&amp;"B2")</f>
        <v>2A1 + 0A2 + 4A3 + 9A4 + 0B1 + 0B2</v>
      </c>
      <c r="N176" s="500"/>
      <c r="O176" s="500"/>
      <c r="P176" s="311">
        <f>COUNTA($Q$177:$Q$191)</f>
        <v>15</v>
      </c>
      <c r="Q176" s="340">
        <f>COUNTA($Q$177:$Q$191)</f>
        <v>15</v>
      </c>
      <c r="R176" s="312" t="str">
        <f>(COUNTIF($Q$177:$Q$191,"A1")&amp;"A1")&amp;" + "&amp;(COUNTIF($Q$177:$Q$191,"A2")&amp;"A2")&amp;" + "&amp;(COUNTIF($Q$177:$Q$191,"A3")&amp;"A3")&amp;" + "&amp;(COUNTIF($Q$177:$Q$191,"A4")&amp;"A4")&amp;" + "&amp;(COUNTIF($Q$177:$Q$191,"B1")&amp;"B1")&amp;" + "&amp;(COUNTIF($Q$177:$Q$191,"B2")&amp;"B2")</f>
        <v>2A1 + 0A2 + 4A3 + 9A4 + 0B1 + 0B2</v>
      </c>
      <c r="S176" s="691" t="s">
        <v>949</v>
      </c>
      <c r="T176" s="691" t="s">
        <v>950</v>
      </c>
      <c r="U176" s="174">
        <f>COUNTA($U177:$U191)</f>
        <v>15</v>
      </c>
      <c r="V176" s="175" t="str">
        <f>(COUNTIF($U$177:$U$191,"A1")&amp;"A1")&amp;" + "&amp;(COUNTIF($U$177:$U$191,"A2")&amp;"A2")&amp;" + "&amp;(COUNTIF($U$177:$U$191,"A3")&amp;"A3")&amp;" + "&amp;(COUNTIF($U$177:$U$191,"A4")&amp;"A4")&amp;" + "&amp;(COUNTIF($U$177:$U$191,"B1")&amp;"B1")&amp;" + "&amp;(COUNTIF($U$177:$U$191,"B2")&amp;"B2")</f>
        <v>2A1 + 0A2 + 4A3 + 9A4 + 0B1 + 0B2</v>
      </c>
      <c r="W176" s="501"/>
      <c r="X176" s="501"/>
      <c r="Y176" s="556"/>
      <c r="Z176" s="95"/>
      <c r="AA176" s="95"/>
      <c r="AB176" s="242"/>
      <c r="AC176" s="836"/>
      <c r="AD176" s="213"/>
      <c r="AE176" s="60"/>
      <c r="AF176" s="60"/>
      <c r="AG176" s="1328" t="s">
        <v>915</v>
      </c>
      <c r="AH176" s="1328"/>
      <c r="AI176" s="1328"/>
      <c r="AJ176" s="59"/>
      <c r="AK176" s="598" t="s">
        <v>923</v>
      </c>
      <c r="AL176" s="598" t="s">
        <v>907</v>
      </c>
      <c r="AM176" s="1329" t="s">
        <v>897</v>
      </c>
      <c r="AN176" s="1329"/>
      <c r="AO176" s="1329" t="s">
        <v>898</v>
      </c>
      <c r="AP176" s="1329"/>
      <c r="AQ176" s="1329" t="s">
        <v>899</v>
      </c>
      <c r="AR176" s="1329"/>
      <c r="AS176" s="1329" t="s">
        <v>900</v>
      </c>
      <c r="AT176" s="1329"/>
      <c r="AU176" s="1329" t="s">
        <v>902</v>
      </c>
      <c r="AV176" s="1329"/>
      <c r="AW176" s="1329" t="s">
        <v>903</v>
      </c>
      <c r="AX176" s="1329"/>
      <c r="AY176" s="1329" t="s">
        <v>904</v>
      </c>
      <c r="AZ176" s="1329"/>
      <c r="BA176" s="1329" t="s">
        <v>905</v>
      </c>
      <c r="BB176" s="1329"/>
      <c r="BD176" s="60"/>
      <c r="BE176" s="60"/>
    </row>
    <row r="177" spans="1:59" s="57" customFormat="1" ht="52.5" customHeight="1" x14ac:dyDescent="0.25">
      <c r="A177" s="63">
        <f>IF(D177="","",SUBTOTAL(3,$D$8:D177))</f>
        <v>143</v>
      </c>
      <c r="B177" s="63" t="s">
        <v>23</v>
      </c>
      <c r="C177" s="153" t="s">
        <v>282</v>
      </c>
      <c r="D177" s="262" t="s">
        <v>647</v>
      </c>
      <c r="E177" s="692">
        <f>COUNTIF($L179:$L191,"A1")</f>
        <v>1</v>
      </c>
      <c r="F177" s="692">
        <f>COUNTIF($L179:$L191,"A2")</f>
        <v>0</v>
      </c>
      <c r="G177" s="282" t="str">
        <f t="shared" ref="G177:G191" si="61">IF($H177&lt;&gt;0,"A1",IF($I177&lt;&gt;0,"A2",IF($J177&lt;&gt;0,"A3","A4")))</f>
        <v>A1</v>
      </c>
      <c r="H177" s="738" t="s">
        <v>1019</v>
      </c>
      <c r="I177" s="737" t="s">
        <v>966</v>
      </c>
      <c r="J177" s="737" t="s">
        <v>972</v>
      </c>
      <c r="K177" s="739" t="s">
        <v>1052</v>
      </c>
      <c r="L177" s="294" t="s">
        <v>82</v>
      </c>
      <c r="M177" s="1224" t="s">
        <v>1156</v>
      </c>
      <c r="N177" s="291">
        <f>IFERROR(VLOOKUP($D177,K.LLCT!$C$10:$AA$24,12,0),0)</f>
        <v>1</v>
      </c>
      <c r="O177" s="291">
        <f>IFERROR(VLOOKUP($D177,K.LLCT!$C$10:$AA$24,24,0),0)</f>
        <v>0</v>
      </c>
      <c r="P177" s="313" t="s">
        <v>82</v>
      </c>
      <c r="Q177" s="341" t="str">
        <f>P177</f>
        <v>A1</v>
      </c>
      <c r="R177" s="328"/>
      <c r="S177" s="692">
        <f>COUNTIF($U179:$U191,"A1")</f>
        <v>1</v>
      </c>
      <c r="T177" s="692">
        <f>COUNTIF($U179:$U191,"A2")</f>
        <v>0</v>
      </c>
      <c r="U177" s="176" t="str">
        <f t="shared" ref="U177:U191" si="62">$Q177</f>
        <v>A1</v>
      </c>
      <c r="V177" s="180"/>
      <c r="W177" s="330">
        <f>IFERROR(VLOOKUP($D177,K.LLCT!$C$10:$AA$24,13,0),0)</f>
        <v>1</v>
      </c>
      <c r="X177" s="330">
        <f>IFERROR(VLOOKUP($D177,K.LLCT!$C$10:$AA$24,25,0),0)</f>
        <v>0</v>
      </c>
      <c r="Y177" s="84"/>
      <c r="Z177" s="85"/>
      <c r="AA177" s="85"/>
      <c r="AB177" s="242"/>
      <c r="AC177" s="836"/>
      <c r="AD177" s="213"/>
      <c r="AE177" s="60" t="str">
        <f t="shared" si="50"/>
        <v>A1</v>
      </c>
      <c r="AF177" s="60"/>
      <c r="AG177" s="592" t="s">
        <v>845</v>
      </c>
      <c r="AH177" s="592"/>
      <c r="AI177" s="605">
        <f>AH177/$L175</f>
        <v>0</v>
      </c>
      <c r="AJ177" s="589"/>
      <c r="AK177" s="594"/>
      <c r="AL177" s="595">
        <f>AL178+AL179</f>
        <v>15</v>
      </c>
      <c r="AM177" s="596" t="s">
        <v>896</v>
      </c>
      <c r="AN177" s="596" t="s">
        <v>844</v>
      </c>
      <c r="AO177" s="596" t="s">
        <v>896</v>
      </c>
      <c r="AP177" s="596" t="s">
        <v>844</v>
      </c>
      <c r="AQ177" s="596" t="s">
        <v>896</v>
      </c>
      <c r="AR177" s="596" t="s">
        <v>844</v>
      </c>
      <c r="AS177" s="596" t="s">
        <v>896</v>
      </c>
      <c r="AT177" s="596" t="s">
        <v>844</v>
      </c>
      <c r="AU177" s="596" t="s">
        <v>896</v>
      </c>
      <c r="AV177" s="596" t="s">
        <v>844</v>
      </c>
      <c r="AW177" s="596" t="s">
        <v>896</v>
      </c>
      <c r="AX177" s="596" t="s">
        <v>844</v>
      </c>
      <c r="AY177" s="596" t="s">
        <v>896</v>
      </c>
      <c r="AZ177" s="596" t="s">
        <v>844</v>
      </c>
      <c r="BA177" s="596" t="s">
        <v>896</v>
      </c>
      <c r="BB177" s="596" t="s">
        <v>844</v>
      </c>
      <c r="BD177" s="60" t="s">
        <v>878</v>
      </c>
      <c r="BE177" s="60" t="s">
        <v>866</v>
      </c>
    </row>
    <row r="178" spans="1:59" s="57" customFormat="1" ht="47.25" customHeight="1" x14ac:dyDescent="0.25">
      <c r="A178" s="63">
        <f>IF(D178="","",SUBTOTAL(3,$D$8:D178))</f>
        <v>144</v>
      </c>
      <c r="B178" s="63" t="s">
        <v>16</v>
      </c>
      <c r="C178" s="153" t="s">
        <v>276</v>
      </c>
      <c r="D178" s="262" t="s">
        <v>641</v>
      </c>
      <c r="E178" s="693">
        <f>E177/$AL$179</f>
        <v>7.6923076923076927E-2</v>
      </c>
      <c r="F178" s="693">
        <f>F177/$AL$179</f>
        <v>0</v>
      </c>
      <c r="G178" s="282" t="str">
        <f t="shared" si="61"/>
        <v>A2</v>
      </c>
      <c r="H178" s="234"/>
      <c r="I178" s="737" t="s">
        <v>998</v>
      </c>
      <c r="J178" s="737" t="s">
        <v>972</v>
      </c>
      <c r="K178" s="239"/>
      <c r="L178" s="294" t="s">
        <v>83</v>
      </c>
      <c r="M178" s="1279" t="s">
        <v>1150</v>
      </c>
      <c r="N178" s="291">
        <f>IFERROR(VLOOKUP($D178,K.LLCT!$C$10:$AA$24,12,0),0)</f>
        <v>0</v>
      </c>
      <c r="O178" s="291">
        <f>IFERROR(VLOOKUP($D178,K.LLCT!$C$10:$AA$24,24,0),0)</f>
        <v>0</v>
      </c>
      <c r="P178" s="313" t="str">
        <f t="shared" ref="P178:P191" si="63">IF(AND($W178&gt;=2,$X178&gt;=3,H178&lt;&gt;0),"A1",IF(AND($W178&gt;=3,$X178&gt;=1,H178&lt;&gt;0),"A1",IF(AND($W178&gt;=4,$X178&gt;=0,H178&lt;&gt;0),"A1",IF(AND($W178&gt;=2,$X178&gt;=2,I178&lt;&gt;0),"A2",IF(AND($W178&gt;=3,$X178&gt;=0,I178&lt;&gt;0),"A2",IF(AND(OR($W178&gt;=1,$X178&gt;=2),J178&lt;&gt;0),"A3","A4"))))))</f>
        <v>A4</v>
      </c>
      <c r="Q178" s="341" t="str">
        <f t="shared" ref="Q178:Q191" si="64">P178</f>
        <v>A4</v>
      </c>
      <c r="R178" s="328"/>
      <c r="S178" s="693">
        <f>S177/$AL$179</f>
        <v>7.6923076923076927E-2</v>
      </c>
      <c r="T178" s="693">
        <f>T177/$AL$179</f>
        <v>0</v>
      </c>
      <c r="U178" s="176" t="str">
        <f>$Q178</f>
        <v>A4</v>
      </c>
      <c r="V178" s="179"/>
      <c r="W178" s="330">
        <f>IFERROR(VLOOKUP($D178,K.LLCT!$C$10:$AA$24,13,0),0)</f>
        <v>0</v>
      </c>
      <c r="X178" s="330">
        <f>IFERROR(VLOOKUP($D178,K.LLCT!$C$10:$AA$24,25,0),0)</f>
        <v>0</v>
      </c>
      <c r="Y178" s="84"/>
      <c r="Z178" s="68"/>
      <c r="AA178" s="86"/>
      <c r="AB178" s="242"/>
      <c r="AC178" s="836"/>
      <c r="AD178" s="213"/>
      <c r="AE178" s="60" t="str">
        <f>IF($L178=$P178,$L178,FALSE)</f>
        <v>A4</v>
      </c>
      <c r="AF178" s="60"/>
      <c r="AG178" s="592" t="s">
        <v>846</v>
      </c>
      <c r="AH178" s="592"/>
      <c r="AI178" s="605">
        <f>AH178/$L175</f>
        <v>0</v>
      </c>
      <c r="AJ178" s="589"/>
      <c r="AK178" s="597" t="s">
        <v>864</v>
      </c>
      <c r="AL178" s="595">
        <f>COUNTIF($BE177:$BE191,"CBQL")</f>
        <v>2</v>
      </c>
      <c r="AM178" s="595">
        <f>COUNTIF($U177:$U178,"A1")</f>
        <v>1</v>
      </c>
      <c r="AN178" s="611">
        <f>AM178/$AL$177</f>
        <v>6.6666666666666666E-2</v>
      </c>
      <c r="AO178" s="595">
        <f>COUNTIF($U177:$U178,"A2")</f>
        <v>0</v>
      </c>
      <c r="AP178" s="611">
        <f>AO178/$AL$177</f>
        <v>0</v>
      </c>
      <c r="AQ178" s="595">
        <f>COUNTIF($U177:$U178,"A3")</f>
        <v>0</v>
      </c>
      <c r="AR178" s="611">
        <f>AQ178/$AL$177</f>
        <v>0</v>
      </c>
      <c r="AS178" s="595">
        <f>COUNTIF($U177:$U178,"A4")</f>
        <v>1</v>
      </c>
      <c r="AT178" s="611">
        <f>AS178/$AL$177</f>
        <v>6.6666666666666666E-2</v>
      </c>
      <c r="AU178" s="595"/>
      <c r="AV178" s="595"/>
      <c r="AW178" s="595"/>
      <c r="AX178" s="595"/>
      <c r="AY178" s="595"/>
      <c r="AZ178" s="595"/>
      <c r="BA178" s="595"/>
      <c r="BB178" s="595"/>
      <c r="BD178" s="60" t="s">
        <v>878</v>
      </c>
      <c r="BE178" s="60" t="s">
        <v>866</v>
      </c>
    </row>
    <row r="179" spans="1:59" s="57" customFormat="1" ht="39" customHeight="1" x14ac:dyDescent="0.25">
      <c r="A179" s="63">
        <f>IF(D179="","",SUBTOTAL(3,$D$8:D179))</f>
        <v>145</v>
      </c>
      <c r="B179" s="63" t="s">
        <v>5</v>
      </c>
      <c r="C179" s="153" t="s">
        <v>269</v>
      </c>
      <c r="D179" s="262" t="s">
        <v>634</v>
      </c>
      <c r="E179" s="686"/>
      <c r="F179" s="686"/>
      <c r="G179" s="282" t="str">
        <f t="shared" si="61"/>
        <v>A1</v>
      </c>
      <c r="H179" s="334" t="s">
        <v>1076</v>
      </c>
      <c r="I179" s="737" t="s">
        <v>966</v>
      </c>
      <c r="J179" s="737" t="s">
        <v>972</v>
      </c>
      <c r="K179" s="491" t="s">
        <v>1072</v>
      </c>
      <c r="L179" s="294" t="s">
        <v>83</v>
      </c>
      <c r="M179" s="307"/>
      <c r="N179" s="291">
        <f>IFERROR(VLOOKUP($D179,K.LLCT!$C$10:$AA$24,12,0),0)</f>
        <v>0</v>
      </c>
      <c r="O179" s="291">
        <f>IFERROR(VLOOKUP($D179,K.LLCT!$C$10:$AA$24,24,0),0)</f>
        <v>0</v>
      </c>
      <c r="P179" s="313" t="str">
        <f t="shared" si="63"/>
        <v>A4</v>
      </c>
      <c r="Q179" s="341" t="str">
        <f t="shared" si="64"/>
        <v>A4</v>
      </c>
      <c r="R179" s="328"/>
      <c r="S179" s="678"/>
      <c r="T179" s="678"/>
      <c r="U179" s="176" t="str">
        <f t="shared" si="62"/>
        <v>A4</v>
      </c>
      <c r="V179" s="181"/>
      <c r="W179" s="330">
        <f>IFERROR(VLOOKUP($D179,K.LLCT!$C$10:$AA$24,13,0),0)</f>
        <v>0</v>
      </c>
      <c r="X179" s="330">
        <f>IFERROR(VLOOKUP($D179,K.LLCT!$C$10:$AA$24,25,0),0)</f>
        <v>0</v>
      </c>
      <c r="Y179" s="84"/>
      <c r="Z179" s="859"/>
      <c r="AA179" s="85"/>
      <c r="AB179" s="228"/>
      <c r="AC179" s="775"/>
      <c r="AD179" s="786"/>
      <c r="AE179" s="60" t="str">
        <f t="shared" si="50"/>
        <v>A4</v>
      </c>
      <c r="AF179" s="60"/>
      <c r="AG179" s="592"/>
      <c r="AH179" s="591">
        <f>AH177+AH178</f>
        <v>0</v>
      </c>
      <c r="AI179" s="606">
        <f>AI177+AI178</f>
        <v>0</v>
      </c>
      <c r="AJ179" s="589"/>
      <c r="AK179" s="597" t="s">
        <v>865</v>
      </c>
      <c r="AL179" s="595">
        <f>COUNTIF($BE177:$BE191,"GV") + COUNTIF($BE177:$BE191,"NV")</f>
        <v>13</v>
      </c>
      <c r="AM179" s="595">
        <f>COUNTIF($U179:$U191,"A1")</f>
        <v>1</v>
      </c>
      <c r="AN179" s="611">
        <f>AM179/$AL$177</f>
        <v>6.6666666666666666E-2</v>
      </c>
      <c r="AO179" s="595">
        <f>COUNTIF($U179:$U191,"A2")</f>
        <v>0</v>
      </c>
      <c r="AP179" s="611">
        <f>AO179/$AL$177</f>
        <v>0</v>
      </c>
      <c r="AQ179" s="595">
        <f>COUNTIF($U179:$U191,"A3")</f>
        <v>4</v>
      </c>
      <c r="AR179" s="611">
        <f>AQ179/$AL$177</f>
        <v>0.26666666666666666</v>
      </c>
      <c r="AS179" s="595">
        <f>COUNTIF($U179:$U191,"A4")</f>
        <v>8</v>
      </c>
      <c r="AT179" s="611">
        <f>AS179/$AL$177</f>
        <v>0.53333333333333333</v>
      </c>
      <c r="AU179" s="595"/>
      <c r="AV179" s="595"/>
      <c r="AW179" s="595"/>
      <c r="AX179" s="595"/>
      <c r="AY179" s="595"/>
      <c r="AZ179" s="595"/>
      <c r="BA179" s="595"/>
      <c r="BB179" s="595"/>
      <c r="BD179" s="60" t="s">
        <v>878</v>
      </c>
      <c r="BE179" s="60" t="s">
        <v>868</v>
      </c>
    </row>
    <row r="180" spans="1:59" s="57" customFormat="1" ht="30" customHeight="1" x14ac:dyDescent="0.25">
      <c r="A180" s="63">
        <f>IF(D180="","",SUBTOTAL(3,$D$8:D180))</f>
        <v>146</v>
      </c>
      <c r="B180" s="63" t="s">
        <v>6</v>
      </c>
      <c r="C180" s="153" t="s">
        <v>270</v>
      </c>
      <c r="D180" s="262" t="s">
        <v>635</v>
      </c>
      <c r="E180" s="652"/>
      <c r="F180" s="652"/>
      <c r="G180" s="282" t="str">
        <f t="shared" si="61"/>
        <v>A3</v>
      </c>
      <c r="H180" s="234"/>
      <c r="I180" s="234"/>
      <c r="J180" s="737" t="s">
        <v>954</v>
      </c>
      <c r="K180" s="234"/>
      <c r="L180" s="294" t="s">
        <v>83</v>
      </c>
      <c r="M180" s="307"/>
      <c r="N180" s="291">
        <f>IFERROR(VLOOKUP($D180,K.LLCT!$C$10:$AA$24,12,0),0)</f>
        <v>0</v>
      </c>
      <c r="O180" s="291">
        <f>IFERROR(VLOOKUP($D180,K.LLCT!$C$10:$AA$24,24,0),0)</f>
        <v>0</v>
      </c>
      <c r="P180" s="313" t="str">
        <f t="shared" si="63"/>
        <v>A4</v>
      </c>
      <c r="Q180" s="341" t="str">
        <f t="shared" si="64"/>
        <v>A4</v>
      </c>
      <c r="R180" s="328"/>
      <c r="S180" s="678"/>
      <c r="T180" s="678"/>
      <c r="U180" s="176" t="str">
        <f t="shared" si="62"/>
        <v>A4</v>
      </c>
      <c r="V180" s="181"/>
      <c r="W180" s="330">
        <f>IFERROR(VLOOKUP($D180,K.LLCT!$C$10:$AA$24,13,0),0)</f>
        <v>0</v>
      </c>
      <c r="X180" s="330">
        <f>IFERROR(VLOOKUP($D180,K.LLCT!$C$10:$AA$24,25,0),0)</f>
        <v>0</v>
      </c>
      <c r="Y180" s="84"/>
      <c r="Z180" s="4"/>
      <c r="AA180" s="85"/>
      <c r="AB180" s="242"/>
      <c r="AC180" s="836"/>
      <c r="AD180" s="213"/>
      <c r="AE180" s="60" t="str">
        <f t="shared" si="50"/>
        <v>A4</v>
      </c>
      <c r="AF180" s="60"/>
      <c r="AG180" s="60"/>
      <c r="AH180" s="94"/>
      <c r="AI180" s="94"/>
      <c r="AJ180" s="94"/>
      <c r="AK180" s="94"/>
      <c r="AL180" s="589"/>
      <c r="AM180" s="589"/>
      <c r="AN180" s="589"/>
      <c r="AO180" s="589"/>
      <c r="AP180" s="589"/>
      <c r="AQ180" s="589"/>
      <c r="AR180" s="589"/>
      <c r="AS180" s="589"/>
      <c r="AT180" s="589"/>
      <c r="AU180" s="589"/>
      <c r="AV180" s="589"/>
      <c r="AW180" s="589"/>
      <c r="AX180" s="589"/>
      <c r="AY180" s="589"/>
      <c r="AZ180" s="589"/>
      <c r="BA180" s="589"/>
      <c r="BB180" s="589"/>
      <c r="BD180" s="60" t="s">
        <v>878</v>
      </c>
      <c r="BE180" s="60" t="s">
        <v>868</v>
      </c>
    </row>
    <row r="181" spans="1:59" s="57" customFormat="1" ht="35.25" customHeight="1" x14ac:dyDescent="0.25">
      <c r="A181" s="63">
        <f>IF(D181="","",SUBTOTAL(3,$D$8:D181))</f>
        <v>147</v>
      </c>
      <c r="B181" s="63" t="s">
        <v>10</v>
      </c>
      <c r="C181" s="153" t="s">
        <v>271</v>
      </c>
      <c r="D181" s="262" t="s">
        <v>636</v>
      </c>
      <c r="E181" s="686"/>
      <c r="F181" s="686"/>
      <c r="G181" s="282" t="str">
        <f t="shared" si="61"/>
        <v>A2</v>
      </c>
      <c r="H181" s="234"/>
      <c r="I181" s="737" t="s">
        <v>965</v>
      </c>
      <c r="J181" s="737" t="s">
        <v>972</v>
      </c>
      <c r="K181" s="239"/>
      <c r="L181" s="294" t="s">
        <v>85</v>
      </c>
      <c r="M181" s="307"/>
      <c r="N181" s="291">
        <f>IFERROR(VLOOKUP($D181,K.LLCT!$C$10:$AA$24,12,0),0)</f>
        <v>1</v>
      </c>
      <c r="O181" s="291">
        <f>IFERROR(VLOOKUP($D181,K.LLCT!$C$10:$AA$24,24,0),0)</f>
        <v>0</v>
      </c>
      <c r="P181" s="313" t="str">
        <f t="shared" si="63"/>
        <v>A3</v>
      </c>
      <c r="Q181" s="341" t="str">
        <f t="shared" si="64"/>
        <v>A3</v>
      </c>
      <c r="R181" s="328"/>
      <c r="S181" s="678"/>
      <c r="T181" s="678"/>
      <c r="U181" s="176" t="str">
        <f t="shared" si="62"/>
        <v>A3</v>
      </c>
      <c r="V181" s="181"/>
      <c r="W181" s="330">
        <f>IFERROR(VLOOKUP($D181,K.LLCT!$C$10:$AA$24,13,0),0)</f>
        <v>1</v>
      </c>
      <c r="X181" s="330">
        <f>IFERROR(VLOOKUP($D181,K.LLCT!$C$10:$AA$24,25,0),0)</f>
        <v>0</v>
      </c>
      <c r="Y181" s="84"/>
      <c r="Z181" s="68"/>
      <c r="AA181" s="85"/>
      <c r="AB181" s="851"/>
      <c r="AC181" s="852"/>
      <c r="AD181" s="213"/>
      <c r="AE181" s="60" t="str">
        <f t="shared" si="50"/>
        <v>A3</v>
      </c>
      <c r="AF181" s="60"/>
      <c r="AG181" s="60"/>
      <c r="AH181" s="542"/>
      <c r="AI181" s="542"/>
      <c r="AK181" s="589"/>
      <c r="AL181" s="589"/>
      <c r="AM181" s="589"/>
      <c r="AN181" s="589"/>
      <c r="AO181" s="589"/>
      <c r="AP181" s="589"/>
      <c r="AQ181" s="589"/>
      <c r="AR181" s="589"/>
      <c r="AS181" s="589"/>
      <c r="AT181" s="589"/>
      <c r="AU181" s="589"/>
      <c r="AV181" s="589"/>
      <c r="AW181" s="589"/>
      <c r="AX181" s="589"/>
      <c r="AY181" s="589"/>
      <c r="AZ181" s="589"/>
      <c r="BA181" s="589"/>
      <c r="BB181" s="589"/>
      <c r="BD181" s="60" t="s">
        <v>878</v>
      </c>
      <c r="BE181" s="60" t="s">
        <v>868</v>
      </c>
    </row>
    <row r="182" spans="1:59" s="57" customFormat="1" ht="25.5" customHeight="1" x14ac:dyDescent="0.25">
      <c r="A182" s="63">
        <f>IF(D182="","",SUBTOTAL(3,$D$8:D182))</f>
        <v>148</v>
      </c>
      <c r="B182" s="63" t="s">
        <v>11</v>
      </c>
      <c r="C182" s="153" t="s">
        <v>272</v>
      </c>
      <c r="D182" s="262" t="s">
        <v>637</v>
      </c>
      <c r="E182" s="686"/>
      <c r="F182" s="686"/>
      <c r="G182" s="282" t="str">
        <f t="shared" si="61"/>
        <v>A1</v>
      </c>
      <c r="H182" s="738" t="s">
        <v>1020</v>
      </c>
      <c r="I182" s="737" t="s">
        <v>965</v>
      </c>
      <c r="J182" s="737" t="s">
        <v>972</v>
      </c>
      <c r="K182" s="739" t="s">
        <v>1053</v>
      </c>
      <c r="L182" s="294" t="s">
        <v>83</v>
      </c>
      <c r="M182" s="307"/>
      <c r="N182" s="291">
        <f>IFERROR(VLOOKUP($D182,K.LLCT!$C$10:$AA$24,12,0),0)</f>
        <v>0</v>
      </c>
      <c r="O182" s="291">
        <f>IFERROR(VLOOKUP($D182,K.LLCT!$C$10:$AA$24,24,0),0)</f>
        <v>0</v>
      </c>
      <c r="P182" s="313" t="str">
        <f t="shared" si="63"/>
        <v>A4</v>
      </c>
      <c r="Q182" s="341" t="str">
        <f t="shared" si="64"/>
        <v>A4</v>
      </c>
      <c r="R182" s="328"/>
      <c r="S182" s="678"/>
      <c r="T182" s="678"/>
      <c r="U182" s="176" t="str">
        <f t="shared" si="62"/>
        <v>A4</v>
      </c>
      <c r="V182" s="181"/>
      <c r="W182" s="330">
        <f>IFERROR(VLOOKUP($D182,K.LLCT!$C$10:$AA$24,13,0),0)</f>
        <v>0</v>
      </c>
      <c r="X182" s="330">
        <f>IFERROR(VLOOKUP($D182,K.LLCT!$C$10:$AA$24,25,0),0)</f>
        <v>0</v>
      </c>
      <c r="Y182" s="84"/>
      <c r="Z182" s="857"/>
      <c r="AA182" s="858"/>
      <c r="AB182" s="228"/>
      <c r="AC182" s="775"/>
      <c r="AD182" s="213"/>
      <c r="AE182" s="60" t="str">
        <f t="shared" si="50"/>
        <v>A4</v>
      </c>
      <c r="AF182" s="60"/>
      <c r="AG182" s="60"/>
      <c r="AH182" s="542"/>
      <c r="AI182" s="542"/>
      <c r="AK182" s="589"/>
      <c r="AL182" s="589"/>
      <c r="AM182" s="589"/>
      <c r="AN182" s="589"/>
      <c r="AO182" s="589"/>
      <c r="AP182" s="589"/>
      <c r="AQ182" s="589"/>
      <c r="AR182" s="589"/>
      <c r="AS182" s="589"/>
      <c r="AT182" s="589"/>
      <c r="AU182" s="589"/>
      <c r="AV182" s="589"/>
      <c r="AW182" s="589"/>
      <c r="AX182" s="589"/>
      <c r="AY182" s="589"/>
      <c r="AZ182" s="589"/>
      <c r="BA182" s="589"/>
      <c r="BB182" s="589"/>
      <c r="BD182" s="60" t="s">
        <v>878</v>
      </c>
      <c r="BE182" s="60" t="s">
        <v>868</v>
      </c>
    </row>
    <row r="183" spans="1:59" s="57" customFormat="1" ht="37.5" customHeight="1" x14ac:dyDescent="0.25">
      <c r="A183" s="63">
        <f>IF(D183="","",SUBTOTAL(3,$D$8:D183))</f>
        <v>149</v>
      </c>
      <c r="B183" s="63" t="s">
        <v>12</v>
      </c>
      <c r="C183" s="153" t="s">
        <v>273</v>
      </c>
      <c r="D183" s="262" t="s">
        <v>638</v>
      </c>
      <c r="E183" s="686"/>
      <c r="F183" s="686"/>
      <c r="G183" s="282" t="str">
        <f t="shared" si="61"/>
        <v>A1</v>
      </c>
      <c r="H183" s="738" t="s">
        <v>1021</v>
      </c>
      <c r="I183" s="234" t="s">
        <v>1010</v>
      </c>
      <c r="J183" s="234" t="s">
        <v>1010</v>
      </c>
      <c r="K183" s="739" t="s">
        <v>1047</v>
      </c>
      <c r="L183" s="294" t="s">
        <v>83</v>
      </c>
      <c r="M183" s="307"/>
      <c r="N183" s="291">
        <f>IFERROR(VLOOKUP($D183,K.LLCT!$C$10:$AA$24,12,0),0)</f>
        <v>0</v>
      </c>
      <c r="O183" s="291">
        <f>IFERROR(VLOOKUP($D183,K.LLCT!$C$10:$AA$24,24,0),0)</f>
        <v>0</v>
      </c>
      <c r="P183" s="313" t="str">
        <f t="shared" si="63"/>
        <v>A4</v>
      </c>
      <c r="Q183" s="341" t="str">
        <f t="shared" si="64"/>
        <v>A4</v>
      </c>
      <c r="R183" s="329"/>
      <c r="S183" s="679"/>
      <c r="T183" s="679"/>
      <c r="U183" s="176" t="str">
        <f t="shared" si="62"/>
        <v>A4</v>
      </c>
      <c r="V183" s="182"/>
      <c r="W183" s="330">
        <f>IFERROR(VLOOKUP($D183,K.LLCT!$C$10:$AA$24,13,0),0)</f>
        <v>0</v>
      </c>
      <c r="X183" s="330">
        <f>IFERROR(VLOOKUP($D183,K.LLCT!$C$10:$AA$24,25,0),0)</f>
        <v>0</v>
      </c>
      <c r="Y183" s="84"/>
      <c r="Z183" s="859"/>
      <c r="AA183" s="860"/>
      <c r="AB183" s="723"/>
      <c r="AC183" s="839"/>
      <c r="AD183" s="213"/>
      <c r="AE183" s="60" t="str">
        <f t="shared" si="50"/>
        <v>A4</v>
      </c>
      <c r="AF183" s="60"/>
      <c r="AG183" s="60"/>
      <c r="AH183" s="542"/>
      <c r="AI183" s="542"/>
      <c r="AK183" s="589"/>
      <c r="AL183" s="589"/>
      <c r="AM183" s="589"/>
      <c r="AN183" s="589"/>
      <c r="AO183" s="589"/>
      <c r="AP183" s="589"/>
      <c r="AQ183" s="589"/>
      <c r="AR183" s="589"/>
      <c r="AS183" s="589"/>
      <c r="AT183" s="589"/>
      <c r="AU183" s="589"/>
      <c r="AV183" s="589"/>
      <c r="AW183" s="589"/>
      <c r="AX183" s="589"/>
      <c r="AY183" s="589"/>
      <c r="AZ183" s="589"/>
      <c r="BA183" s="589"/>
      <c r="BB183" s="589"/>
      <c r="BD183" s="60" t="s">
        <v>878</v>
      </c>
      <c r="BE183" s="60" t="s">
        <v>868</v>
      </c>
    </row>
    <row r="184" spans="1:59" s="57" customFormat="1" ht="28.5" customHeight="1" x14ac:dyDescent="0.25">
      <c r="A184" s="63">
        <f>IF(D184="","",SUBTOTAL(3,$D$8:D184))</f>
        <v>150</v>
      </c>
      <c r="B184" s="63" t="s">
        <v>13</v>
      </c>
      <c r="C184" s="153" t="s">
        <v>274</v>
      </c>
      <c r="D184" s="262" t="s">
        <v>639</v>
      </c>
      <c r="E184" s="652"/>
      <c r="F184" s="652"/>
      <c r="G184" s="282" t="str">
        <f t="shared" si="61"/>
        <v>A3</v>
      </c>
      <c r="H184" s="234"/>
      <c r="I184" s="234"/>
      <c r="J184" s="737" t="s">
        <v>954</v>
      </c>
      <c r="K184" s="234"/>
      <c r="L184" s="294" t="s">
        <v>83</v>
      </c>
      <c r="M184" s="307"/>
      <c r="N184" s="291">
        <f>IFERROR(VLOOKUP($D184,K.LLCT!$C$10:$AA$24,12,0),0)</f>
        <v>0</v>
      </c>
      <c r="O184" s="291">
        <f>IFERROR(VLOOKUP($D184,K.LLCT!$C$10:$AA$24,24,0),0)</f>
        <v>0</v>
      </c>
      <c r="P184" s="313" t="str">
        <f t="shared" si="63"/>
        <v>A4</v>
      </c>
      <c r="Q184" s="341" t="str">
        <f t="shared" si="64"/>
        <v>A4</v>
      </c>
      <c r="R184" s="328"/>
      <c r="S184" s="678"/>
      <c r="T184" s="678"/>
      <c r="U184" s="176" t="str">
        <f t="shared" si="62"/>
        <v>A4</v>
      </c>
      <c r="V184" s="181"/>
      <c r="W184" s="330">
        <f>IFERROR(VLOOKUP($D184,K.LLCT!$C$10:$AA$24,13,0),0)</f>
        <v>0</v>
      </c>
      <c r="X184" s="330">
        <f>IFERROR(VLOOKUP($D184,K.LLCT!$C$10:$AA$24,25,0),0)</f>
        <v>0</v>
      </c>
      <c r="Y184" s="84"/>
      <c r="Z184" s="859"/>
      <c r="AA184" s="860"/>
      <c r="AB184" s="228"/>
      <c r="AC184" s="775"/>
      <c r="AD184" s="213"/>
      <c r="AE184" s="60" t="str">
        <f t="shared" si="50"/>
        <v>A4</v>
      </c>
      <c r="AF184" s="60"/>
      <c r="AG184" s="60"/>
      <c r="AH184" s="542"/>
      <c r="AI184" s="542"/>
      <c r="AK184" s="589"/>
      <c r="AL184" s="589"/>
      <c r="AM184" s="589"/>
      <c r="AN184" s="589"/>
      <c r="AO184" s="589"/>
      <c r="AP184" s="589"/>
      <c r="AQ184" s="589"/>
      <c r="AR184" s="589"/>
      <c r="AS184" s="589"/>
      <c r="AT184" s="589"/>
      <c r="AU184" s="589"/>
      <c r="AV184" s="589"/>
      <c r="AW184" s="589"/>
      <c r="AX184" s="589"/>
      <c r="AY184" s="589"/>
      <c r="AZ184" s="589"/>
      <c r="BA184" s="589"/>
      <c r="BB184" s="589"/>
      <c r="BD184" s="60" t="s">
        <v>878</v>
      </c>
      <c r="BE184" s="60" t="s">
        <v>868</v>
      </c>
    </row>
    <row r="185" spans="1:59" s="57" customFormat="1" ht="25.5" customHeight="1" x14ac:dyDescent="0.25">
      <c r="A185" s="63">
        <f>IF(D185="","",SUBTOTAL(3,$D$8:D185))</f>
        <v>151</v>
      </c>
      <c r="B185" s="63" t="s">
        <v>15</v>
      </c>
      <c r="C185" s="153" t="s">
        <v>275</v>
      </c>
      <c r="D185" s="262" t="s">
        <v>640</v>
      </c>
      <c r="E185" s="686"/>
      <c r="F185" s="686"/>
      <c r="G185" s="282" t="str">
        <f t="shared" si="61"/>
        <v>A2</v>
      </c>
      <c r="H185" s="234"/>
      <c r="I185" s="738" t="s">
        <v>999</v>
      </c>
      <c r="J185" s="737" t="s">
        <v>972</v>
      </c>
      <c r="K185" s="739" t="s">
        <v>1046</v>
      </c>
      <c r="L185" s="294" t="s">
        <v>83</v>
      </c>
      <c r="M185" s="307"/>
      <c r="N185" s="291">
        <f>IFERROR(VLOOKUP($D185,K.LLCT!$C$10:$AA$24,12,0),0)</f>
        <v>0</v>
      </c>
      <c r="O185" s="291">
        <f>IFERROR(VLOOKUP($D185,K.LLCT!$C$10:$AA$24,24,0),0)</f>
        <v>0</v>
      </c>
      <c r="P185" s="313" t="str">
        <f t="shared" si="63"/>
        <v>A4</v>
      </c>
      <c r="Q185" s="341" t="str">
        <f t="shared" si="64"/>
        <v>A4</v>
      </c>
      <c r="R185" s="328"/>
      <c r="S185" s="678"/>
      <c r="T185" s="678"/>
      <c r="U185" s="176" t="str">
        <f t="shared" si="62"/>
        <v>A4</v>
      </c>
      <c r="V185" s="181"/>
      <c r="W185" s="330">
        <f>IFERROR(VLOOKUP($D185,K.LLCT!$C$10:$AA$24,13,0),0)</f>
        <v>0</v>
      </c>
      <c r="X185" s="330">
        <f>IFERROR(VLOOKUP($D185,K.LLCT!$C$10:$AA$24,25,0),0)</f>
        <v>0</v>
      </c>
      <c r="Y185" s="84"/>
      <c r="Z185" s="858"/>
      <c r="AA185" s="858"/>
      <c r="AB185" s="242"/>
      <c r="AC185" s="836"/>
      <c r="AD185" s="213"/>
      <c r="AE185" s="60" t="str">
        <f t="shared" si="50"/>
        <v>A4</v>
      </c>
      <c r="AF185" s="60"/>
      <c r="AG185" s="60"/>
      <c r="AH185" s="542"/>
      <c r="AI185" s="542"/>
      <c r="AK185" s="589"/>
      <c r="AL185" s="589"/>
      <c r="AM185" s="589"/>
      <c r="AN185" s="589"/>
      <c r="AO185" s="589"/>
      <c r="AP185" s="589"/>
      <c r="AQ185" s="589"/>
      <c r="AR185" s="589"/>
      <c r="AS185" s="589"/>
      <c r="AT185" s="589"/>
      <c r="AU185" s="589"/>
      <c r="AV185" s="589"/>
      <c r="AW185" s="589"/>
      <c r="AX185" s="589"/>
      <c r="AY185" s="589"/>
      <c r="AZ185" s="589"/>
      <c r="BA185" s="589"/>
      <c r="BB185" s="589"/>
      <c r="BD185" s="60" t="s">
        <v>878</v>
      </c>
      <c r="BE185" s="60" t="s">
        <v>868</v>
      </c>
    </row>
    <row r="186" spans="1:59" s="57" customFormat="1" ht="36" customHeight="1" x14ac:dyDescent="0.25">
      <c r="A186" s="63">
        <f>IF(D186="","",SUBTOTAL(3,$D$8:D186))</f>
        <v>152</v>
      </c>
      <c r="B186" s="63" t="s">
        <v>17</v>
      </c>
      <c r="C186" s="153" t="s">
        <v>277</v>
      </c>
      <c r="D186" s="262" t="s">
        <v>642</v>
      </c>
      <c r="E186" s="686"/>
      <c r="F186" s="686"/>
      <c r="G186" s="282" t="str">
        <f t="shared" si="61"/>
        <v>A1</v>
      </c>
      <c r="H186" s="738" t="s">
        <v>1022</v>
      </c>
      <c r="I186" s="737" t="s">
        <v>1000</v>
      </c>
      <c r="J186" s="737" t="s">
        <v>972</v>
      </c>
      <c r="K186" s="739" t="s">
        <v>1047</v>
      </c>
      <c r="L186" s="294" t="s">
        <v>83</v>
      </c>
      <c r="M186" s="307"/>
      <c r="N186" s="291">
        <f>IFERROR(VLOOKUP($D186,K.LLCT!$C$10:$AA$24,12,0),0)</f>
        <v>0</v>
      </c>
      <c r="O186" s="291">
        <f>IFERROR(VLOOKUP($D186,K.LLCT!$C$10:$AA$24,24,0),0)</f>
        <v>0</v>
      </c>
      <c r="P186" s="313" t="str">
        <f t="shared" si="63"/>
        <v>A4</v>
      </c>
      <c r="Q186" s="341" t="str">
        <f t="shared" si="64"/>
        <v>A4</v>
      </c>
      <c r="R186" s="328"/>
      <c r="S186" s="678"/>
      <c r="T186" s="678"/>
      <c r="U186" s="176" t="str">
        <f t="shared" si="62"/>
        <v>A4</v>
      </c>
      <c r="V186" s="181"/>
      <c r="W186" s="330">
        <f>IFERROR(VLOOKUP($D186,K.LLCT!$C$10:$AA$24,13,0),0)</f>
        <v>0</v>
      </c>
      <c r="X186" s="330">
        <f>IFERROR(VLOOKUP($D186,K.LLCT!$C$10:$AA$24,25,0),0)</f>
        <v>0</v>
      </c>
      <c r="Y186" s="84"/>
      <c r="Z186" s="861"/>
      <c r="AA186" s="858"/>
      <c r="AB186" s="242"/>
      <c r="AC186" s="836"/>
      <c r="AD186" s="213"/>
      <c r="AE186" s="60" t="str">
        <f t="shared" si="50"/>
        <v>A4</v>
      </c>
      <c r="AF186" s="60"/>
      <c r="AG186" s="60"/>
      <c r="AH186" s="542"/>
      <c r="AI186" s="542"/>
      <c r="AK186" s="589"/>
      <c r="AL186" s="589"/>
      <c r="AM186" s="589"/>
      <c r="AN186" s="589"/>
      <c r="AO186" s="589"/>
      <c r="AP186" s="589"/>
      <c r="AQ186" s="589"/>
      <c r="AR186" s="589"/>
      <c r="AS186" s="589"/>
      <c r="AT186" s="589"/>
      <c r="AU186" s="589"/>
      <c r="AV186" s="589"/>
      <c r="AW186" s="589"/>
      <c r="AX186" s="589"/>
      <c r="AY186" s="589"/>
      <c r="AZ186" s="589"/>
      <c r="BA186" s="589"/>
      <c r="BB186" s="589"/>
      <c r="BD186" s="60" t="s">
        <v>878</v>
      </c>
      <c r="BE186" s="60" t="s">
        <v>868</v>
      </c>
    </row>
    <row r="187" spans="1:59" s="57" customFormat="1" ht="36" customHeight="1" x14ac:dyDescent="0.25">
      <c r="A187" s="63">
        <f>IF(D187="","",SUBTOTAL(3,$D$8:D187))</f>
        <v>153</v>
      </c>
      <c r="B187" s="63" t="s">
        <v>18</v>
      </c>
      <c r="C187" s="153" t="s">
        <v>278</v>
      </c>
      <c r="D187" s="262" t="s">
        <v>643</v>
      </c>
      <c r="E187" s="686"/>
      <c r="F187" s="686"/>
      <c r="G187" s="282" t="str">
        <f t="shared" si="61"/>
        <v>A2</v>
      </c>
      <c r="H187" s="234"/>
      <c r="I187" s="737" t="s">
        <v>1001</v>
      </c>
      <c r="J187" s="737" t="s">
        <v>972</v>
      </c>
      <c r="K187" s="737" t="s">
        <v>956</v>
      </c>
      <c r="L187" s="294" t="s">
        <v>85</v>
      </c>
      <c r="M187" s="307"/>
      <c r="N187" s="291">
        <f>IFERROR(VLOOKUP($D187,K.LLCT!$C$10:$AA$24,12,0),0)</f>
        <v>2</v>
      </c>
      <c r="O187" s="291">
        <f>IFERROR(VLOOKUP($D187,K.LLCT!$C$10:$AA$24,24,0),0)</f>
        <v>0</v>
      </c>
      <c r="P187" s="313" t="str">
        <f t="shared" si="63"/>
        <v>A3</v>
      </c>
      <c r="Q187" s="341" t="str">
        <f t="shared" si="64"/>
        <v>A3</v>
      </c>
      <c r="R187" s="328"/>
      <c r="S187" s="678"/>
      <c r="T187" s="678"/>
      <c r="U187" s="176" t="str">
        <f t="shared" si="62"/>
        <v>A3</v>
      </c>
      <c r="V187" s="181"/>
      <c r="W187" s="330">
        <f>IFERROR(VLOOKUP($D187,K.LLCT!$C$10:$AA$24,13,0),0)</f>
        <v>2</v>
      </c>
      <c r="X187" s="330">
        <f>IFERROR(VLOOKUP($D187,K.LLCT!$C$10:$AA$24,25,0),0)</f>
        <v>0</v>
      </c>
      <c r="Y187" s="84"/>
      <c r="Z187" s="857"/>
      <c r="AA187" s="858"/>
      <c r="AB187" s="846" t="s">
        <v>84</v>
      </c>
      <c r="AC187" s="775" t="s">
        <v>1158</v>
      </c>
      <c r="AD187" s="213"/>
      <c r="AE187" s="60" t="str">
        <f t="shared" si="50"/>
        <v>A3</v>
      </c>
      <c r="AF187" s="60"/>
      <c r="AG187" s="60"/>
      <c r="AH187" s="542"/>
      <c r="AI187" s="542"/>
      <c r="AK187" s="589"/>
      <c r="AL187" s="589"/>
      <c r="AM187" s="589"/>
      <c r="AN187" s="589"/>
      <c r="AO187" s="589"/>
      <c r="AP187" s="589"/>
      <c r="AQ187" s="589"/>
      <c r="AR187" s="589"/>
      <c r="AS187" s="589"/>
      <c r="AT187" s="589"/>
      <c r="AU187" s="589"/>
      <c r="AV187" s="589"/>
      <c r="AW187" s="589"/>
      <c r="AX187" s="589"/>
      <c r="AY187" s="589"/>
      <c r="AZ187" s="589"/>
      <c r="BA187" s="589"/>
      <c r="BB187" s="589"/>
      <c r="BD187" s="60" t="s">
        <v>878</v>
      </c>
      <c r="BE187" s="60" t="s">
        <v>868</v>
      </c>
    </row>
    <row r="188" spans="1:59" s="60" customFormat="1" ht="32.25" customHeight="1" x14ac:dyDescent="0.25">
      <c r="A188" s="63">
        <f>IF(D188="","",SUBTOTAL(3,$D$8:D188))</f>
        <v>154</v>
      </c>
      <c r="B188" s="63" t="s">
        <v>19</v>
      </c>
      <c r="C188" s="153" t="s">
        <v>279</v>
      </c>
      <c r="D188" s="262" t="s">
        <v>644</v>
      </c>
      <c r="E188" s="686"/>
      <c r="F188" s="686"/>
      <c r="G188" s="282" t="str">
        <f t="shared" si="61"/>
        <v>A2</v>
      </c>
      <c r="H188" s="234"/>
      <c r="I188" s="738" t="s">
        <v>999</v>
      </c>
      <c r="J188" s="737" t="s">
        <v>972</v>
      </c>
      <c r="K188" s="739" t="s">
        <v>1046</v>
      </c>
      <c r="L188" s="294" t="s">
        <v>85</v>
      </c>
      <c r="M188" s="534"/>
      <c r="N188" s="291">
        <f>IFERROR(VLOOKUP($D188,K.LLCT!$C$10:$AA$24,12,0),0)</f>
        <v>1</v>
      </c>
      <c r="O188" s="291">
        <f>IFERROR(VLOOKUP($D188,K.LLCT!$C$10:$AA$24,24,0),0)</f>
        <v>0</v>
      </c>
      <c r="P188" s="313" t="str">
        <f t="shared" si="63"/>
        <v>A3</v>
      </c>
      <c r="Q188" s="341" t="str">
        <f t="shared" si="64"/>
        <v>A3</v>
      </c>
      <c r="R188" s="572"/>
      <c r="S188" s="677"/>
      <c r="T188" s="677"/>
      <c r="U188" s="176" t="str">
        <f t="shared" si="62"/>
        <v>A3</v>
      </c>
      <c r="V188" s="180">
        <f>R188</f>
        <v>0</v>
      </c>
      <c r="W188" s="330">
        <f>IFERROR(VLOOKUP($D188,K.LLCT!$C$10:$AA$24,13,0),0)</f>
        <v>1</v>
      </c>
      <c r="X188" s="330">
        <f>IFERROR(VLOOKUP($D188,K.LLCT!$C$10:$AA$24,25,0),0)</f>
        <v>0</v>
      </c>
      <c r="Y188" s="84"/>
      <c r="Z188" s="858"/>
      <c r="AA188" s="858"/>
      <c r="AB188" s="851"/>
      <c r="AC188" s="775"/>
      <c r="AD188" s="213"/>
      <c r="AE188" s="60" t="str">
        <f t="shared" si="50"/>
        <v>A3</v>
      </c>
      <c r="BD188" s="60" t="s">
        <v>878</v>
      </c>
      <c r="BE188" s="60" t="s">
        <v>868</v>
      </c>
    </row>
    <row r="189" spans="1:59" s="60" customFormat="1" ht="30.75" customHeight="1" x14ac:dyDescent="0.25">
      <c r="A189" s="63">
        <f>IF(D189="","",SUBTOTAL(3,$D$8:D189))</f>
        <v>155</v>
      </c>
      <c r="B189" s="63" t="s">
        <v>21</v>
      </c>
      <c r="C189" s="153" t="s">
        <v>280</v>
      </c>
      <c r="D189" s="262" t="s">
        <v>645</v>
      </c>
      <c r="E189" s="686"/>
      <c r="F189" s="686"/>
      <c r="G189" s="282" t="str">
        <f t="shared" si="61"/>
        <v>A1</v>
      </c>
      <c r="H189" s="738" t="s">
        <v>1023</v>
      </c>
      <c r="I189" s="737" t="s">
        <v>1002</v>
      </c>
      <c r="J189" s="737" t="s">
        <v>972</v>
      </c>
      <c r="K189" s="739" t="s">
        <v>1052</v>
      </c>
      <c r="L189" s="294" t="s">
        <v>83</v>
      </c>
      <c r="M189" s="307"/>
      <c r="N189" s="291">
        <f>IFERROR(VLOOKUP($D189,K.LLCT!$C$10:$AA$24,12,0),0)</f>
        <v>0</v>
      </c>
      <c r="O189" s="291">
        <f>IFERROR(VLOOKUP($D189,K.LLCT!$C$10:$AA$24,24,0),0)</f>
        <v>0</v>
      </c>
      <c r="P189" s="313" t="str">
        <f t="shared" si="63"/>
        <v>A4</v>
      </c>
      <c r="Q189" s="341" t="str">
        <f t="shared" si="64"/>
        <v>A4</v>
      </c>
      <c r="R189" s="328"/>
      <c r="S189" s="678"/>
      <c r="T189" s="678"/>
      <c r="U189" s="176" t="str">
        <f t="shared" si="62"/>
        <v>A4</v>
      </c>
      <c r="V189" s="181"/>
      <c r="W189" s="330">
        <f>IFERROR(VLOOKUP($D189,K.LLCT!$C$10:$AA$24,13,0),0)</f>
        <v>0</v>
      </c>
      <c r="X189" s="330">
        <f>IFERROR(VLOOKUP($D189,K.LLCT!$C$10:$AA$24,25,0),0)</f>
        <v>0</v>
      </c>
      <c r="Y189" s="84"/>
      <c r="Z189" s="858"/>
      <c r="AA189" s="858"/>
      <c r="AB189" s="721"/>
      <c r="AC189" s="838"/>
      <c r="AD189" s="213"/>
      <c r="AE189" s="60" t="str">
        <f t="shared" si="50"/>
        <v>A4</v>
      </c>
      <c r="BD189" s="60" t="s">
        <v>878</v>
      </c>
      <c r="BE189" s="60" t="s">
        <v>868</v>
      </c>
    </row>
    <row r="190" spans="1:59" s="57" customFormat="1" ht="49.5" customHeight="1" x14ac:dyDescent="0.25">
      <c r="A190" s="63">
        <f>IF(D190="","",SUBTOTAL(3,$D$8:D190))</f>
        <v>156</v>
      </c>
      <c r="B190" s="63" t="s">
        <v>22</v>
      </c>
      <c r="C190" s="263" t="s">
        <v>281</v>
      </c>
      <c r="D190" s="262" t="s">
        <v>646</v>
      </c>
      <c r="E190" s="686"/>
      <c r="F190" s="686"/>
      <c r="G190" s="282" t="str">
        <f t="shared" si="61"/>
        <v>A1</v>
      </c>
      <c r="H190" s="738" t="s">
        <v>1023</v>
      </c>
      <c r="I190" s="737" t="s">
        <v>1002</v>
      </c>
      <c r="J190" s="737" t="s">
        <v>972</v>
      </c>
      <c r="K190" s="739" t="s">
        <v>1052</v>
      </c>
      <c r="L190" s="294" t="s">
        <v>82</v>
      </c>
      <c r="M190" s="1224" t="s">
        <v>1157</v>
      </c>
      <c r="N190" s="291">
        <f>IFERROR(VLOOKUP($D190,K.LLCT!$C$10:$AA$24,12,0),0)</f>
        <v>1</v>
      </c>
      <c r="O190" s="291">
        <f>IFERROR(VLOOKUP($D190,K.LLCT!$C$10:$AA$24,24,0),0)</f>
        <v>0</v>
      </c>
      <c r="P190" s="313" t="s">
        <v>82</v>
      </c>
      <c r="Q190" s="341" t="str">
        <f t="shared" si="64"/>
        <v>A1</v>
      </c>
      <c r="R190" s="572"/>
      <c r="S190" s="677"/>
      <c r="T190" s="677"/>
      <c r="U190" s="176" t="str">
        <f t="shared" si="62"/>
        <v>A1</v>
      </c>
      <c r="V190" s="180">
        <f>R190</f>
        <v>0</v>
      </c>
      <c r="W190" s="330">
        <f>IFERROR(VLOOKUP($D190,K.LLCT!$C$10:$AA$24,13,0),0)</f>
        <v>1</v>
      </c>
      <c r="X190" s="330">
        <f>IFERROR(VLOOKUP($D190,K.LLCT!$C$10:$AA$24,25,0),0)</f>
        <v>0</v>
      </c>
      <c r="Y190" s="84"/>
      <c r="Z190" s="857"/>
      <c r="AA190" s="858"/>
      <c r="AB190" s="851"/>
      <c r="AC190" s="775"/>
      <c r="AD190" s="213"/>
      <c r="AE190" s="60" t="str">
        <f t="shared" si="50"/>
        <v>A1</v>
      </c>
      <c r="AF190" s="60"/>
      <c r="AG190" s="60"/>
      <c r="AH190" s="542"/>
      <c r="AI190" s="542"/>
      <c r="AK190" s="589"/>
      <c r="AL190" s="589"/>
      <c r="AM190" s="589"/>
      <c r="AN190" s="589"/>
      <c r="AO190" s="589"/>
      <c r="AP190" s="589"/>
      <c r="AQ190" s="589"/>
      <c r="AR190" s="589"/>
      <c r="AS190" s="589"/>
      <c r="AT190" s="589"/>
      <c r="AU190" s="589"/>
      <c r="AV190" s="589"/>
      <c r="AW190" s="589"/>
      <c r="AX190" s="589"/>
      <c r="AY190" s="589"/>
      <c r="AZ190" s="589"/>
      <c r="BA190" s="589"/>
      <c r="BB190" s="589"/>
      <c r="BD190" s="60" t="s">
        <v>878</v>
      </c>
      <c r="BE190" s="60" t="s">
        <v>868</v>
      </c>
    </row>
    <row r="191" spans="1:59" s="70" customFormat="1" ht="30.75" customHeight="1" x14ac:dyDescent="0.25">
      <c r="A191" s="63">
        <f>IF(D191="","",SUBTOTAL(3,$D$8:D191))</f>
        <v>157</v>
      </c>
      <c r="B191" s="63" t="s">
        <v>24</v>
      </c>
      <c r="C191" s="153" t="s">
        <v>283</v>
      </c>
      <c r="D191" s="262" t="s">
        <v>648</v>
      </c>
      <c r="E191" s="686"/>
      <c r="F191" s="686"/>
      <c r="G191" s="282" t="str">
        <f t="shared" si="61"/>
        <v>A1</v>
      </c>
      <c r="H191" s="738" t="s">
        <v>1024</v>
      </c>
      <c r="I191" s="737" t="s">
        <v>966</v>
      </c>
      <c r="J191" s="737" t="s">
        <v>972</v>
      </c>
      <c r="K191" s="739" t="s">
        <v>1052</v>
      </c>
      <c r="L191" s="294" t="s">
        <v>85</v>
      </c>
      <c r="M191" s="307"/>
      <c r="N191" s="291">
        <f>IFERROR(VLOOKUP($D191,K.LLCT!$C$10:$AA$24,12,0),0)</f>
        <v>1</v>
      </c>
      <c r="O191" s="291">
        <f>IFERROR(VLOOKUP($D191,K.LLCT!$C$10:$AA$24,24,0),0)</f>
        <v>0</v>
      </c>
      <c r="P191" s="313" t="str">
        <f t="shared" si="63"/>
        <v>A3</v>
      </c>
      <c r="Q191" s="341" t="str">
        <f t="shared" si="64"/>
        <v>A3</v>
      </c>
      <c r="R191" s="328"/>
      <c r="S191" s="678"/>
      <c r="T191" s="678"/>
      <c r="U191" s="176" t="str">
        <f t="shared" si="62"/>
        <v>A3</v>
      </c>
      <c r="V191" s="181"/>
      <c r="W191" s="330">
        <f>IFERROR(VLOOKUP($D191,K.LLCT!$C$10:$AA$24,13,0),0)</f>
        <v>1</v>
      </c>
      <c r="X191" s="330">
        <f>IFERROR(VLOOKUP($D191,K.LLCT!$C$10:$AA$24,25,0),0)</f>
        <v>0</v>
      </c>
      <c r="Y191" s="84"/>
      <c r="Z191" s="859"/>
      <c r="AA191" s="858"/>
      <c r="AB191" s="242"/>
      <c r="AC191" s="836"/>
      <c r="AD191" s="219"/>
      <c r="AE191" s="60" t="str">
        <f t="shared" si="50"/>
        <v>A3</v>
      </c>
      <c r="AF191" s="60"/>
      <c r="AG191" s="589"/>
      <c r="AH191" s="607"/>
      <c r="AI191" s="607"/>
      <c r="AJ191" s="607"/>
      <c r="BD191" s="60" t="s">
        <v>878</v>
      </c>
      <c r="BE191" s="60" t="s">
        <v>868</v>
      </c>
    </row>
    <row r="192" spans="1:59" ht="44.25" customHeight="1" x14ac:dyDescent="0.25">
      <c r="A192" s="62" t="s">
        <v>731</v>
      </c>
      <c r="B192" s="62" t="s">
        <v>730</v>
      </c>
      <c r="C192" s="64" t="s">
        <v>59</v>
      </c>
      <c r="D192" s="62"/>
      <c r="E192" s="652"/>
      <c r="F192" s="652"/>
      <c r="G192" s="280">
        <f>COUNTA($L194:$L221)</f>
        <v>28</v>
      </c>
      <c r="H192" s="234"/>
      <c r="I192" s="234"/>
      <c r="J192" s="234"/>
      <c r="K192" s="234"/>
      <c r="L192" s="500">
        <f>COUNTA($L194:$L221)</f>
        <v>28</v>
      </c>
      <c r="M192" s="286" t="str">
        <f>(COUNTIF($L$194:$L$221,"A1")&amp;"A1")&amp;" + "&amp;(COUNTIF($L$194:$L$221,"A2")&amp;"A2")&amp;" + "&amp;(COUNTIF($L$194:$L$221,"A3")&amp;"A3")&amp;" + "&amp;(COUNTIF($L$194:$L$221,"A4")&amp;"A4")&amp;" + "&amp;(COUNTIF($L$194:$L$221,"B1")&amp;"B1")&amp;" + "&amp;(COUNTIF($L$194:$L$221,"B2")&amp;"B2")&amp;" + "&amp;(COUNTIF($L$194:$L$221,"C1")&amp;"C1")</f>
        <v>3A1 + 4A2 + 5A3 + 15A4 + 0B1 + 1B2 + 0C1</v>
      </c>
      <c r="N192" s="500"/>
      <c r="O192" s="500"/>
      <c r="P192" s="311">
        <f>COUNTA($Q194:$Q221)</f>
        <v>28</v>
      </c>
      <c r="Q192" s="931">
        <f>COUNTA($Q194:$Q221)</f>
        <v>28</v>
      </c>
      <c r="R192" s="312" t="str">
        <f>(COUNTIF($Q$194:$Q$221,"A1")&amp;"A1")&amp;" + "&amp;(COUNTIF($Q$194:$Q$221,"A2")&amp;"A2")&amp;" + "&amp;(COUNTIF($Q$194:$Q$221,"A3")&amp;"A3")&amp;" + "&amp;(COUNTIF($Q$194:$Q$221,"A4")&amp;"A4")&amp;" + "&amp;(COUNTIF($Q$194:$Q$221,"B1")&amp;"B1")&amp;" + "&amp;(COUNTIF($Q$194:$Q$221,"B2")&amp;"B2")&amp;" + "&amp;(COUNTIF($Q$194:$Q$221,"C1")&amp;"C1")</f>
        <v>3A1 + 4A2 + 4A3 + 16A4 + 1B1 + 0B2 + 0C1</v>
      </c>
      <c r="S192" s="661"/>
      <c r="T192" s="661"/>
      <c r="U192" s="174">
        <f>COUNTA($U194:$U221)</f>
        <v>28</v>
      </c>
      <c r="V192" s="175" t="str">
        <f>(COUNTIF($U$194:$U$221,"A1")&amp;"A1")&amp;" + "&amp;(COUNTIF($U$194:$U$221,"A2")&amp;"A2")&amp;" + "&amp;(COUNTIF($U$194:$U$221,"A3")&amp;"A3")&amp;" + "&amp;(COUNTIF($U$194:$U$221,"A4")&amp;"A4")&amp;" + "&amp;(COUNTIF($U$194:$U$221,"B1")&amp;"B1")&amp;" + "&amp;(COUNTIF($U$194:$U$221,"B2")&amp;"B2")&amp;" + "&amp;(COUNTIF($U$194:$U$221,"C1")&amp;"C1")</f>
        <v>3A1 + 4A2 + 4A3 + 16A4 + 1B1 + 0B2 + 0C1</v>
      </c>
      <c r="W192" s="501"/>
      <c r="X192" s="501"/>
      <c r="Y192" s="556"/>
      <c r="Z192" s="862"/>
      <c r="AA192" s="862"/>
      <c r="AB192" s="242"/>
      <c r="AC192" s="789"/>
      <c r="AD192" s="219"/>
      <c r="AE192" s="60"/>
      <c r="AF192" s="60"/>
      <c r="AG192" s="607"/>
      <c r="AH192" s="608"/>
      <c r="AI192" s="608"/>
      <c r="AK192" s="1327" t="s">
        <v>906</v>
      </c>
      <c r="AL192" s="1327"/>
      <c r="AM192" s="1327"/>
      <c r="AN192" s="1327"/>
      <c r="AO192" s="1327"/>
      <c r="AP192" s="1327"/>
      <c r="AQ192" s="1327"/>
      <c r="AR192" s="1327"/>
      <c r="AS192" s="1327"/>
      <c r="AT192" s="1327"/>
      <c r="AU192" s="1327"/>
      <c r="AV192" s="1327"/>
      <c r="AW192" s="1327"/>
      <c r="AX192" s="1327"/>
      <c r="AY192" s="1327"/>
      <c r="AZ192" s="1327"/>
      <c r="BA192" s="1327"/>
      <c r="BB192" s="1327"/>
      <c r="BF192" s="60">
        <f>COUNTIF($BE194:$BE221,"CBQL")</f>
        <v>2</v>
      </c>
      <c r="BG192" s="60">
        <f>COUNTIF($BE194:$BE221,"GV") + COUNTIF($BE194:$BE221,"NV")</f>
        <v>26</v>
      </c>
    </row>
    <row r="193" spans="1:57" s="57" customFormat="1" ht="48.75" customHeight="1" x14ac:dyDescent="0.25">
      <c r="A193" s="65" t="s">
        <v>45</v>
      </c>
      <c r="B193" s="65" t="s">
        <v>45</v>
      </c>
      <c r="C193" s="66" t="s">
        <v>46</v>
      </c>
      <c r="D193" s="65"/>
      <c r="E193" s="691" t="s">
        <v>949</v>
      </c>
      <c r="F193" s="691" t="s">
        <v>950</v>
      </c>
      <c r="G193" s="280">
        <f>COUNTA($L194:$L221)</f>
        <v>28</v>
      </c>
      <c r="H193" s="234"/>
      <c r="I193" s="234"/>
      <c r="J193" s="234"/>
      <c r="K193" s="234"/>
      <c r="L193" s="500">
        <f>COUNTA($L194:$L221)</f>
        <v>28</v>
      </c>
      <c r="M193" s="286" t="str">
        <f>(COUNTIF($L$194:$L$221,"A1")&amp;"A1")&amp;" + "&amp;(COUNTIF($L$194:$L$221,"A2")&amp;"A2")&amp;" + "&amp;(COUNTIF($L$194:$L$221,"A3")&amp;"A3")&amp;" + "&amp;(COUNTIF($L$194:$L$221,"A4")&amp;"A4")&amp;" + "&amp;(COUNTIF($L$194:$L$221,"B1")&amp;"B1")&amp;" + "&amp;(COUNTIF($L$194:$L$221,"B2")&amp;"B2")&amp;" + "&amp;(COUNTIF($L$194:$L$221,"C1")&amp;"C1")</f>
        <v>3A1 + 4A2 + 5A3 + 15A4 + 0B1 + 1B2 + 0C1</v>
      </c>
      <c r="N193" s="293"/>
      <c r="O193" s="293"/>
      <c r="P193" s="311">
        <f>COUNTA($Q194:$Q221)</f>
        <v>28</v>
      </c>
      <c r="Q193" s="931">
        <f>COUNTA($Q194:$Q221)</f>
        <v>28</v>
      </c>
      <c r="R193" s="312" t="str">
        <f>(COUNTIF($Q$194:$Q$221,"A1")&amp;"A1")&amp;" + "&amp;(COUNTIF($Q$194:$Q$221,"A2")&amp;"A2")&amp;" + "&amp;(COUNTIF($Q$194:$Q$221,"A3")&amp;"A3")&amp;" + "&amp;(COUNTIF($Q$194:$Q$221,"A4")&amp;"A4")&amp;" + "&amp;(COUNTIF($Q$194:$Q$221,"B1")&amp;"B1")&amp;" + "&amp;(COUNTIF($Q$194:$Q$221,"B2")&amp;"B2")&amp;" + "&amp;(COUNTIF($Q$194:$Q$221,"C1")&amp;"C1")</f>
        <v>3A1 + 4A2 + 4A3 + 16A4 + 1B1 + 0B2 + 0C1</v>
      </c>
      <c r="S193" s="691" t="s">
        <v>949</v>
      </c>
      <c r="T193" s="691" t="s">
        <v>950</v>
      </c>
      <c r="U193" s="174">
        <f>COUNTA($U194:$U221)</f>
        <v>28</v>
      </c>
      <c r="V193" s="175" t="str">
        <f>(COUNTIF($U$194:$U$221,"A1")&amp;"A1")&amp;" + "&amp;(COUNTIF($U$194:$U$221,"A2")&amp;"A2")&amp;" + "&amp;(COUNTIF($U$194:$U$221,"A3")&amp;"A3")&amp;" + "&amp;(COUNTIF($U$194:$U$221,"A4")&amp;"A4")&amp;" + "&amp;(COUNTIF($U$194:$U$221,"B1")&amp;"B1")&amp;" + "&amp;(COUNTIF($U$194:$U$221,"B2")&amp;"B2")&amp;" + "&amp;(COUNTIF($U$194:$U$221,"C1")&amp;"C1")</f>
        <v>3A1 + 4A2 + 4A3 + 16A4 + 1B1 + 0B2 + 0C1</v>
      </c>
      <c r="W193" s="330"/>
      <c r="X193" s="330"/>
      <c r="Y193" s="556"/>
      <c r="Z193" s="862"/>
      <c r="AA193" s="862"/>
      <c r="AB193" s="242"/>
      <c r="AC193" s="789"/>
      <c r="AD193" s="779"/>
      <c r="AE193" s="60"/>
      <c r="AF193" s="60"/>
      <c r="AG193" s="1328" t="s">
        <v>915</v>
      </c>
      <c r="AH193" s="1328"/>
      <c r="AI193" s="1328"/>
      <c r="AJ193" s="59"/>
      <c r="AK193" s="598" t="s">
        <v>924</v>
      </c>
      <c r="AL193" s="598" t="s">
        <v>907</v>
      </c>
      <c r="AM193" s="1329" t="s">
        <v>897</v>
      </c>
      <c r="AN193" s="1329"/>
      <c r="AO193" s="1329" t="s">
        <v>898</v>
      </c>
      <c r="AP193" s="1329"/>
      <c r="AQ193" s="1329" t="s">
        <v>899</v>
      </c>
      <c r="AR193" s="1329"/>
      <c r="AS193" s="1329" t="s">
        <v>900</v>
      </c>
      <c r="AT193" s="1329"/>
      <c r="AU193" s="1329" t="s">
        <v>902</v>
      </c>
      <c r="AV193" s="1329"/>
      <c r="AW193" s="1329" t="s">
        <v>903</v>
      </c>
      <c r="AX193" s="1329"/>
      <c r="AY193" s="1329" t="s">
        <v>904</v>
      </c>
      <c r="AZ193" s="1329"/>
      <c r="BA193" s="1329" t="s">
        <v>905</v>
      </c>
      <c r="BB193" s="1329"/>
      <c r="BD193" s="60"/>
      <c r="BE193" s="60"/>
    </row>
    <row r="194" spans="1:57" s="57" customFormat="1" ht="38.25" customHeight="1" x14ac:dyDescent="0.25">
      <c r="A194" s="63">
        <f>IF(D194="","",SUBTOTAL(3,$D$8:D194))</f>
        <v>158</v>
      </c>
      <c r="B194" s="63">
        <v>1</v>
      </c>
      <c r="C194" s="71" t="s">
        <v>284</v>
      </c>
      <c r="D194" s="92" t="s">
        <v>285</v>
      </c>
      <c r="E194" s="692">
        <f>COUNTIF($L196:$L221,"A1")</f>
        <v>2</v>
      </c>
      <c r="F194" s="692">
        <f>COUNTIF($L196:$L221,"A2")</f>
        <v>4</v>
      </c>
      <c r="G194" s="282" t="str">
        <f t="shared" ref="G194:G221" si="65">IF($H194&lt;&gt;0,"A1",IF($I194&lt;&gt;0,"A2",IF($J194&lt;&gt;0,"A3","A4")))</f>
        <v>A2</v>
      </c>
      <c r="H194" s="234"/>
      <c r="I194" s="738" t="s">
        <v>975</v>
      </c>
      <c r="J194" s="737" t="s">
        <v>972</v>
      </c>
      <c r="K194" s="739" t="s">
        <v>1054</v>
      </c>
      <c r="L194" s="294" t="s">
        <v>82</v>
      </c>
      <c r="M194" s="307" t="s">
        <v>1187</v>
      </c>
      <c r="N194" s="291">
        <f>IFERROR(VLOOKUP($D194,'K.CƠ KHÍ'!$C$10:$AA$37,12,0),0)</f>
        <v>2</v>
      </c>
      <c r="O194" s="291">
        <f>IFERROR(VLOOKUP($D194,'K.CƠ KHÍ'!$C$10:$AA$37,24,0),0)</f>
        <v>0</v>
      </c>
      <c r="P194" s="1186" t="s">
        <v>82</v>
      </c>
      <c r="Q194" s="341" t="str">
        <f t="shared" ref="Q194" si="66">P194</f>
        <v>A1</v>
      </c>
      <c r="R194" s="317"/>
      <c r="S194" s="692">
        <f>COUNTIF($U196:$U221,"A1")</f>
        <v>2</v>
      </c>
      <c r="T194" s="692">
        <f>COUNTIF($U196:$U221,"A2")</f>
        <v>4</v>
      </c>
      <c r="U194" s="176" t="str">
        <f t="shared" ref="U194:U219" si="67">$Q194</f>
        <v>A1</v>
      </c>
      <c r="V194" s="178"/>
      <c r="W194" s="330">
        <f>IFERROR(VLOOKUP($D194,'K.CƠ KHÍ'!$C$10:$AA$37,13,0),0)</f>
        <v>2</v>
      </c>
      <c r="X194" s="330">
        <f>IFERROR(VLOOKUP($D194,'K.CƠ KHÍ'!$C$10:$AA$37,25,0),0)</f>
        <v>0</v>
      </c>
      <c r="Y194" s="92"/>
      <c r="Z194" s="857"/>
      <c r="AA194" s="857"/>
      <c r="AB194" s="843"/>
      <c r="AC194" s="839"/>
      <c r="AD194" s="213"/>
      <c r="AE194" s="60" t="str">
        <f t="shared" si="50"/>
        <v>A1</v>
      </c>
      <c r="AF194" s="60"/>
      <c r="AG194" s="592" t="s">
        <v>845</v>
      </c>
      <c r="AH194" s="592"/>
      <c r="AI194" s="605">
        <f>AH194/$L192</f>
        <v>0</v>
      </c>
      <c r="AJ194" s="589"/>
      <c r="AK194" s="594"/>
      <c r="AL194" s="595">
        <f>AL195+AL196</f>
        <v>28</v>
      </c>
      <c r="AM194" s="596" t="s">
        <v>896</v>
      </c>
      <c r="AN194" s="596" t="s">
        <v>844</v>
      </c>
      <c r="AO194" s="596" t="s">
        <v>896</v>
      </c>
      <c r="AP194" s="596" t="s">
        <v>844</v>
      </c>
      <c r="AQ194" s="596" t="s">
        <v>896</v>
      </c>
      <c r="AR194" s="596" t="s">
        <v>844</v>
      </c>
      <c r="AS194" s="596" t="s">
        <v>896</v>
      </c>
      <c r="AT194" s="596" t="s">
        <v>844</v>
      </c>
      <c r="AU194" s="596" t="s">
        <v>896</v>
      </c>
      <c r="AV194" s="596" t="s">
        <v>844</v>
      </c>
      <c r="AW194" s="596" t="s">
        <v>896</v>
      </c>
      <c r="AX194" s="596" t="s">
        <v>844</v>
      </c>
      <c r="AY194" s="596" t="s">
        <v>896</v>
      </c>
      <c r="AZ194" s="596" t="s">
        <v>844</v>
      </c>
      <c r="BA194" s="596" t="s">
        <v>896</v>
      </c>
      <c r="BB194" s="596" t="s">
        <v>844</v>
      </c>
      <c r="BD194" s="60" t="s">
        <v>879</v>
      </c>
      <c r="BE194" s="60" t="s">
        <v>866</v>
      </c>
    </row>
    <row r="195" spans="1:57" s="60" customFormat="1" ht="54" customHeight="1" x14ac:dyDescent="0.25">
      <c r="A195" s="63">
        <f>IF(D195="","",SUBTOTAL(3,$D$8:D195))</f>
        <v>159</v>
      </c>
      <c r="B195" s="63">
        <v>2</v>
      </c>
      <c r="C195" s="71" t="s">
        <v>286</v>
      </c>
      <c r="D195" s="89" t="s">
        <v>287</v>
      </c>
      <c r="E195" s="693">
        <f>E194/$AL$196</f>
        <v>7.6923076923076927E-2</v>
      </c>
      <c r="F195" s="693">
        <f>F194/$AL$196</f>
        <v>0.15384615384615385</v>
      </c>
      <c r="G195" s="282" t="str">
        <f t="shared" si="65"/>
        <v>A2</v>
      </c>
      <c r="H195" s="239"/>
      <c r="I195" s="737" t="s">
        <v>965</v>
      </c>
      <c r="J195" s="737" t="s">
        <v>972</v>
      </c>
      <c r="K195" s="491"/>
      <c r="L195" s="294" t="s">
        <v>85</v>
      </c>
      <c r="M195" s="1279" t="s">
        <v>1150</v>
      </c>
      <c r="N195" s="291">
        <f>IFERROR(VLOOKUP($D195,'P.TTGD-CTSV'!$C$10:$AE$24,14,0),0)</f>
        <v>0</v>
      </c>
      <c r="O195" s="291">
        <f>IFERROR(VLOOKUP($D195,'P.TTGD-CTSV'!$C$10:$AE$24,28,0),0)</f>
        <v>0</v>
      </c>
      <c r="P195" s="313" t="str">
        <f t="shared" ref="P195" si="68">IF(AND($W195&gt;=2,$X195&gt;=3,$Y195&gt;=1,H195&lt;&gt;0),"A1",IF(AND($W195&gt;=3,$X195&gt;=1,$Y195&gt;=1,H195&lt;&gt;0),"A1",IF(AND($W195&gt;=4,$X195&gt;=0,$Y195&gt;=1,H195&lt;&gt;0),"A1",IF(AND($W195&gt;=2,$X195&gt;=2,$Y195&gt;=1,I195&lt;&gt;0),"A2",IF(AND($W195&gt;=3,$X195&gt;=0,$Y195&gt;=1,I195&lt;&gt;0),"A2",IF(AND(OR($W195&gt;=1,$X195&gt;=2),J195&lt;&gt;0,$Y195&gt;=-2),"A3","A4"))))))</f>
        <v>A3</v>
      </c>
      <c r="Q195" s="1196" t="s">
        <v>83</v>
      </c>
      <c r="R195" s="317"/>
      <c r="S195" s="693">
        <f>S194/$AL$196</f>
        <v>7.6923076923076927E-2</v>
      </c>
      <c r="T195" s="693">
        <f>T194/$AL$196</f>
        <v>0.15384615384615385</v>
      </c>
      <c r="U195" s="176" t="str">
        <f t="shared" si="67"/>
        <v>A4</v>
      </c>
      <c r="V195" s="180"/>
      <c r="W195" s="330">
        <f>IFERROR(VLOOKUP($D195,'K.CƠ KHÍ'!$C$10:$AA$37,13,0),0)</f>
        <v>0</v>
      </c>
      <c r="X195" s="330">
        <f>IFERROR(VLOOKUP($D195,'K.CƠ KHÍ'!$C$10:$AA$37,25,0),0)</f>
        <v>2</v>
      </c>
      <c r="Y195" s="89"/>
      <c r="Z195" s="857"/>
      <c r="AA195" s="858"/>
      <c r="AB195" s="843"/>
      <c r="AC195" s="839"/>
      <c r="AD195" s="213"/>
      <c r="AE195" s="60" t="str">
        <f t="shared" si="50"/>
        <v>A3</v>
      </c>
      <c r="AG195" s="592" t="s">
        <v>846</v>
      </c>
      <c r="AH195" s="592"/>
      <c r="AI195" s="605">
        <f>AH195/$L192</f>
        <v>0</v>
      </c>
      <c r="AJ195" s="589"/>
      <c r="AK195" s="597" t="s">
        <v>864</v>
      </c>
      <c r="AL195" s="595">
        <f>COUNTIF($BE194:$BE221,"CBQL")</f>
        <v>2</v>
      </c>
      <c r="AM195" s="595">
        <f>COUNTIF($U194:$U195,"A1")</f>
        <v>1</v>
      </c>
      <c r="AN195" s="611">
        <f>AM195/$AL$194</f>
        <v>3.5714285714285712E-2</v>
      </c>
      <c r="AO195" s="595">
        <f>COUNTIF($U194:$U195,"A2")</f>
        <v>0</v>
      </c>
      <c r="AP195" s="611">
        <f>AO195/$AL$194</f>
        <v>0</v>
      </c>
      <c r="AQ195" s="595">
        <f>COUNTIF($U194:$U195,"A3")</f>
        <v>0</v>
      </c>
      <c r="AR195" s="611">
        <f>AQ195/$AL$194</f>
        <v>0</v>
      </c>
      <c r="AS195" s="595">
        <f>COUNTIF($U194:$U195,"A4")</f>
        <v>1</v>
      </c>
      <c r="AT195" s="611">
        <f>AS195/$AL$194</f>
        <v>3.5714285714285712E-2</v>
      </c>
      <c r="AU195" s="595"/>
      <c r="AV195" s="595"/>
      <c r="AW195" s="595"/>
      <c r="AX195" s="595"/>
      <c r="AY195" s="595"/>
      <c r="AZ195" s="595"/>
      <c r="BA195" s="595"/>
      <c r="BB195" s="595"/>
      <c r="BD195" s="60" t="s">
        <v>879</v>
      </c>
      <c r="BE195" s="60" t="s">
        <v>866</v>
      </c>
    </row>
    <row r="196" spans="1:57" s="60" customFormat="1" ht="29.25" customHeight="1" x14ac:dyDescent="0.25">
      <c r="A196" s="63">
        <f>IF(D196="","",SUBTOTAL(3,$D$8:D196))</f>
        <v>160</v>
      </c>
      <c r="B196" s="63">
        <v>3</v>
      </c>
      <c r="C196" s="71" t="s">
        <v>288</v>
      </c>
      <c r="D196" s="89" t="s">
        <v>289</v>
      </c>
      <c r="E196" s="652"/>
      <c r="F196" s="652"/>
      <c r="G196" s="282" t="str">
        <f t="shared" si="65"/>
        <v>A2</v>
      </c>
      <c r="H196" s="234"/>
      <c r="I196" s="737" t="s">
        <v>966</v>
      </c>
      <c r="J196" s="737" t="s">
        <v>963</v>
      </c>
      <c r="K196" s="234"/>
      <c r="L196" s="294" t="s">
        <v>85</v>
      </c>
      <c r="M196" s="307"/>
      <c r="N196" s="291">
        <f>IFERROR(VLOOKUP($D196,'K.CƠ KHÍ'!$C$10:$AA$37,12,0),0)</f>
        <v>1</v>
      </c>
      <c r="O196" s="291">
        <f>IFERROR(VLOOKUP($D196,'K.CƠ KHÍ'!$C$10:$AA$37,24,0),0)</f>
        <v>0</v>
      </c>
      <c r="P196" s="313" t="str">
        <f t="shared" ref="P196:P221" si="69">IF(AND($W196&gt;=2,$X196&gt;=3,H196&lt;&gt;0),"A1",IF(AND($W196&gt;=3,$X196&gt;=1,H196&lt;&gt;0),"A1",IF(AND($W196&gt;=4,$X196&gt;=0,H196&lt;&gt;0),"A1",IF(AND($W196&gt;=2,$X196&gt;=2,I196&lt;&gt;0),"A2",IF(AND($W196&gt;=3,$X196&gt;=0,I196&lt;&gt;0),"A2",IF(AND(OR($W196&gt;=1,$X196&gt;=2),J196&lt;&gt;0),"A3","A4"))))))</f>
        <v>A3</v>
      </c>
      <c r="Q196" s="341" t="str">
        <f t="shared" ref="Q196:Q221" si="70">P196</f>
        <v>A3</v>
      </c>
      <c r="R196" s="319"/>
      <c r="S196" s="672"/>
      <c r="T196" s="672"/>
      <c r="U196" s="176" t="str">
        <f t="shared" si="67"/>
        <v>A3</v>
      </c>
      <c r="V196" s="180"/>
      <c r="W196" s="330">
        <f>IFERROR(VLOOKUP($D196,'K.CƠ KHÍ'!$C$10:$AA$37,13,0),0)</f>
        <v>1</v>
      </c>
      <c r="X196" s="330">
        <f>IFERROR(VLOOKUP($D196,'K.CƠ KHÍ'!$C$10:$AA$37,25,0),0)</f>
        <v>0</v>
      </c>
      <c r="Y196" s="89"/>
      <c r="Z196" s="842"/>
      <c r="AA196" s="861"/>
      <c r="AB196" s="843"/>
      <c r="AC196" s="839"/>
      <c r="AD196" s="213"/>
      <c r="AE196" s="60" t="str">
        <f t="shared" si="50"/>
        <v>A3</v>
      </c>
      <c r="AG196" s="592"/>
      <c r="AH196" s="591">
        <f>AH194+AH195</f>
        <v>0</v>
      </c>
      <c r="AI196" s="606">
        <f>AI194+AI195</f>
        <v>0</v>
      </c>
      <c r="AJ196" s="589"/>
      <c r="AK196" s="597" t="s">
        <v>865</v>
      </c>
      <c r="AL196" s="595">
        <f>COUNTIF($BE194:$BE221,"GV") + COUNTIF($BE194:$BE221,"NV")</f>
        <v>26</v>
      </c>
      <c r="AM196" s="595">
        <f>COUNTIF($U196:$U221,"A1")</f>
        <v>2</v>
      </c>
      <c r="AN196" s="611">
        <f>AM196/$AL$194</f>
        <v>7.1428571428571425E-2</v>
      </c>
      <c r="AO196" s="595">
        <f>COUNTIF($U196:$U221,"A2")</f>
        <v>4</v>
      </c>
      <c r="AP196" s="611">
        <f>AO196/$AL$194</f>
        <v>0.14285714285714285</v>
      </c>
      <c r="AQ196" s="595">
        <f>COUNTIF($U196:$U221,"A3")</f>
        <v>4</v>
      </c>
      <c r="AR196" s="611">
        <f>AQ196/$AL$194</f>
        <v>0.14285714285714285</v>
      </c>
      <c r="AS196" s="595">
        <f>COUNTIF($U196:$U221,"A4")</f>
        <v>15</v>
      </c>
      <c r="AT196" s="611">
        <f>AS196/$AL$194</f>
        <v>0.5357142857142857</v>
      </c>
      <c r="AU196" s="595"/>
      <c r="AV196" s="595"/>
      <c r="AW196" s="595"/>
      <c r="AX196" s="595"/>
      <c r="AY196" s="595"/>
      <c r="AZ196" s="595"/>
      <c r="BA196" s="595"/>
      <c r="BB196" s="595"/>
      <c r="BD196" s="60" t="s">
        <v>879</v>
      </c>
      <c r="BE196" s="60" t="s">
        <v>868</v>
      </c>
    </row>
    <row r="197" spans="1:57" s="60" customFormat="1" ht="29.25" customHeight="1" x14ac:dyDescent="0.25">
      <c r="A197" s="63">
        <f>IF(D197="","",SUBTOTAL(3,$D$8:D197))</f>
        <v>161</v>
      </c>
      <c r="B197" s="63">
        <v>4</v>
      </c>
      <c r="C197" s="71" t="s">
        <v>290</v>
      </c>
      <c r="D197" s="89" t="s">
        <v>291</v>
      </c>
      <c r="E197" s="652"/>
      <c r="F197" s="652"/>
      <c r="G197" s="282" t="str">
        <f t="shared" si="65"/>
        <v>A2</v>
      </c>
      <c r="H197" s="234"/>
      <c r="I197" s="737" t="s">
        <v>966</v>
      </c>
      <c r="J197" s="737" t="s">
        <v>972</v>
      </c>
      <c r="K197" s="234"/>
      <c r="L197" s="294" t="s">
        <v>85</v>
      </c>
      <c r="M197" s="307"/>
      <c r="N197" s="291">
        <f>IFERROR(VLOOKUP($D197,'K.CƠ KHÍ'!$C$10:$AA$37,12,0),0)</f>
        <v>1</v>
      </c>
      <c r="O197" s="291">
        <f>IFERROR(VLOOKUP($D197,'K.CƠ KHÍ'!$C$10:$AA$37,24,0),0)</f>
        <v>1</v>
      </c>
      <c r="P197" s="313" t="str">
        <f t="shared" si="69"/>
        <v>A3</v>
      </c>
      <c r="Q197" s="341" t="str">
        <f t="shared" si="70"/>
        <v>A3</v>
      </c>
      <c r="R197" s="317"/>
      <c r="S197" s="669"/>
      <c r="T197" s="669"/>
      <c r="U197" s="176" t="str">
        <f t="shared" si="67"/>
        <v>A3</v>
      </c>
      <c r="V197" s="178"/>
      <c r="W197" s="330">
        <f>IFERROR(VLOOKUP($D197,'K.CƠ KHÍ'!$C$10:$AA$37,13,0),0)</f>
        <v>1</v>
      </c>
      <c r="X197" s="330">
        <f>IFERROR(VLOOKUP($D197,'K.CƠ KHÍ'!$C$10:$AA$37,25,0),0)</f>
        <v>1</v>
      </c>
      <c r="Y197" s="89"/>
      <c r="Z197" s="861"/>
      <c r="AA197" s="861"/>
      <c r="AB197" s="843"/>
      <c r="AC197" s="839"/>
      <c r="AD197" s="213"/>
      <c r="AE197" s="60" t="str">
        <f t="shared" si="50"/>
        <v>A3</v>
      </c>
      <c r="BD197" s="60" t="s">
        <v>879</v>
      </c>
      <c r="BE197" s="60" t="s">
        <v>868</v>
      </c>
    </row>
    <row r="198" spans="1:57" s="60" customFormat="1" ht="29.25" customHeight="1" x14ac:dyDescent="0.25">
      <c r="A198" s="63">
        <f>IF(D198="","",SUBTOTAL(3,$D$8:D198))</f>
        <v>162</v>
      </c>
      <c r="B198" s="63">
        <v>5</v>
      </c>
      <c r="C198" s="71" t="s">
        <v>292</v>
      </c>
      <c r="D198" s="89" t="s">
        <v>293</v>
      </c>
      <c r="E198" s="686"/>
      <c r="F198" s="686"/>
      <c r="G198" s="282" t="str">
        <f t="shared" si="65"/>
        <v>A2</v>
      </c>
      <c r="H198" s="234"/>
      <c r="I198" s="737" t="s">
        <v>965</v>
      </c>
      <c r="J198" s="737" t="s">
        <v>972</v>
      </c>
      <c r="K198" s="491"/>
      <c r="L198" s="294" t="s">
        <v>84</v>
      </c>
      <c r="M198" s="307"/>
      <c r="N198" s="291">
        <f>IFERROR(VLOOKUP($D198,'K.CƠ KHÍ'!$C$10:$AA$37,12,0),0)</f>
        <v>2</v>
      </c>
      <c r="O198" s="291">
        <f>IFERROR(VLOOKUP($D198,'K.CƠ KHÍ'!$C$10:$AA$37,24,0),0)</f>
        <v>2</v>
      </c>
      <c r="P198" s="313" t="str">
        <f t="shared" si="69"/>
        <v>A2</v>
      </c>
      <c r="Q198" s="341" t="str">
        <f t="shared" si="70"/>
        <v>A2</v>
      </c>
      <c r="R198" s="317"/>
      <c r="S198" s="662"/>
      <c r="T198" s="662"/>
      <c r="U198" s="176" t="str">
        <f t="shared" si="67"/>
        <v>A2</v>
      </c>
      <c r="V198" s="177"/>
      <c r="W198" s="330">
        <f>IFERROR(VLOOKUP($D198,'K.CƠ KHÍ'!$C$10:$AA$37,13,0),0)</f>
        <v>2</v>
      </c>
      <c r="X198" s="330">
        <f>IFERROR(VLOOKUP($D198,'K.CƠ KHÍ'!$C$10:$AA$37,25,0),0)</f>
        <v>2</v>
      </c>
      <c r="Y198" s="89"/>
      <c r="Z198" s="861"/>
      <c r="AA198" s="861"/>
      <c r="AB198" s="843"/>
      <c r="AC198" s="839"/>
      <c r="AD198" s="213"/>
      <c r="AE198" s="60" t="str">
        <f t="shared" si="50"/>
        <v>A2</v>
      </c>
      <c r="BD198" s="60" t="s">
        <v>879</v>
      </c>
      <c r="BE198" s="60" t="s">
        <v>868</v>
      </c>
    </row>
    <row r="199" spans="1:57" s="60" customFormat="1" ht="38.25" customHeight="1" x14ac:dyDescent="0.25">
      <c r="A199" s="63">
        <f>IF(D199="","",SUBTOTAL(3,$D$8:D199))</f>
        <v>163</v>
      </c>
      <c r="B199" s="63">
        <v>6</v>
      </c>
      <c r="C199" s="71" t="s">
        <v>294</v>
      </c>
      <c r="D199" s="89" t="s">
        <v>295</v>
      </c>
      <c r="E199" s="652"/>
      <c r="F199" s="652"/>
      <c r="G199" s="282" t="str">
        <f t="shared" si="65"/>
        <v>A2</v>
      </c>
      <c r="H199" s="234"/>
      <c r="I199" s="737" t="s">
        <v>966</v>
      </c>
      <c r="J199" s="737" t="s">
        <v>963</v>
      </c>
      <c r="K199" s="234"/>
      <c r="L199" s="294" t="s">
        <v>83</v>
      </c>
      <c r="M199" s="307"/>
      <c r="N199" s="291">
        <f>IFERROR(VLOOKUP($D199,'K.CƠ KHÍ'!$C$10:$AA$37,12,0),0)</f>
        <v>0</v>
      </c>
      <c r="O199" s="291">
        <f>IFERROR(VLOOKUP($D199,'K.CƠ KHÍ'!$C$10:$AA$37,24,0),0)</f>
        <v>0</v>
      </c>
      <c r="P199" s="313" t="str">
        <f t="shared" si="69"/>
        <v>A4</v>
      </c>
      <c r="Q199" s="341" t="str">
        <f t="shared" si="70"/>
        <v>A4</v>
      </c>
      <c r="R199" s="319"/>
      <c r="S199" s="672"/>
      <c r="T199" s="672"/>
      <c r="U199" s="176" t="str">
        <f t="shared" si="67"/>
        <v>A4</v>
      </c>
      <c r="V199" s="180"/>
      <c r="W199" s="330">
        <f>IFERROR(VLOOKUP($D199,'K.CƠ KHÍ'!$C$10:$AA$37,13,0),0)</f>
        <v>0</v>
      </c>
      <c r="X199" s="330">
        <f>IFERROR(VLOOKUP($D199,'K.CƠ KHÍ'!$C$10:$AA$37,25,0),0)</f>
        <v>0</v>
      </c>
      <c r="Y199" s="89"/>
      <c r="Z199" s="861"/>
      <c r="AA199" s="861"/>
      <c r="AB199" s="843"/>
      <c r="AC199" s="839"/>
      <c r="AD199" s="213"/>
      <c r="AE199" s="60" t="str">
        <f t="shared" si="50"/>
        <v>A4</v>
      </c>
      <c r="BD199" s="60" t="s">
        <v>879</v>
      </c>
      <c r="BE199" s="60" t="s">
        <v>868</v>
      </c>
    </row>
    <row r="200" spans="1:57" s="60" customFormat="1" ht="42" customHeight="1" x14ac:dyDescent="0.25">
      <c r="A200" s="63">
        <f>IF(D200="","",SUBTOTAL(3,$D$8:D200))</f>
        <v>164</v>
      </c>
      <c r="B200" s="63">
        <v>7</v>
      </c>
      <c r="C200" s="71" t="s">
        <v>296</v>
      </c>
      <c r="D200" s="89" t="s">
        <v>297</v>
      </c>
      <c r="E200" s="652"/>
      <c r="F200" s="652"/>
      <c r="G200" s="282" t="str">
        <f t="shared" si="65"/>
        <v>A2</v>
      </c>
      <c r="H200" s="234"/>
      <c r="I200" s="737" t="s">
        <v>974</v>
      </c>
      <c r="J200" s="737" t="s">
        <v>972</v>
      </c>
      <c r="K200" s="737"/>
      <c r="L200" s="294" t="s">
        <v>82</v>
      </c>
      <c r="M200" s="307" t="s">
        <v>1125</v>
      </c>
      <c r="N200" s="291">
        <f>IFERROR(VLOOKUP($D200,'K.CƠ KHÍ'!$C$10:$AA$37,12,0),0)</f>
        <v>1</v>
      </c>
      <c r="O200" s="291">
        <f>IFERROR(VLOOKUP($D200,'K.CƠ KHÍ'!$C$10:$AA$37,24,0),0)</f>
        <v>0</v>
      </c>
      <c r="P200" s="1186" t="s">
        <v>82</v>
      </c>
      <c r="Q200" s="341" t="str">
        <f t="shared" si="70"/>
        <v>A1</v>
      </c>
      <c r="R200" s="317"/>
      <c r="S200" s="664"/>
      <c r="T200" s="664"/>
      <c r="U200" s="176" t="str">
        <f t="shared" si="67"/>
        <v>A1</v>
      </c>
      <c r="V200" s="178"/>
      <c r="W200" s="330">
        <f>IFERROR(VLOOKUP($D200,'K.CƠ KHÍ'!$C$10:$AA$37,13,0),0)</f>
        <v>1</v>
      </c>
      <c r="X200" s="330">
        <f>IFERROR(VLOOKUP($D200,'K.CƠ KHÍ'!$C$10:$AA$37,25,0),0)</f>
        <v>0</v>
      </c>
      <c r="Y200" s="89"/>
      <c r="Z200" s="859"/>
      <c r="AA200" s="859"/>
      <c r="AB200" s="840"/>
      <c r="AC200" s="850"/>
      <c r="AD200" s="213"/>
      <c r="AE200" s="60" t="str">
        <f t="shared" si="50"/>
        <v>A1</v>
      </c>
      <c r="BD200" s="60" t="s">
        <v>879</v>
      </c>
      <c r="BE200" s="60" t="s">
        <v>868</v>
      </c>
    </row>
    <row r="201" spans="1:57" s="60" customFormat="1" ht="41.25" customHeight="1" x14ac:dyDescent="0.25">
      <c r="A201" s="63">
        <f>IF(D201="","",SUBTOTAL(3,$D$8:D201))</f>
        <v>165</v>
      </c>
      <c r="B201" s="63">
        <v>8</v>
      </c>
      <c r="C201" s="71" t="s">
        <v>298</v>
      </c>
      <c r="D201" s="89" t="s">
        <v>299</v>
      </c>
      <c r="E201" s="652"/>
      <c r="F201" s="652"/>
      <c r="G201" s="282" t="str">
        <f t="shared" si="65"/>
        <v>A2</v>
      </c>
      <c r="H201" s="234"/>
      <c r="I201" s="737" t="s">
        <v>964</v>
      </c>
      <c r="J201" s="737" t="s">
        <v>954</v>
      </c>
      <c r="K201" s="234"/>
      <c r="L201" s="294" t="s">
        <v>84</v>
      </c>
      <c r="M201" s="307"/>
      <c r="N201" s="291">
        <f>IFERROR(VLOOKUP($D201,'K.CƠ KHÍ'!$C$10:$AA$37,12,0),0)</f>
        <v>2</v>
      </c>
      <c r="O201" s="291">
        <f>IFERROR(VLOOKUP($D201,'K.CƠ KHÍ'!$C$10:$AA$37,24,0),0)</f>
        <v>2</v>
      </c>
      <c r="P201" s="313" t="str">
        <f t="shared" si="69"/>
        <v>A2</v>
      </c>
      <c r="Q201" s="341" t="str">
        <f t="shared" si="70"/>
        <v>A2</v>
      </c>
      <c r="R201" s="317"/>
      <c r="S201" s="680"/>
      <c r="T201" s="680"/>
      <c r="U201" s="176" t="str">
        <f t="shared" si="67"/>
        <v>A2</v>
      </c>
      <c r="V201" s="180"/>
      <c r="W201" s="330">
        <f>IFERROR(VLOOKUP($D201,'K.CƠ KHÍ'!$C$10:$AA$37,13,0),0)</f>
        <v>2</v>
      </c>
      <c r="X201" s="330">
        <f>IFERROR(VLOOKUP($D201,'K.CƠ KHÍ'!$C$10:$AA$37,25,0),0)</f>
        <v>2</v>
      </c>
      <c r="Y201" s="89"/>
      <c r="Z201" s="857"/>
      <c r="AA201" s="850"/>
      <c r="AB201" s="843"/>
      <c r="AC201" s="839"/>
      <c r="AD201" s="213"/>
      <c r="AE201" s="60" t="str">
        <f t="shared" si="50"/>
        <v>A2</v>
      </c>
      <c r="BD201" s="60" t="s">
        <v>879</v>
      </c>
      <c r="BE201" s="60" t="s">
        <v>868</v>
      </c>
    </row>
    <row r="202" spans="1:57" s="60" customFormat="1" ht="32.25" customHeight="1" x14ac:dyDescent="0.25">
      <c r="A202" s="63">
        <f>IF(D202="","",SUBTOTAL(3,$D$8:D202))</f>
        <v>166</v>
      </c>
      <c r="B202" s="63">
        <v>9</v>
      </c>
      <c r="C202" s="71" t="s">
        <v>300</v>
      </c>
      <c r="D202" s="89" t="s">
        <v>301</v>
      </c>
      <c r="E202" s="652"/>
      <c r="F202" s="652"/>
      <c r="G202" s="282" t="str">
        <f t="shared" si="65"/>
        <v>A4</v>
      </c>
      <c r="H202" s="234"/>
      <c r="I202" s="737"/>
      <c r="J202" s="737"/>
      <c r="K202" s="234"/>
      <c r="L202" s="294" t="s">
        <v>83</v>
      </c>
      <c r="M202" s="307"/>
      <c r="N202" s="291">
        <f>IFERROR(VLOOKUP($D202,'K.CƠ KHÍ'!$C$10:$AA$37,12,0),0)</f>
        <v>0</v>
      </c>
      <c r="O202" s="291">
        <f>IFERROR(VLOOKUP($D202,'K.CƠ KHÍ'!$C$10:$AA$37,24,0),0)</f>
        <v>0</v>
      </c>
      <c r="P202" s="313" t="str">
        <f t="shared" si="69"/>
        <v>A4</v>
      </c>
      <c r="Q202" s="341" t="str">
        <f t="shared" si="70"/>
        <v>A4</v>
      </c>
      <c r="R202" s="318"/>
      <c r="S202" s="667"/>
      <c r="T202" s="667"/>
      <c r="U202" s="176" t="str">
        <f t="shared" si="67"/>
        <v>A4</v>
      </c>
      <c r="V202" s="180"/>
      <c r="W202" s="330">
        <f>IFERROR(VLOOKUP($D202,'K.CƠ KHÍ'!$C$10:$AA$37,13,0),0)</f>
        <v>0</v>
      </c>
      <c r="X202" s="330">
        <f>IFERROR(VLOOKUP($D202,'K.CƠ KHÍ'!$C$10:$AA$37,25,0),0)</f>
        <v>0</v>
      </c>
      <c r="Y202" s="89"/>
      <c r="Z202" s="861"/>
      <c r="AA202" s="861"/>
      <c r="AB202" s="843"/>
      <c r="AC202" s="839"/>
      <c r="AD202" s="213"/>
      <c r="AE202" s="60" t="str">
        <f t="shared" si="50"/>
        <v>A4</v>
      </c>
      <c r="BD202" s="60" t="s">
        <v>879</v>
      </c>
      <c r="BE202" s="60" t="s">
        <v>868</v>
      </c>
    </row>
    <row r="203" spans="1:57" s="60" customFormat="1" ht="42.75" customHeight="1" x14ac:dyDescent="0.25">
      <c r="A203" s="63">
        <f>IF(D203="","",SUBTOTAL(3,$D$8:D203))</f>
        <v>167</v>
      </c>
      <c r="B203" s="63">
        <v>10</v>
      </c>
      <c r="C203" s="71" t="s">
        <v>302</v>
      </c>
      <c r="D203" s="89" t="s">
        <v>303</v>
      </c>
      <c r="E203" s="652"/>
      <c r="F203" s="652"/>
      <c r="G203" s="282" t="str">
        <f t="shared" si="65"/>
        <v>A3</v>
      </c>
      <c r="H203" s="234"/>
      <c r="I203" s="737"/>
      <c r="J203" s="737" t="s">
        <v>963</v>
      </c>
      <c r="K203" s="234"/>
      <c r="L203" s="294" t="s">
        <v>82</v>
      </c>
      <c r="M203" s="307" t="s">
        <v>1125</v>
      </c>
      <c r="N203" s="291">
        <f>IFERROR(VLOOKUP($D203,'K.CƠ KHÍ'!$C$10:$AA$37,12,0),0)</f>
        <v>1</v>
      </c>
      <c r="O203" s="291">
        <f>IFERROR(VLOOKUP($D203,'K.CƠ KHÍ'!$C$10:$AA$37,24,0),0)</f>
        <v>0</v>
      </c>
      <c r="P203" s="1186" t="s">
        <v>82</v>
      </c>
      <c r="Q203" s="341" t="str">
        <f t="shared" si="70"/>
        <v>A1</v>
      </c>
      <c r="R203" s="317"/>
      <c r="S203" s="664"/>
      <c r="T203" s="664"/>
      <c r="U203" s="176" t="str">
        <f t="shared" si="67"/>
        <v>A1</v>
      </c>
      <c r="V203" s="179"/>
      <c r="W203" s="330">
        <f>IFERROR(VLOOKUP($D203,'K.CƠ KHÍ'!$C$10:$AA$37,13,0),0)</f>
        <v>1</v>
      </c>
      <c r="X203" s="330">
        <f>IFERROR(VLOOKUP($D203,'K.CƠ KHÍ'!$C$10:$AA$37,25,0),0)</f>
        <v>0</v>
      </c>
      <c r="Y203" s="89"/>
      <c r="Z203" s="861"/>
      <c r="AA203" s="861"/>
      <c r="AB203" s="843"/>
      <c r="AC203" s="839"/>
      <c r="AD203" s="213"/>
      <c r="AE203" s="60" t="str">
        <f t="shared" si="50"/>
        <v>A1</v>
      </c>
      <c r="BD203" s="60" t="s">
        <v>879</v>
      </c>
      <c r="BE203" s="60" t="s">
        <v>868</v>
      </c>
    </row>
    <row r="204" spans="1:57" s="60" customFormat="1" ht="32.25" customHeight="1" x14ac:dyDescent="0.25">
      <c r="A204" s="63">
        <f>IF(D204="","",SUBTOTAL(3,$D$8:D204))</f>
        <v>168</v>
      </c>
      <c r="B204" s="63">
        <v>11</v>
      </c>
      <c r="C204" s="71" t="s">
        <v>304</v>
      </c>
      <c r="D204" s="89" t="s">
        <v>305</v>
      </c>
      <c r="E204" s="652"/>
      <c r="F204" s="652"/>
      <c r="G204" s="282" t="str">
        <f t="shared" si="65"/>
        <v>A4</v>
      </c>
      <c r="H204" s="234"/>
      <c r="I204" s="737"/>
      <c r="J204" s="737"/>
      <c r="K204" s="234"/>
      <c r="L204" s="294" t="s">
        <v>83</v>
      </c>
      <c r="M204" s="307"/>
      <c r="N204" s="291">
        <f>IFERROR(VLOOKUP($D204,'K.CƠ KHÍ'!$C$10:$AA$37,12,0),0)</f>
        <v>0</v>
      </c>
      <c r="O204" s="291">
        <f>IFERROR(VLOOKUP($D204,'K.CƠ KHÍ'!$C$10:$AA$37,24,0),0)</f>
        <v>0</v>
      </c>
      <c r="P204" s="313" t="str">
        <f t="shared" si="69"/>
        <v>A4</v>
      </c>
      <c r="Q204" s="341" t="str">
        <f t="shared" si="70"/>
        <v>A4</v>
      </c>
      <c r="R204" s="317"/>
      <c r="S204" s="664"/>
      <c r="T204" s="664"/>
      <c r="U204" s="176" t="str">
        <f t="shared" si="67"/>
        <v>A4</v>
      </c>
      <c r="V204" s="180"/>
      <c r="W204" s="330">
        <f>IFERROR(VLOOKUP($D204,'K.CƠ KHÍ'!$C$10:$AA$37,13,0),0)</f>
        <v>0</v>
      </c>
      <c r="X204" s="330">
        <f>IFERROR(VLOOKUP($D204,'K.CƠ KHÍ'!$C$10:$AA$37,25,0),0)</f>
        <v>0</v>
      </c>
      <c r="Y204" s="89"/>
      <c r="Z204" s="842"/>
      <c r="AA204" s="858"/>
      <c r="AB204" s="843"/>
      <c r="AC204" s="839"/>
      <c r="AD204" s="213"/>
      <c r="AE204" s="60" t="str">
        <f t="shared" ref="AE204:AE266" si="71">IF($L204=$P204,$L204,FALSE)</f>
        <v>A4</v>
      </c>
      <c r="BD204" s="60" t="s">
        <v>879</v>
      </c>
      <c r="BE204" s="60" t="s">
        <v>868</v>
      </c>
    </row>
    <row r="205" spans="1:57" s="60" customFormat="1" ht="32.25" customHeight="1" x14ac:dyDescent="0.25">
      <c r="A205" s="63">
        <f>IF(D205="","",SUBTOTAL(3,$D$8:D205))</f>
        <v>169</v>
      </c>
      <c r="B205" s="63">
        <v>12</v>
      </c>
      <c r="C205" s="71" t="s">
        <v>306</v>
      </c>
      <c r="D205" s="89" t="s">
        <v>307</v>
      </c>
      <c r="E205" s="652"/>
      <c r="F205" s="652"/>
      <c r="G205" s="282" t="str">
        <f t="shared" si="65"/>
        <v>A4</v>
      </c>
      <c r="H205" s="234"/>
      <c r="I205" s="737"/>
      <c r="J205" s="737"/>
      <c r="K205" s="234"/>
      <c r="L205" s="294" t="s">
        <v>83</v>
      </c>
      <c r="M205" s="307"/>
      <c r="N205" s="291">
        <f>IFERROR(VLOOKUP($D205,'K.CƠ KHÍ'!$C$10:$AA$37,12,0),0)</f>
        <v>0</v>
      </c>
      <c r="O205" s="291">
        <f>IFERROR(VLOOKUP($D205,'K.CƠ KHÍ'!$C$10:$AA$37,24,0),0)</f>
        <v>0</v>
      </c>
      <c r="P205" s="313" t="str">
        <f t="shared" si="69"/>
        <v>A4</v>
      </c>
      <c r="Q205" s="341" t="str">
        <f t="shared" si="70"/>
        <v>A4</v>
      </c>
      <c r="R205" s="317"/>
      <c r="S205" s="664"/>
      <c r="T205" s="664"/>
      <c r="U205" s="176" t="str">
        <f t="shared" si="67"/>
        <v>A4</v>
      </c>
      <c r="V205" s="180"/>
      <c r="W205" s="330">
        <f>IFERROR(VLOOKUP($D205,'K.CƠ KHÍ'!$C$10:$AA$37,13,0),0)</f>
        <v>0</v>
      </c>
      <c r="X205" s="330">
        <f>IFERROR(VLOOKUP($D205,'K.CƠ KHÍ'!$C$10:$AA$37,25,0),0)</f>
        <v>0</v>
      </c>
      <c r="Y205" s="89"/>
      <c r="Z205" s="857"/>
      <c r="AA205" s="858"/>
      <c r="AB205" s="843"/>
      <c r="AC205" s="839"/>
      <c r="AD205" s="213"/>
      <c r="AE205" s="60" t="str">
        <f t="shared" si="71"/>
        <v>A4</v>
      </c>
      <c r="BD205" s="60" t="s">
        <v>879</v>
      </c>
      <c r="BE205" s="60" t="s">
        <v>868</v>
      </c>
    </row>
    <row r="206" spans="1:57" s="60" customFormat="1" ht="33" customHeight="1" x14ac:dyDescent="0.25">
      <c r="A206" s="63">
        <f>IF(D206="","",SUBTOTAL(3,$D$8:D206))</f>
        <v>170</v>
      </c>
      <c r="B206" s="63">
        <v>13</v>
      </c>
      <c r="C206" s="71" t="s">
        <v>308</v>
      </c>
      <c r="D206" s="89" t="s">
        <v>309</v>
      </c>
      <c r="E206" s="652"/>
      <c r="F206" s="652"/>
      <c r="G206" s="282" t="str">
        <f t="shared" si="65"/>
        <v>A4</v>
      </c>
      <c r="H206" s="234"/>
      <c r="I206" s="737"/>
      <c r="J206" s="737"/>
      <c r="K206" s="234"/>
      <c r="L206" s="294" t="s">
        <v>83</v>
      </c>
      <c r="M206" s="307"/>
      <c r="N206" s="291">
        <f>IFERROR(VLOOKUP($D206,'K.CƠ KHÍ'!$C$10:$AA$37,12,0),0)</f>
        <v>0</v>
      </c>
      <c r="O206" s="291">
        <f>IFERROR(VLOOKUP($D206,'K.CƠ KHÍ'!$C$10:$AA$37,24,0),0)</f>
        <v>0</v>
      </c>
      <c r="P206" s="313" t="str">
        <f t="shared" si="69"/>
        <v>A4</v>
      </c>
      <c r="Q206" s="341" t="str">
        <f t="shared" si="70"/>
        <v>A4</v>
      </c>
      <c r="R206" s="319"/>
      <c r="S206" s="680"/>
      <c r="T206" s="680"/>
      <c r="U206" s="176" t="str">
        <f t="shared" si="67"/>
        <v>A4</v>
      </c>
      <c r="V206" s="180">
        <f>R206</f>
        <v>0</v>
      </c>
      <c r="W206" s="330">
        <f>IFERROR(VLOOKUP($D206,'K.CƠ KHÍ'!$C$10:$AA$37,13,0),0)</f>
        <v>0</v>
      </c>
      <c r="X206" s="330">
        <f>IFERROR(VLOOKUP($D206,'K.CƠ KHÍ'!$C$10:$AA$37,25,0),0)</f>
        <v>0</v>
      </c>
      <c r="Y206" s="89"/>
      <c r="Z206" s="861"/>
      <c r="AA206" s="861"/>
      <c r="AB206" s="843"/>
      <c r="AC206" s="839"/>
      <c r="AD206" s="213"/>
      <c r="AE206" s="60" t="str">
        <f t="shared" si="71"/>
        <v>A4</v>
      </c>
      <c r="BD206" s="60" t="s">
        <v>879</v>
      </c>
      <c r="BE206" s="60" t="s">
        <v>868</v>
      </c>
    </row>
    <row r="207" spans="1:57" s="60" customFormat="1" ht="33.75" customHeight="1" x14ac:dyDescent="0.25">
      <c r="A207" s="63">
        <f>IF(D207="","",SUBTOTAL(3,$D$8:D207))</f>
        <v>171</v>
      </c>
      <c r="B207" s="63">
        <v>14</v>
      </c>
      <c r="C207" s="71" t="s">
        <v>310</v>
      </c>
      <c r="D207" s="89" t="s">
        <v>311</v>
      </c>
      <c r="E207" s="652"/>
      <c r="F207" s="652"/>
      <c r="G207" s="282" t="str">
        <f t="shared" si="65"/>
        <v>A3</v>
      </c>
      <c r="H207" s="234"/>
      <c r="I207" s="737"/>
      <c r="J207" s="737" t="s">
        <v>963</v>
      </c>
      <c r="K207" s="234"/>
      <c r="L207" s="294" t="s">
        <v>83</v>
      </c>
      <c r="M207" s="307"/>
      <c r="N207" s="291">
        <f>IFERROR(VLOOKUP($D207,'K.CƠ KHÍ'!$C$10:$AA$37,12,0),0)</f>
        <v>0</v>
      </c>
      <c r="O207" s="291">
        <f>IFERROR(VLOOKUP($D207,'K.CƠ KHÍ'!$C$10:$AA$37,24,0),0)</f>
        <v>0</v>
      </c>
      <c r="P207" s="313" t="str">
        <f t="shared" si="69"/>
        <v>A4</v>
      </c>
      <c r="Q207" s="341" t="str">
        <f t="shared" si="70"/>
        <v>A4</v>
      </c>
      <c r="R207" s="317"/>
      <c r="S207" s="667"/>
      <c r="T207" s="667"/>
      <c r="U207" s="176" t="str">
        <f t="shared" si="67"/>
        <v>A4</v>
      </c>
      <c r="V207" s="180"/>
      <c r="W207" s="330">
        <f>IFERROR(VLOOKUP($D207,'K.CƠ KHÍ'!$C$10:$AA$37,13,0),0)</f>
        <v>0</v>
      </c>
      <c r="X207" s="330">
        <f>IFERROR(VLOOKUP($D207,'K.CƠ KHÍ'!$C$10:$AA$37,25,0),0)</f>
        <v>0</v>
      </c>
      <c r="Y207" s="89"/>
      <c r="Z207" s="859"/>
      <c r="AA207" s="861"/>
      <c r="AB207" s="777"/>
      <c r="AC207" s="839"/>
      <c r="AD207" s="213"/>
      <c r="AE207" s="60" t="str">
        <f t="shared" si="71"/>
        <v>A4</v>
      </c>
      <c r="BD207" s="60" t="s">
        <v>879</v>
      </c>
      <c r="BE207" s="60" t="s">
        <v>868</v>
      </c>
    </row>
    <row r="208" spans="1:57" s="60" customFormat="1" ht="33.75" customHeight="1" x14ac:dyDescent="0.25">
      <c r="A208" s="63">
        <f>IF(D208="","",SUBTOTAL(3,$D$8:D208))</f>
        <v>172</v>
      </c>
      <c r="B208" s="63">
        <v>15</v>
      </c>
      <c r="C208" s="71" t="s">
        <v>276</v>
      </c>
      <c r="D208" s="89" t="s">
        <v>313</v>
      </c>
      <c r="E208" s="652"/>
      <c r="F208" s="652"/>
      <c r="G208" s="282" t="str">
        <f t="shared" si="65"/>
        <v>A2</v>
      </c>
      <c r="H208" s="234"/>
      <c r="I208" s="737" t="s">
        <v>966</v>
      </c>
      <c r="J208" s="737" t="s">
        <v>963</v>
      </c>
      <c r="K208" s="234"/>
      <c r="L208" s="294" t="s">
        <v>83</v>
      </c>
      <c r="M208" s="307"/>
      <c r="N208" s="291">
        <f>IFERROR(VLOOKUP($D208,'K.CƠ KHÍ'!$C$10:$AA$37,12,0),0)</f>
        <v>0</v>
      </c>
      <c r="O208" s="291">
        <f>IFERROR(VLOOKUP($D208,'K.CƠ KHÍ'!$C$10:$AA$37,24,0),0)</f>
        <v>0</v>
      </c>
      <c r="P208" s="313" t="str">
        <f t="shared" si="69"/>
        <v>A4</v>
      </c>
      <c r="Q208" s="341" t="str">
        <f t="shared" si="70"/>
        <v>A4</v>
      </c>
      <c r="R208" s="318"/>
      <c r="S208" s="667"/>
      <c r="T208" s="667"/>
      <c r="U208" s="176" t="str">
        <f t="shared" si="67"/>
        <v>A4</v>
      </c>
      <c r="V208" s="180"/>
      <c r="W208" s="330">
        <f>IFERROR(VLOOKUP($D208,'K.CƠ KHÍ'!$C$10:$AA$37,13,0),0)</f>
        <v>0</v>
      </c>
      <c r="X208" s="330">
        <f>IFERROR(VLOOKUP($D208,'K.CƠ KHÍ'!$C$10:$AA$37,25,0),0)</f>
        <v>0</v>
      </c>
      <c r="Y208" s="89"/>
      <c r="Z208" s="857"/>
      <c r="AA208" s="858"/>
      <c r="AB208" s="843"/>
      <c r="AC208" s="839"/>
      <c r="AD208" s="213"/>
      <c r="AE208" s="60" t="str">
        <f t="shared" si="71"/>
        <v>A4</v>
      </c>
      <c r="BD208" s="60" t="s">
        <v>879</v>
      </c>
      <c r="BE208" s="60" t="s">
        <v>868</v>
      </c>
    </row>
    <row r="209" spans="1:59" s="60" customFormat="1" ht="26.25" customHeight="1" x14ac:dyDescent="0.25">
      <c r="A209" s="63">
        <f>IF(D209="","",SUBTOTAL(3,$D$8:D209))</f>
        <v>173</v>
      </c>
      <c r="B209" s="63">
        <v>16</v>
      </c>
      <c r="C209" s="71" t="s">
        <v>314</v>
      </c>
      <c r="D209" s="89" t="s">
        <v>315</v>
      </c>
      <c r="E209" s="652"/>
      <c r="F209" s="652"/>
      <c r="G209" s="282" t="str">
        <f t="shared" si="65"/>
        <v>A4</v>
      </c>
      <c r="H209" s="234"/>
      <c r="I209" s="737"/>
      <c r="J209" s="737"/>
      <c r="K209" s="234"/>
      <c r="L209" s="294" t="s">
        <v>83</v>
      </c>
      <c r="M209" s="307"/>
      <c r="N209" s="291">
        <f>IFERROR(VLOOKUP($D209,'K.CƠ KHÍ'!$C$10:$AA$37,12,0),0)</f>
        <v>0</v>
      </c>
      <c r="O209" s="291">
        <f>IFERROR(VLOOKUP($D209,'K.CƠ KHÍ'!$C$10:$AA$37,24,0),0)</f>
        <v>0</v>
      </c>
      <c r="P209" s="313" t="str">
        <f t="shared" si="69"/>
        <v>A4</v>
      </c>
      <c r="Q209" s="341" t="str">
        <f t="shared" si="70"/>
        <v>A4</v>
      </c>
      <c r="R209" s="318"/>
      <c r="S209" s="667"/>
      <c r="T209" s="667"/>
      <c r="U209" s="176" t="str">
        <f t="shared" si="67"/>
        <v>A4</v>
      </c>
      <c r="V209" s="180"/>
      <c r="W209" s="330">
        <f>IFERROR(VLOOKUP($D209,'K.CƠ KHÍ'!$C$10:$AA$37,13,0),0)</f>
        <v>0</v>
      </c>
      <c r="X209" s="330">
        <f>IFERROR(VLOOKUP($D209,'K.CƠ KHÍ'!$C$10:$AA$37,25,0),0)</f>
        <v>0</v>
      </c>
      <c r="Y209" s="89"/>
      <c r="Z209" s="861"/>
      <c r="AA209" s="861"/>
      <c r="AB209" s="843"/>
      <c r="AC209" s="839"/>
      <c r="AD209" s="213"/>
      <c r="AE209" s="60" t="str">
        <f t="shared" si="71"/>
        <v>A4</v>
      </c>
      <c r="BD209" s="60" t="s">
        <v>879</v>
      </c>
      <c r="BE209" s="60" t="s">
        <v>868</v>
      </c>
    </row>
    <row r="210" spans="1:59" s="60" customFormat="1" ht="26.25" customHeight="1" x14ac:dyDescent="0.25">
      <c r="A210" s="63">
        <f>IF(D210="","",SUBTOTAL(3,$D$8:D210))</f>
        <v>174</v>
      </c>
      <c r="B210" s="63">
        <v>17</v>
      </c>
      <c r="C210" s="71" t="s">
        <v>316</v>
      </c>
      <c r="D210" s="89" t="s">
        <v>317</v>
      </c>
      <c r="E210" s="652"/>
      <c r="F210" s="652"/>
      <c r="G210" s="282" t="str">
        <f t="shared" si="65"/>
        <v>A2</v>
      </c>
      <c r="H210" s="234"/>
      <c r="I210" s="737" t="s">
        <v>964</v>
      </c>
      <c r="J210" s="737" t="s">
        <v>990</v>
      </c>
      <c r="K210" s="234"/>
      <c r="L210" s="294" t="s">
        <v>85</v>
      </c>
      <c r="M210" s="307"/>
      <c r="N210" s="291">
        <f>IFERROR(VLOOKUP($D210,'K.CƠ KHÍ'!$C$10:$AA$37,12,0),0)</f>
        <v>0</v>
      </c>
      <c r="O210" s="291">
        <f>IFERROR(VLOOKUP($D210,'K.CƠ KHÍ'!$C$10:$AA$37,24,0),0)</f>
        <v>3</v>
      </c>
      <c r="P210" s="313" t="str">
        <f t="shared" si="69"/>
        <v>A3</v>
      </c>
      <c r="Q210" s="341" t="str">
        <f t="shared" si="70"/>
        <v>A3</v>
      </c>
      <c r="R210" s="573"/>
      <c r="S210" s="680"/>
      <c r="T210" s="680"/>
      <c r="U210" s="176" t="str">
        <f t="shared" si="67"/>
        <v>A3</v>
      </c>
      <c r="V210" s="180">
        <f>R210</f>
        <v>0</v>
      </c>
      <c r="W210" s="330">
        <f>IFERROR(VLOOKUP($D210,'K.CƠ KHÍ'!$C$10:$AA$37,13,0),0)</f>
        <v>0</v>
      </c>
      <c r="X210" s="330">
        <f>IFERROR(VLOOKUP($D210,'K.CƠ KHÍ'!$C$10:$AA$37,25,0),0)</f>
        <v>3</v>
      </c>
      <c r="Y210" s="89"/>
      <c r="Z210" s="861"/>
      <c r="AA210" s="861"/>
      <c r="AB210" s="777"/>
      <c r="AC210" s="839"/>
      <c r="AD210" s="213"/>
      <c r="AE210" s="60" t="str">
        <f t="shared" si="71"/>
        <v>A3</v>
      </c>
      <c r="BD210" s="60" t="s">
        <v>879</v>
      </c>
      <c r="BE210" s="60" t="s">
        <v>868</v>
      </c>
    </row>
    <row r="211" spans="1:59" s="60" customFormat="1" ht="156" customHeight="1" x14ac:dyDescent="0.25">
      <c r="A211" s="63">
        <f>IF(D211="","",SUBTOTAL(3,$D$8:D211))</f>
        <v>175</v>
      </c>
      <c r="B211" s="63">
        <v>18</v>
      </c>
      <c r="C211" s="71" t="s">
        <v>318</v>
      </c>
      <c r="D211" s="89" t="s">
        <v>319</v>
      </c>
      <c r="E211" s="652"/>
      <c r="F211" s="652"/>
      <c r="G211" s="282" t="str">
        <f t="shared" si="65"/>
        <v>A4</v>
      </c>
      <c r="H211" s="234"/>
      <c r="I211" s="737"/>
      <c r="J211" s="737"/>
      <c r="K211" s="234"/>
      <c r="L211" s="294" t="s">
        <v>140</v>
      </c>
      <c r="M211" s="307" t="s">
        <v>1159</v>
      </c>
      <c r="N211" s="291">
        <f>IFERROR(VLOOKUP($D211,'K.CƠ KHÍ'!$C$10:$AA$37,12,0),0)</f>
        <v>0</v>
      </c>
      <c r="O211" s="291">
        <f>IFERROR(VLOOKUP($D211,'K.CƠ KHÍ'!$C$10:$AA$37,24,0),0)</f>
        <v>0</v>
      </c>
      <c r="P211" s="313" t="s">
        <v>140</v>
      </c>
      <c r="Q211" s="1196" t="s">
        <v>141</v>
      </c>
      <c r="R211" s="346" t="s">
        <v>1211</v>
      </c>
      <c r="S211" s="664"/>
      <c r="T211" s="664"/>
      <c r="U211" s="176" t="str">
        <f t="shared" si="67"/>
        <v>B1</v>
      </c>
      <c r="V211" s="180"/>
      <c r="W211" s="330">
        <f>IFERROR(VLOOKUP($D211,'K.CƠ KHÍ'!$C$10:$AA$37,13,0),0)</f>
        <v>0</v>
      </c>
      <c r="X211" s="330">
        <f>IFERROR(VLOOKUP($D211,'K.CƠ KHÍ'!$C$10:$AA$37,25,0),0)</f>
        <v>0</v>
      </c>
      <c r="Y211" s="89"/>
      <c r="Z211" s="857" t="s">
        <v>1178</v>
      </c>
      <c r="AA211" s="850" t="s">
        <v>1177</v>
      </c>
      <c r="AB211" s="843"/>
      <c r="AC211" s="839"/>
      <c r="AD211" s="948"/>
      <c r="AE211" s="60" t="str">
        <f t="shared" si="71"/>
        <v>B2</v>
      </c>
      <c r="BD211" s="60" t="s">
        <v>879</v>
      </c>
      <c r="BE211" s="60" t="s">
        <v>868</v>
      </c>
    </row>
    <row r="212" spans="1:59" s="60" customFormat="1" ht="45.75" customHeight="1" x14ac:dyDescent="0.25">
      <c r="A212" s="63">
        <f>IF(D212="","",SUBTOTAL(3,$D$8:D212))</f>
        <v>176</v>
      </c>
      <c r="B212" s="63">
        <v>19</v>
      </c>
      <c r="C212" s="71" t="s">
        <v>320</v>
      </c>
      <c r="D212" s="89" t="s">
        <v>321</v>
      </c>
      <c r="E212" s="652"/>
      <c r="F212" s="652"/>
      <c r="G212" s="282" t="str">
        <f t="shared" si="65"/>
        <v>A3</v>
      </c>
      <c r="H212" s="234"/>
      <c r="I212" s="737"/>
      <c r="J212" s="737" t="s">
        <v>963</v>
      </c>
      <c r="K212" s="234"/>
      <c r="L212" s="294" t="s">
        <v>85</v>
      </c>
      <c r="M212" s="307"/>
      <c r="N212" s="291">
        <f>IFERROR(VLOOKUP($D212,'K.CƠ KHÍ'!$C$10:$AA$37,12,0),0)</f>
        <v>1</v>
      </c>
      <c r="O212" s="291">
        <f>IFERROR(VLOOKUP($D212,'K.CƠ KHÍ'!$C$10:$AA$37,24,0),0)</f>
        <v>0</v>
      </c>
      <c r="P212" s="313" t="str">
        <f t="shared" si="69"/>
        <v>A3</v>
      </c>
      <c r="Q212" s="341" t="str">
        <f t="shared" si="70"/>
        <v>A3</v>
      </c>
      <c r="R212" s="318"/>
      <c r="S212" s="667"/>
      <c r="T212" s="667"/>
      <c r="U212" s="176" t="str">
        <f t="shared" si="67"/>
        <v>A3</v>
      </c>
      <c r="V212" s="180"/>
      <c r="W212" s="330">
        <f>IFERROR(VLOOKUP($D212,'K.CƠ KHÍ'!$C$10:$AA$37,13,0),0)</f>
        <v>1</v>
      </c>
      <c r="X212" s="330">
        <f>IFERROR(VLOOKUP($D212,'K.CƠ KHÍ'!$C$10:$AA$37,25,0),0)</f>
        <v>0</v>
      </c>
      <c r="Y212" s="89"/>
      <c r="Z212" s="857"/>
      <c r="AA212" s="850"/>
      <c r="AB212" s="777"/>
      <c r="AC212" s="839"/>
      <c r="AD212" s="213"/>
      <c r="AE212" s="60" t="str">
        <f t="shared" si="71"/>
        <v>A3</v>
      </c>
      <c r="BD212" s="60" t="s">
        <v>879</v>
      </c>
      <c r="BE212" s="60" t="s">
        <v>868</v>
      </c>
    </row>
    <row r="213" spans="1:59" s="60" customFormat="1" ht="33.75" customHeight="1" x14ac:dyDescent="0.25">
      <c r="A213" s="63">
        <f>IF(D213="","",SUBTOTAL(3,$D$8:D213))</f>
        <v>177</v>
      </c>
      <c r="B213" s="63">
        <v>20</v>
      </c>
      <c r="C213" s="71" t="s">
        <v>322</v>
      </c>
      <c r="D213" s="89" t="s">
        <v>323</v>
      </c>
      <c r="E213" s="652"/>
      <c r="F213" s="652"/>
      <c r="G213" s="282" t="str">
        <f t="shared" si="65"/>
        <v>A4</v>
      </c>
      <c r="H213" s="234"/>
      <c r="I213" s="737"/>
      <c r="J213" s="737"/>
      <c r="K213" s="234"/>
      <c r="L213" s="294" t="s">
        <v>83</v>
      </c>
      <c r="M213" s="307"/>
      <c r="N213" s="291">
        <f>IFERROR(VLOOKUP($D213,'K.CƠ KHÍ'!$C$10:$AA$37,12,0),0)</f>
        <v>0</v>
      </c>
      <c r="O213" s="291">
        <f>IFERROR(VLOOKUP($D213,'K.CƠ KHÍ'!$C$10:$AA$37,24,0),0)</f>
        <v>0</v>
      </c>
      <c r="P213" s="313" t="str">
        <f t="shared" si="69"/>
        <v>A4</v>
      </c>
      <c r="Q213" s="341" t="str">
        <f t="shared" si="70"/>
        <v>A4</v>
      </c>
      <c r="R213" s="318"/>
      <c r="S213" s="667"/>
      <c r="T213" s="667"/>
      <c r="U213" s="176" t="str">
        <f t="shared" si="67"/>
        <v>A4</v>
      </c>
      <c r="V213" s="180"/>
      <c r="W213" s="330">
        <f>IFERROR(VLOOKUP($D213,'K.CƠ KHÍ'!$C$10:$AA$37,13,0),0)</f>
        <v>0</v>
      </c>
      <c r="X213" s="330">
        <f>IFERROR(VLOOKUP($D213,'K.CƠ KHÍ'!$C$10:$AA$37,25,0),0)</f>
        <v>0</v>
      </c>
      <c r="Y213" s="89"/>
      <c r="Z213" s="861"/>
      <c r="AA213" s="861"/>
      <c r="AB213" s="843"/>
      <c r="AC213" s="839"/>
      <c r="AD213" s="213"/>
      <c r="AE213" s="60" t="str">
        <f t="shared" si="71"/>
        <v>A4</v>
      </c>
      <c r="BD213" s="60" t="s">
        <v>879</v>
      </c>
      <c r="BE213" s="60" t="s">
        <v>868</v>
      </c>
    </row>
    <row r="214" spans="1:59" s="57" customFormat="1" ht="37.5" customHeight="1" x14ac:dyDescent="0.25">
      <c r="A214" s="63">
        <f>IF(D214="","",SUBTOTAL(3,$D$8:D214))</f>
        <v>178</v>
      </c>
      <c r="B214" s="63">
        <v>21</v>
      </c>
      <c r="C214" s="71" t="s">
        <v>324</v>
      </c>
      <c r="D214" s="89" t="s">
        <v>325</v>
      </c>
      <c r="E214" s="652"/>
      <c r="F214" s="652"/>
      <c r="G214" s="282" t="str">
        <f t="shared" si="65"/>
        <v>A4</v>
      </c>
      <c r="H214" s="234"/>
      <c r="I214" s="737"/>
      <c r="J214" s="737"/>
      <c r="K214" s="234"/>
      <c r="L214" s="294" t="s">
        <v>83</v>
      </c>
      <c r="M214" s="307"/>
      <c r="N214" s="291">
        <f>IFERROR(VLOOKUP($D214,'K.CƠ KHÍ'!$C$10:$AA$37,12,0),0)</f>
        <v>0</v>
      </c>
      <c r="O214" s="291">
        <f>IFERROR(VLOOKUP($D214,'K.CƠ KHÍ'!$C$10:$AA$37,24,0),0)</f>
        <v>0</v>
      </c>
      <c r="P214" s="313" t="str">
        <f t="shared" si="69"/>
        <v>A4</v>
      </c>
      <c r="Q214" s="341" t="str">
        <f t="shared" si="70"/>
        <v>A4</v>
      </c>
      <c r="R214" s="317"/>
      <c r="S214" s="664"/>
      <c r="T214" s="664"/>
      <c r="U214" s="176" t="str">
        <f t="shared" si="67"/>
        <v>A4</v>
      </c>
      <c r="V214" s="178"/>
      <c r="W214" s="330">
        <f>IFERROR(VLOOKUP($D214,'K.CƠ KHÍ'!$C$10:$AA$37,13,0),0)</f>
        <v>0</v>
      </c>
      <c r="X214" s="330">
        <f>IFERROR(VLOOKUP($D214,'K.CƠ KHÍ'!$C$10:$AA$37,25,0),0)</f>
        <v>0</v>
      </c>
      <c r="Y214" s="89"/>
      <c r="Z214" s="861"/>
      <c r="AA214" s="861"/>
      <c r="AB214" s="843"/>
      <c r="AC214" s="839"/>
      <c r="AD214" s="213"/>
      <c r="AE214" s="60" t="str">
        <f t="shared" si="71"/>
        <v>A4</v>
      </c>
      <c r="AF214" s="60"/>
      <c r="AG214" s="60"/>
      <c r="AH214" s="542"/>
      <c r="AI214" s="542"/>
      <c r="AK214" s="589"/>
      <c r="AL214" s="589"/>
      <c r="AM214" s="589"/>
      <c r="AN214" s="589"/>
      <c r="AO214" s="589"/>
      <c r="AP214" s="589"/>
      <c r="AQ214" s="589"/>
      <c r="AR214" s="589"/>
      <c r="AS214" s="589"/>
      <c r="AT214" s="589"/>
      <c r="AU214" s="589"/>
      <c r="AV214" s="589"/>
      <c r="AW214" s="589"/>
      <c r="AX214" s="589"/>
      <c r="AY214" s="589"/>
      <c r="AZ214" s="589"/>
      <c r="BA214" s="589"/>
      <c r="BB214" s="589"/>
      <c r="BD214" s="60" t="s">
        <v>879</v>
      </c>
      <c r="BE214" s="60" t="s">
        <v>868</v>
      </c>
    </row>
    <row r="215" spans="1:59" s="57" customFormat="1" ht="39" customHeight="1" x14ac:dyDescent="0.25">
      <c r="A215" s="63">
        <f>IF(D215="","",SUBTOTAL(3,$D$8:D215))</f>
        <v>179</v>
      </c>
      <c r="B215" s="63">
        <v>22</v>
      </c>
      <c r="C215" s="71" t="s">
        <v>326</v>
      </c>
      <c r="D215" s="89" t="s">
        <v>327</v>
      </c>
      <c r="E215" s="652"/>
      <c r="F215" s="652"/>
      <c r="G215" s="282" t="str">
        <f t="shared" si="65"/>
        <v>A3</v>
      </c>
      <c r="H215" s="234"/>
      <c r="I215" s="737"/>
      <c r="J215" s="737" t="s">
        <v>972</v>
      </c>
      <c r="K215" s="234"/>
      <c r="L215" s="294" t="s">
        <v>83</v>
      </c>
      <c r="M215" s="307"/>
      <c r="N215" s="291">
        <f>IFERROR(VLOOKUP($D215,'K.CƠ KHÍ'!$C$10:$AA$37,12,0),0)</f>
        <v>0</v>
      </c>
      <c r="O215" s="291">
        <f>IFERROR(VLOOKUP($D215,'K.CƠ KHÍ'!$C$10:$AA$37,24,0),0)</f>
        <v>0</v>
      </c>
      <c r="P215" s="313" t="str">
        <f t="shared" si="69"/>
        <v>A4</v>
      </c>
      <c r="Q215" s="341" t="str">
        <f t="shared" si="70"/>
        <v>A4</v>
      </c>
      <c r="R215" s="317"/>
      <c r="S215" s="664"/>
      <c r="T215" s="664"/>
      <c r="U215" s="176" t="str">
        <f t="shared" si="67"/>
        <v>A4</v>
      </c>
      <c r="V215" s="180"/>
      <c r="W215" s="330">
        <f>IFERROR(VLOOKUP($D215,'K.CƠ KHÍ'!$C$10:$AA$37,13,0),0)</f>
        <v>0</v>
      </c>
      <c r="X215" s="330">
        <f>IFERROR(VLOOKUP($D215,'K.CƠ KHÍ'!$C$10:$AA$37,25,0),0)</f>
        <v>0</v>
      </c>
      <c r="Y215" s="89"/>
      <c r="Z215" s="861"/>
      <c r="AA215" s="842"/>
      <c r="AB215" s="843"/>
      <c r="AC215" s="839"/>
      <c r="AD215" s="213"/>
      <c r="AE215" s="60" t="str">
        <f t="shared" si="71"/>
        <v>A4</v>
      </c>
      <c r="AF215" s="60"/>
      <c r="AG215" s="60"/>
      <c r="AH215" s="542"/>
      <c r="AI215" s="542"/>
      <c r="AK215" s="589"/>
      <c r="AL215" s="589"/>
      <c r="AM215" s="589"/>
      <c r="AN215" s="589"/>
      <c r="AO215" s="589"/>
      <c r="AP215" s="589"/>
      <c r="AQ215" s="589"/>
      <c r="AR215" s="589"/>
      <c r="AS215" s="589"/>
      <c r="AT215" s="589"/>
      <c r="AU215" s="589"/>
      <c r="AV215" s="589"/>
      <c r="AW215" s="589"/>
      <c r="AX215" s="589"/>
      <c r="AY215" s="589"/>
      <c r="AZ215" s="589"/>
      <c r="BA215" s="589"/>
      <c r="BB215" s="589"/>
      <c r="BD215" s="60" t="s">
        <v>879</v>
      </c>
      <c r="BE215" s="60" t="s">
        <v>868</v>
      </c>
    </row>
    <row r="216" spans="1:59" s="70" customFormat="1" ht="31.5" customHeight="1" x14ac:dyDescent="0.25">
      <c r="A216" s="63">
        <f>IF(D216="","",SUBTOTAL(3,$D$8:D216))</f>
        <v>180</v>
      </c>
      <c r="B216" s="63">
        <v>23</v>
      </c>
      <c r="C216" s="71" t="s">
        <v>328</v>
      </c>
      <c r="D216" s="89" t="s">
        <v>329</v>
      </c>
      <c r="E216" s="652"/>
      <c r="F216" s="652"/>
      <c r="G216" s="282" t="str">
        <f t="shared" si="65"/>
        <v>A2</v>
      </c>
      <c r="H216" s="234"/>
      <c r="I216" s="737" t="s">
        <v>966</v>
      </c>
      <c r="J216" s="737" t="s">
        <v>972</v>
      </c>
      <c r="K216" s="491"/>
      <c r="L216" s="294" t="s">
        <v>84</v>
      </c>
      <c r="M216" s="307"/>
      <c r="N216" s="291">
        <f>IFERROR(VLOOKUP($D216,'K.CƠ KHÍ'!$C$10:$AA$37,12,0),0)</f>
        <v>2</v>
      </c>
      <c r="O216" s="291">
        <f>IFERROR(VLOOKUP($D216,'K.CƠ KHÍ'!$C$10:$AA$37,24,0),0)</f>
        <v>2</v>
      </c>
      <c r="P216" s="313" t="str">
        <f t="shared" si="69"/>
        <v>A2</v>
      </c>
      <c r="Q216" s="341" t="str">
        <f t="shared" si="70"/>
        <v>A2</v>
      </c>
      <c r="R216" s="573"/>
      <c r="S216" s="680"/>
      <c r="T216" s="680"/>
      <c r="U216" s="176" t="str">
        <f t="shared" si="67"/>
        <v>A2</v>
      </c>
      <c r="V216" s="180">
        <f>R216</f>
        <v>0</v>
      </c>
      <c r="W216" s="330">
        <f>IFERROR(VLOOKUP($D216,'K.CƠ KHÍ'!$C$10:$AA$37,13,0),0)</f>
        <v>2</v>
      </c>
      <c r="X216" s="330">
        <f>IFERROR(VLOOKUP($D216,'K.CƠ KHÍ'!$C$10:$AA$37,25,0),0)</f>
        <v>2</v>
      </c>
      <c r="Y216" s="89"/>
      <c r="Z216" s="842"/>
      <c r="AA216" s="842"/>
      <c r="AB216" s="844"/>
      <c r="AC216" s="839"/>
      <c r="AD216" s="213"/>
      <c r="AE216" s="60" t="str">
        <f t="shared" si="71"/>
        <v>A2</v>
      </c>
      <c r="AF216" s="60"/>
      <c r="AG216" s="60"/>
      <c r="BD216" s="60" t="s">
        <v>879</v>
      </c>
      <c r="BE216" s="60" t="s">
        <v>868</v>
      </c>
    </row>
    <row r="217" spans="1:59" s="70" customFormat="1" ht="27" customHeight="1" x14ac:dyDescent="0.25">
      <c r="A217" s="63">
        <f>IF(D217="","",SUBTOTAL(3,$D$8:D217))</f>
        <v>181</v>
      </c>
      <c r="B217" s="63">
        <v>24</v>
      </c>
      <c r="C217" s="71" t="s">
        <v>330</v>
      </c>
      <c r="D217" s="92" t="s">
        <v>331</v>
      </c>
      <c r="E217" s="652"/>
      <c r="F217" s="652"/>
      <c r="G217" s="282" t="str">
        <f t="shared" si="65"/>
        <v>A4</v>
      </c>
      <c r="H217" s="234"/>
      <c r="I217" s="737"/>
      <c r="J217" s="737"/>
      <c r="K217" s="234"/>
      <c r="L217" s="294" t="s">
        <v>83</v>
      </c>
      <c r="M217" s="307"/>
      <c r="N217" s="291">
        <f>IFERROR(VLOOKUP($D217,'K.CƠ KHÍ'!$C$10:$AA$37,12,0),0)</f>
        <v>0</v>
      </c>
      <c r="O217" s="291">
        <f>IFERROR(VLOOKUP($D217,'K.CƠ KHÍ'!$C$10:$AA$37,24,0),0)</f>
        <v>0</v>
      </c>
      <c r="P217" s="313" t="str">
        <f t="shared" si="69"/>
        <v>A4</v>
      </c>
      <c r="Q217" s="341" t="str">
        <f t="shared" si="70"/>
        <v>A4</v>
      </c>
      <c r="R217" s="317"/>
      <c r="S217" s="664"/>
      <c r="T217" s="664"/>
      <c r="U217" s="176" t="str">
        <f t="shared" si="67"/>
        <v>A4</v>
      </c>
      <c r="V217" s="180"/>
      <c r="W217" s="330">
        <f>IFERROR(VLOOKUP($D217,'K.CƠ KHÍ'!$C$10:$AA$37,13,0),0)</f>
        <v>0</v>
      </c>
      <c r="X217" s="330">
        <f>IFERROR(VLOOKUP($D217,'K.CƠ KHÍ'!$C$10:$AA$37,25,0),0)</f>
        <v>0</v>
      </c>
      <c r="Y217" s="92"/>
      <c r="Z217" s="842"/>
      <c r="AA217" s="858"/>
      <c r="AB217" s="843"/>
      <c r="AC217" s="839"/>
      <c r="AD217" s="213"/>
      <c r="AE217" s="60" t="str">
        <f t="shared" si="71"/>
        <v>A4</v>
      </c>
      <c r="AF217" s="60"/>
      <c r="AG217" s="60"/>
      <c r="BD217" s="60" t="s">
        <v>879</v>
      </c>
      <c r="BE217" s="60" t="s">
        <v>868</v>
      </c>
    </row>
    <row r="218" spans="1:59" s="70" customFormat="1" ht="33" customHeight="1" x14ac:dyDescent="0.25">
      <c r="A218" s="63">
        <f>IF(D218="","",SUBTOTAL(3,$D$8:D218))</f>
        <v>182</v>
      </c>
      <c r="B218" s="63">
        <v>25</v>
      </c>
      <c r="C218" s="71" t="s">
        <v>332</v>
      </c>
      <c r="D218" s="89" t="s">
        <v>333</v>
      </c>
      <c r="E218" s="652"/>
      <c r="F218" s="652"/>
      <c r="G218" s="282" t="str">
        <f t="shared" si="65"/>
        <v>A2</v>
      </c>
      <c r="H218" s="234"/>
      <c r="I218" s="738" t="s">
        <v>973</v>
      </c>
      <c r="J218" s="737" t="s">
        <v>972</v>
      </c>
      <c r="K218" s="739" t="s">
        <v>1054</v>
      </c>
      <c r="L218" s="294" t="s">
        <v>84</v>
      </c>
      <c r="M218" s="307"/>
      <c r="N218" s="291">
        <f>IFERROR(VLOOKUP($D218,'K.CƠ KHÍ'!$C$10:$AA$37,12,0),0)</f>
        <v>2</v>
      </c>
      <c r="O218" s="291">
        <f>IFERROR(VLOOKUP($D218,'K.CƠ KHÍ'!$C$10:$AA$37,24,0),0)</f>
        <v>2</v>
      </c>
      <c r="P218" s="313" t="str">
        <f t="shared" si="69"/>
        <v>A2</v>
      </c>
      <c r="Q218" s="341" t="str">
        <f t="shared" si="70"/>
        <v>A2</v>
      </c>
      <c r="R218" s="315"/>
      <c r="S218" s="662"/>
      <c r="T218" s="662"/>
      <c r="U218" s="176" t="str">
        <f t="shared" si="67"/>
        <v>A2</v>
      </c>
      <c r="V218" s="180"/>
      <c r="W218" s="330">
        <f>IFERROR(VLOOKUP($D218,'K.CƠ KHÍ'!$C$10:$AA$37,13,0),0)</f>
        <v>2</v>
      </c>
      <c r="X218" s="330">
        <f>IFERROR(VLOOKUP($D218,'K.CƠ KHÍ'!$C$10:$AA$37,25,0),0)</f>
        <v>2</v>
      </c>
      <c r="Y218" s="89"/>
      <c r="Z218" s="859"/>
      <c r="AA218" s="859"/>
      <c r="AB218" s="777"/>
      <c r="AC218" s="839"/>
      <c r="AD218" s="213"/>
      <c r="AE218" s="60" t="str">
        <f t="shared" si="71"/>
        <v>A2</v>
      </c>
      <c r="AF218" s="60"/>
      <c r="AG218" s="60"/>
      <c r="BD218" s="60" t="s">
        <v>879</v>
      </c>
      <c r="BE218" s="60" t="s">
        <v>868</v>
      </c>
    </row>
    <row r="219" spans="1:59" s="70" customFormat="1" ht="30.75" customHeight="1" x14ac:dyDescent="0.25">
      <c r="A219" s="63">
        <f>IF(D219="","",SUBTOTAL(3,$D$8:D219))</f>
        <v>183</v>
      </c>
      <c r="B219" s="63"/>
      <c r="C219" s="71" t="s">
        <v>762</v>
      </c>
      <c r="D219" s="92" t="s">
        <v>761</v>
      </c>
      <c r="E219" s="652"/>
      <c r="F219" s="652"/>
      <c r="G219" s="282" t="str">
        <f t="shared" si="65"/>
        <v>A4</v>
      </c>
      <c r="H219" s="234"/>
      <c r="I219" s="737"/>
      <c r="J219" s="737"/>
      <c r="K219" s="491"/>
      <c r="L219" s="294" t="s">
        <v>83</v>
      </c>
      <c r="M219" s="307"/>
      <c r="N219" s="291">
        <f>IFERROR(VLOOKUP($D219,'K.CƠ KHÍ'!$C$10:$AA$37,12,0),0)</f>
        <v>0</v>
      </c>
      <c r="O219" s="291">
        <f>IFERROR(VLOOKUP($D219,'K.CƠ KHÍ'!$C$10:$AA$37,24,0),0)</f>
        <v>0</v>
      </c>
      <c r="P219" s="313" t="str">
        <f t="shared" si="69"/>
        <v>A4</v>
      </c>
      <c r="Q219" s="341" t="str">
        <f t="shared" si="70"/>
        <v>A4</v>
      </c>
      <c r="R219" s="317"/>
      <c r="S219" s="672"/>
      <c r="T219" s="672"/>
      <c r="U219" s="176" t="str">
        <f t="shared" si="67"/>
        <v>A4</v>
      </c>
      <c r="V219" s="178"/>
      <c r="W219" s="330">
        <f>IFERROR(VLOOKUP($D219,'K.CƠ KHÍ'!$C$10:$AA$37,13,0),0)</f>
        <v>0</v>
      </c>
      <c r="X219" s="330">
        <f>IFERROR(VLOOKUP($D219,'K.CƠ KHÍ'!$C$10:$AA$37,25,0),0)</f>
        <v>0</v>
      </c>
      <c r="Y219" s="89"/>
      <c r="Z219" s="863"/>
      <c r="AA219" s="858"/>
      <c r="AB219" s="843"/>
      <c r="AC219" s="839"/>
      <c r="AD219" s="213"/>
      <c r="AE219" s="60" t="str">
        <f t="shared" si="71"/>
        <v>A4</v>
      </c>
      <c r="AF219" s="60"/>
      <c r="AG219" s="60"/>
      <c r="BD219" s="60" t="s">
        <v>879</v>
      </c>
      <c r="BE219" s="60" t="s">
        <v>868</v>
      </c>
    </row>
    <row r="220" spans="1:59" s="70" customFormat="1" ht="40.5" customHeight="1" x14ac:dyDescent="0.25">
      <c r="A220" s="63">
        <f>IF(D220="","",SUBTOTAL(3,$D$8:D220))</f>
        <v>184</v>
      </c>
      <c r="B220" s="63"/>
      <c r="C220" s="71" t="s">
        <v>776</v>
      </c>
      <c r="D220" s="92" t="s">
        <v>777</v>
      </c>
      <c r="E220" s="652"/>
      <c r="F220" s="652"/>
      <c r="G220" s="282" t="str">
        <f t="shared" si="65"/>
        <v>A3</v>
      </c>
      <c r="H220" s="234"/>
      <c r="I220" s="737"/>
      <c r="J220" s="737" t="s">
        <v>963</v>
      </c>
      <c r="K220" s="234"/>
      <c r="L220" s="294" t="s">
        <v>83</v>
      </c>
      <c r="M220" s="307"/>
      <c r="N220" s="291">
        <f>IFERROR(VLOOKUP($D220,'K.CƠ KHÍ'!$C$10:$AA$37,12,0),0)</f>
        <v>0</v>
      </c>
      <c r="O220" s="291">
        <f>IFERROR(VLOOKUP($D220,'K.CƠ KHÍ'!$C$10:$AA$37,24,0),0)</f>
        <v>0</v>
      </c>
      <c r="P220" s="313" t="str">
        <f t="shared" si="69"/>
        <v>A4</v>
      </c>
      <c r="Q220" s="341" t="str">
        <f t="shared" si="70"/>
        <v>A4</v>
      </c>
      <c r="R220" s="317"/>
      <c r="S220" s="664"/>
      <c r="T220" s="664"/>
      <c r="U220" s="176" t="str">
        <f>$Q220</f>
        <v>A4</v>
      </c>
      <c r="V220" s="180"/>
      <c r="W220" s="330">
        <f>IFERROR(VLOOKUP($D220,'K.CƠ KHÍ'!$C$10:$AA$37,13,0),0)</f>
        <v>0</v>
      </c>
      <c r="X220" s="330">
        <f>IFERROR(VLOOKUP($D220,'K.CƠ KHÍ'!$C$10:$AA$37,25,0),0)</f>
        <v>0</v>
      </c>
      <c r="Y220" s="89"/>
      <c r="Z220" s="859"/>
      <c r="AA220" s="857"/>
      <c r="AB220" s="843"/>
      <c r="AC220" s="839"/>
      <c r="AD220" s="213"/>
      <c r="AE220" s="60" t="str">
        <f>IF($L220=$P220,$L220,FALSE)</f>
        <v>A4</v>
      </c>
      <c r="AF220" s="60"/>
      <c r="AG220" s="60"/>
      <c r="BD220" s="60" t="s">
        <v>879</v>
      </c>
      <c r="BE220" s="60" t="s">
        <v>868</v>
      </c>
    </row>
    <row r="221" spans="1:59" s="70" customFormat="1" ht="35.25" customHeight="1" x14ac:dyDescent="0.25">
      <c r="A221" s="63">
        <f>IF(D221="","",SUBTOTAL(3,$D$8:D221))</f>
        <v>185</v>
      </c>
      <c r="B221" s="63"/>
      <c r="C221" s="71" t="s">
        <v>852</v>
      </c>
      <c r="D221" s="92" t="s">
        <v>857</v>
      </c>
      <c r="E221" s="652"/>
      <c r="F221" s="652"/>
      <c r="G221" s="282" t="str">
        <f t="shared" si="65"/>
        <v>A4</v>
      </c>
      <c r="H221" s="234"/>
      <c r="I221" s="737"/>
      <c r="J221" s="737"/>
      <c r="K221" s="491"/>
      <c r="L221" s="294" t="s">
        <v>83</v>
      </c>
      <c r="M221" s="307"/>
      <c r="N221" s="291">
        <f>IFERROR(VLOOKUP($D221,'K.CƠ KHÍ'!$C$10:$AA$37,12,0),0)</f>
        <v>0</v>
      </c>
      <c r="O221" s="291">
        <f>IFERROR(VLOOKUP($D221,'K.CƠ KHÍ'!$C$10:$AA$37,24,0),0)</f>
        <v>0</v>
      </c>
      <c r="P221" s="313" t="str">
        <f t="shared" si="69"/>
        <v>A4</v>
      </c>
      <c r="Q221" s="341" t="str">
        <f t="shared" si="70"/>
        <v>A4</v>
      </c>
      <c r="R221" s="317"/>
      <c r="S221" s="672"/>
      <c r="T221" s="672"/>
      <c r="U221" s="176" t="str">
        <f>$Q221</f>
        <v>A4</v>
      </c>
      <c r="V221" s="178"/>
      <c r="W221" s="330">
        <f>IFERROR(VLOOKUP($D221,'K.CƠ KHÍ'!$C$10:$AA$37,13,0),0)</f>
        <v>0</v>
      </c>
      <c r="X221" s="330">
        <f>IFERROR(VLOOKUP($D221,'K.CƠ KHÍ'!$C$10:$AA$37,25,0),0)</f>
        <v>0</v>
      </c>
      <c r="Y221" s="89"/>
      <c r="Z221" s="861"/>
      <c r="AA221" s="859"/>
      <c r="AB221" s="843"/>
      <c r="AC221" s="839"/>
      <c r="AD221" s="213"/>
      <c r="AE221" s="60" t="str">
        <f>IF($L221=$P221,$L221,FALSE)</f>
        <v>A4</v>
      </c>
      <c r="AF221" s="60"/>
      <c r="AG221" s="60"/>
      <c r="AH221" s="607"/>
      <c r="AI221" s="607"/>
      <c r="AJ221" s="607"/>
      <c r="AK221" s="607"/>
      <c r="BD221" s="60" t="s">
        <v>879</v>
      </c>
      <c r="BE221" s="60" t="s">
        <v>868</v>
      </c>
    </row>
    <row r="222" spans="1:59" ht="48" customHeight="1" x14ac:dyDescent="0.25">
      <c r="A222" s="62" t="s">
        <v>732</v>
      </c>
      <c r="B222" s="62" t="s">
        <v>731</v>
      </c>
      <c r="C222" s="64" t="s">
        <v>58</v>
      </c>
      <c r="D222" s="62"/>
      <c r="E222" s="652"/>
      <c r="F222" s="652"/>
      <c r="G222" s="280">
        <f>COUNTA($L224:$L244)</f>
        <v>21</v>
      </c>
      <c r="H222" s="234"/>
      <c r="I222" s="234"/>
      <c r="J222" s="234"/>
      <c r="K222" s="234"/>
      <c r="L222" s="500">
        <f>COUNTA($L224:$L244)</f>
        <v>21</v>
      </c>
      <c r="M222" s="286" t="str">
        <f>(COUNTIF($L$224:$L$244,"A1")&amp;"A1")&amp;" + "&amp;(COUNTIF($L$224:$L$244,"A2")&amp;"A2")&amp;" + "&amp;(COUNTIF($L$224:$L$244,"A3")&amp;"A3")&amp;" + "&amp;(COUNTIF($L$224:$L$244,"A4")&amp;"A4")&amp;" + "&amp;(COUNTIF($L$224:$L$244,"B1")&amp;"B1")&amp;" + "&amp;(COUNTIF($L$224:$L$244,"B2")&amp;"B2")&amp;" + "&amp;(COUNTIF($L$224:$L$244,"D")&amp;"D")</f>
        <v>1A1 + 0A2 + 15A3 + 4A4 + 1B1 + 0B2 + 0D</v>
      </c>
      <c r="N222" s="500"/>
      <c r="O222" s="500"/>
      <c r="P222" s="311">
        <f>COUNTA($Q$224:$Q$244)</f>
        <v>21</v>
      </c>
      <c r="Q222" s="340">
        <f>COUNTA($Q$224:$Q$244)</f>
        <v>21</v>
      </c>
      <c r="R222" s="312" t="str">
        <f>(COUNTIF($Q$224:$Q$244,"A1")&amp;"A1")&amp;" + "&amp;(COUNTIF($Q$224:$Q$244,"A2")&amp;"A2")&amp;" + "&amp;(COUNTIF($Q$224:$Q$244,"A3")&amp;"A3")&amp;" + "&amp;(COUNTIF($Q$224:$Q$244,"A4")&amp;"A4")&amp;" + "&amp;(COUNTIF($Q$224:$Q$244,"B1")&amp;"B1")&amp;" + "&amp;(COUNTIF($Q$224:$Q$244,"B2")&amp;"B2")&amp;" + "&amp;(COUNTIF($Q$224:$Q$244,"C1")&amp;"C1")&amp;" + "&amp;(COUNTIF($Q$224:$Q$244,"D")&amp;"D")</f>
        <v>1A1 + 1A2 + 16A3 + 2A4 + 1B1 + 0B2 + 0C1 + 0D</v>
      </c>
      <c r="S222" s="661"/>
      <c r="T222" s="661"/>
      <c r="U222" s="174">
        <f>COUNTA($U224:$U244)</f>
        <v>21</v>
      </c>
      <c r="V222" s="175" t="str">
        <f>(COUNTIF($U$224:$U$244,"A1")&amp;"A1")&amp;" + "&amp;(COUNTIF($U$224:$U$244,"A2")&amp;"A2")&amp;" + "&amp;(COUNTIF($U$224:$U$244,"A3")&amp;"A3")&amp;" + "&amp;(COUNTIF($U$224:$U$244,"A4")&amp;"A4")&amp;" + "&amp;(COUNTIF($U$224:$U$244,"B1")&amp;"B1")&amp;" + "&amp;(COUNTIF($U$224:$U$244,"B2")&amp;"B2")&amp;" + "&amp;(COUNTIF($U$224:$U$244,"C1")&amp;"C1")&amp;" + "&amp;(COUNTIF($U$224:$U$244,"D")&amp;"D")</f>
        <v>1A1 + 1A2 + 16A3 + 2A4 + 1B1 + 0B2 + 0C1 + 0D</v>
      </c>
      <c r="W222" s="501"/>
      <c r="X222" s="501"/>
      <c r="Y222" s="556"/>
      <c r="Z222" s="862"/>
      <c r="AA222" s="862"/>
      <c r="AB222" s="242"/>
      <c r="AC222" s="789"/>
      <c r="AD222" s="219"/>
      <c r="AE222" s="60"/>
      <c r="AF222" s="60"/>
      <c r="AG222" s="607"/>
      <c r="AH222" s="608"/>
      <c r="AI222" s="608"/>
      <c r="AK222" s="1327" t="s">
        <v>906</v>
      </c>
      <c r="AL222" s="1327"/>
      <c r="AM222" s="1327"/>
      <c r="AN222" s="1327"/>
      <c r="AO222" s="1327"/>
      <c r="AP222" s="1327"/>
      <c r="AQ222" s="1327"/>
      <c r="AR222" s="1327"/>
      <c r="AS222" s="1327"/>
      <c r="AT222" s="1327"/>
      <c r="AU222" s="1327"/>
      <c r="AV222" s="1327"/>
      <c r="AW222" s="1327"/>
      <c r="AX222" s="1327"/>
      <c r="AY222" s="1327"/>
      <c r="AZ222" s="1327"/>
      <c r="BA222" s="1327"/>
      <c r="BB222" s="1327"/>
      <c r="BF222" s="60">
        <f>COUNTIF($BE224:$BE244,"CBQL")</f>
        <v>2</v>
      </c>
      <c r="BG222" s="60">
        <f>COUNTIF($BE224:$BE244,"GV") + COUNTIF($BE224:$BE244,"NV")</f>
        <v>19</v>
      </c>
    </row>
    <row r="223" spans="1:59" s="57" customFormat="1" ht="45.75" customHeight="1" x14ac:dyDescent="0.25">
      <c r="A223" s="65" t="s">
        <v>45</v>
      </c>
      <c r="B223" s="65" t="s">
        <v>45</v>
      </c>
      <c r="C223" s="66" t="s">
        <v>46</v>
      </c>
      <c r="D223" s="65"/>
      <c r="E223" s="691" t="s">
        <v>949</v>
      </c>
      <c r="F223" s="691" t="s">
        <v>950</v>
      </c>
      <c r="G223" s="280">
        <f>COUNTA($L224:$L244)</f>
        <v>21</v>
      </c>
      <c r="H223" s="234"/>
      <c r="I223" s="234"/>
      <c r="J223" s="234"/>
      <c r="K223" s="234"/>
      <c r="L223" s="500">
        <f>COUNTA($L224:$L244)</f>
        <v>21</v>
      </c>
      <c r="M223" s="286" t="str">
        <f>(COUNTIF($L$224:$L$244,"A1")&amp;"A1")&amp;" + "&amp;(COUNTIF($L$224:$L$244,"A2")&amp;"A2")&amp;" + "&amp;(COUNTIF($L$224:$L$244,"A3")&amp;"A3")&amp;" + "&amp;(COUNTIF($L$224:$L$244,"A4")&amp;"A4")&amp;" + "&amp;(COUNTIF($L$224:$L$244,"B1")&amp;"B1")&amp;" + "&amp;(COUNTIF($L$224:$L$244,"B2")&amp;"B2")&amp;" + "&amp;(COUNTIF($L$224:$L$244,"D")&amp;"D")</f>
        <v>1A1 + 0A2 + 15A3 + 4A4 + 1B1 + 0B2 + 0D</v>
      </c>
      <c r="N223" s="500"/>
      <c r="O223" s="500"/>
      <c r="P223" s="311">
        <f>COUNTA($Q$224:$Q$244)</f>
        <v>21</v>
      </c>
      <c r="Q223" s="340">
        <f>COUNTA($Q$224:$Q$244)</f>
        <v>21</v>
      </c>
      <c r="R223" s="312" t="str">
        <f>(COUNTIF($Q$224:$Q$244,"A1")&amp;"A1")&amp;" + "&amp;(COUNTIF($Q$224:$Q$244,"A2")&amp;"A2")&amp;" + "&amp;(COUNTIF($Q$224:$Q$244,"A3")&amp;"A3")&amp;" + "&amp;(COUNTIF($Q$224:$Q$244,"A4")&amp;"A4")&amp;" + "&amp;(COUNTIF($Q$224:$Q$244,"B1")&amp;"B1")&amp;" + "&amp;(COUNTIF($Q$224:$Q$244,"B2")&amp;"B2")&amp;" + "&amp;(COUNTIF($Q$224:$Q$244,"C1")&amp;"C1")&amp;" + "&amp;(COUNTIF($Q$224:$Q$244,"D")&amp;"D")</f>
        <v>1A1 + 1A2 + 16A3 + 2A4 + 1B1 + 0B2 + 0C1 + 0D</v>
      </c>
      <c r="S223" s="691" t="s">
        <v>949</v>
      </c>
      <c r="T223" s="691" t="s">
        <v>950</v>
      </c>
      <c r="U223" s="174">
        <f>COUNTA($U224:$U244)</f>
        <v>21</v>
      </c>
      <c r="V223" s="175" t="str">
        <f>(COUNTIF($U$224:$U$244,"A1")&amp;"A1")&amp;" + "&amp;(COUNTIF($U$224:$U$244,"A2")&amp;"A2")&amp;" + "&amp;(COUNTIF($U$224:$U$244,"A3")&amp;"A3")&amp;" + "&amp;(COUNTIF($U$224:$U$244,"A4")&amp;"A4")&amp;" + "&amp;(COUNTIF($U$224:$U$244,"B1")&amp;"B1")&amp;" + "&amp;(COUNTIF($U$224:$U$244,"B2")&amp;"B2")&amp;" + "&amp;(COUNTIF($U$224:$U$244,"C1")&amp;"C1")&amp;" + "&amp;(COUNTIF($U$224:$U$244,"D")&amp;"D")</f>
        <v>1A1 + 1A2 + 16A3 + 2A4 + 1B1 + 0B2 + 0C1 + 0D</v>
      </c>
      <c r="W223" s="501"/>
      <c r="X223" s="501"/>
      <c r="Y223" s="556"/>
      <c r="Z223" s="862"/>
      <c r="AA223" s="862"/>
      <c r="AB223" s="242"/>
      <c r="AC223" s="789"/>
      <c r="AD223" s="213"/>
      <c r="AE223" s="60"/>
      <c r="AF223" s="60"/>
      <c r="AG223" s="1328" t="s">
        <v>915</v>
      </c>
      <c r="AH223" s="1328"/>
      <c r="AI223" s="1328"/>
      <c r="AJ223" s="59"/>
      <c r="AK223" s="598" t="s">
        <v>925</v>
      </c>
      <c r="AL223" s="598" t="s">
        <v>907</v>
      </c>
      <c r="AM223" s="1329" t="s">
        <v>897</v>
      </c>
      <c r="AN223" s="1329"/>
      <c r="AO223" s="1329" t="s">
        <v>898</v>
      </c>
      <c r="AP223" s="1329"/>
      <c r="AQ223" s="1329" t="s">
        <v>899</v>
      </c>
      <c r="AR223" s="1329"/>
      <c r="AS223" s="1329" t="s">
        <v>900</v>
      </c>
      <c r="AT223" s="1329"/>
      <c r="AU223" s="1329" t="s">
        <v>902</v>
      </c>
      <c r="AV223" s="1329"/>
      <c r="AW223" s="1329" t="s">
        <v>903</v>
      </c>
      <c r="AX223" s="1329"/>
      <c r="AY223" s="1329" t="s">
        <v>904</v>
      </c>
      <c r="AZ223" s="1329"/>
      <c r="BA223" s="1329" t="s">
        <v>905</v>
      </c>
      <c r="BB223" s="1329"/>
      <c r="BD223" s="60"/>
      <c r="BE223" s="60"/>
    </row>
    <row r="224" spans="1:59" s="57" customFormat="1" ht="57.75" customHeight="1" x14ac:dyDescent="0.25">
      <c r="A224" s="63">
        <f>IF(D224="","",SUBTOTAL(3,$D$8:D224))</f>
        <v>186</v>
      </c>
      <c r="B224" s="63" t="s">
        <v>17</v>
      </c>
      <c r="C224" s="10" t="s">
        <v>474</v>
      </c>
      <c r="D224" s="89" t="s">
        <v>475</v>
      </c>
      <c r="E224" s="692">
        <f>COUNTIF($L226:$L244,"A1")</f>
        <v>0</v>
      </c>
      <c r="F224" s="692">
        <f>COUNTIF($L226:$L244,"A2")</f>
        <v>0</v>
      </c>
      <c r="G224" s="282" t="str">
        <f>IF($H224&lt;&gt;0,"A1",IF($I224&lt;&gt;0,"A2",IF($J224&lt;&gt;0,"A3","A4")))</f>
        <v>A2</v>
      </c>
      <c r="H224" s="739"/>
      <c r="I224" s="737" t="s">
        <v>1035</v>
      </c>
      <c r="J224" s="737" t="s">
        <v>1036</v>
      </c>
      <c r="K224" s="739" t="s">
        <v>1064</v>
      </c>
      <c r="L224" s="483" t="s">
        <v>83</v>
      </c>
      <c r="M224" s="1279" t="s">
        <v>1202</v>
      </c>
      <c r="N224" s="291">
        <f>IFERROR(VLOOKUP($D224,'P.TTGD-CTSV'!$C$10:$AE$24,14,0),0)</f>
        <v>0</v>
      </c>
      <c r="O224" s="291">
        <f>IFERROR(VLOOKUP($D224,'P.TTGD-CTSV'!$C$10:$AE$24,28,0),0)</f>
        <v>0</v>
      </c>
      <c r="P224" s="313" t="str">
        <f t="shared" ref="P224:P244" si="72">IF(AND($W224&gt;=2,$X224&gt;=3,H224&lt;&gt;0),"A1",IF(AND($W224&gt;=3,$X224&gt;=1,H224&lt;&gt;0),"A1",IF(AND($W224&gt;=2,$X224&gt;=2,I224&lt;&gt;0),"A2",IF(AND($W224&gt;=3,$X224&gt;=0,I224&lt;&gt;0),"A2",IF(AND(OR($W224&gt;=1,$X224&gt;=2),J224&lt;&gt;0),"A3","A4")))))</f>
        <v>A2</v>
      </c>
      <c r="Q224" s="1196" t="s">
        <v>85</v>
      </c>
      <c r="R224" s="315"/>
      <c r="S224" s="692">
        <f>COUNTIF($U226:$U244,"A1")</f>
        <v>0</v>
      </c>
      <c r="T224" s="692">
        <f>COUNTIF($U226:$U244,"A2")</f>
        <v>1</v>
      </c>
      <c r="U224" s="176" t="str">
        <f>$Q224</f>
        <v>A3</v>
      </c>
      <c r="V224" s="180"/>
      <c r="W224" s="330">
        <f>IFERROR(VLOOKUP($D224,K.CNTT!$C$10:$AD$30,15,0),0)</f>
        <v>2</v>
      </c>
      <c r="X224" s="330">
        <f>IFERROR(VLOOKUP($D224,K.CNTT!$C$10:$AD$30,28,0),0)</f>
        <v>3</v>
      </c>
      <c r="Y224" s="89"/>
      <c r="Z224" s="861"/>
      <c r="AA224" s="857"/>
      <c r="AB224" s="853"/>
      <c r="AC224" s="854"/>
      <c r="AD224" s="494"/>
      <c r="AE224" s="60" t="b">
        <f>IF($L224=$P224,$L224,FALSE)</f>
        <v>0</v>
      </c>
      <c r="AF224" s="60"/>
      <c r="AG224" s="592" t="s">
        <v>845</v>
      </c>
      <c r="AH224" s="592"/>
      <c r="AI224" s="605">
        <f>AH224/$L222</f>
        <v>0</v>
      </c>
      <c r="AJ224" s="589"/>
      <c r="AK224" s="594"/>
      <c r="AL224" s="595">
        <f>AL225+AL226</f>
        <v>21</v>
      </c>
      <c r="AM224" s="596" t="s">
        <v>896</v>
      </c>
      <c r="AN224" s="596" t="s">
        <v>844</v>
      </c>
      <c r="AO224" s="596" t="s">
        <v>896</v>
      </c>
      <c r="AP224" s="596" t="s">
        <v>844</v>
      </c>
      <c r="AQ224" s="596" t="s">
        <v>896</v>
      </c>
      <c r="AR224" s="596" t="s">
        <v>844</v>
      </c>
      <c r="AS224" s="596" t="s">
        <v>896</v>
      </c>
      <c r="AT224" s="596" t="s">
        <v>844</v>
      </c>
      <c r="AU224" s="596" t="s">
        <v>896</v>
      </c>
      <c r="AV224" s="596" t="s">
        <v>844</v>
      </c>
      <c r="AW224" s="596" t="s">
        <v>896</v>
      </c>
      <c r="AX224" s="596" t="s">
        <v>844</v>
      </c>
      <c r="AY224" s="596" t="s">
        <v>896</v>
      </c>
      <c r="AZ224" s="596" t="s">
        <v>844</v>
      </c>
      <c r="BA224" s="596" t="s">
        <v>896</v>
      </c>
      <c r="BB224" s="596" t="s">
        <v>844</v>
      </c>
      <c r="BD224" s="60" t="s">
        <v>880</v>
      </c>
      <c r="BE224" s="60" t="s">
        <v>866</v>
      </c>
    </row>
    <row r="225" spans="1:57" s="57" customFormat="1" ht="48.75" customHeight="1" x14ac:dyDescent="0.25">
      <c r="A225" s="63">
        <f>IF(D225="","",SUBTOTAL(3,$D$8:D225))</f>
        <v>187</v>
      </c>
      <c r="B225" s="63" t="s">
        <v>12</v>
      </c>
      <c r="C225" s="10" t="s">
        <v>468</v>
      </c>
      <c r="D225" s="89" t="s">
        <v>469</v>
      </c>
      <c r="E225" s="693">
        <f>E224/$AL$226</f>
        <v>0</v>
      </c>
      <c r="F225" s="693">
        <f>F224/$AL$226</f>
        <v>0</v>
      </c>
      <c r="G225" s="282" t="str">
        <f t="shared" ref="G225:G241" si="73">IF($H225&lt;&gt;0,"A1",IF($I225&lt;&gt;0,"A2",IF($J225&lt;&gt;0,"A3","A4")))</f>
        <v>A3</v>
      </c>
      <c r="H225" s="234"/>
      <c r="I225" s="234"/>
      <c r="J225" s="737" t="s">
        <v>1037</v>
      </c>
      <c r="K225" s="234"/>
      <c r="L225" s="483" t="s">
        <v>82</v>
      </c>
      <c r="M225" s="295" t="s">
        <v>1162</v>
      </c>
      <c r="N225" s="291">
        <f>IFERROR(VLOOKUP($D225,K.CNTT!$C$10:$AD$30,14,0),0)</f>
        <v>2</v>
      </c>
      <c r="O225" s="291">
        <f>IFERROR(VLOOKUP($D225,K.CNTT!$C$10:$AD$30,27,0),0)</f>
        <v>3</v>
      </c>
      <c r="P225" s="1186" t="s">
        <v>82</v>
      </c>
      <c r="Q225" s="341" t="str">
        <f t="shared" ref="Q225:Q244" si="74">P225</f>
        <v>A1</v>
      </c>
      <c r="R225" s="315"/>
      <c r="S225" s="693">
        <f>S224/$AL$226</f>
        <v>0</v>
      </c>
      <c r="T225" s="693">
        <f>T224/$AL$226</f>
        <v>5.2631578947368418E-2</v>
      </c>
      <c r="U225" s="176" t="str">
        <f>$Q225</f>
        <v>A1</v>
      </c>
      <c r="V225" s="180"/>
      <c r="W225" s="330">
        <f>IFERROR(VLOOKUP($D225,K.CNTT!$C$10:$AD$30,15,0),0)</f>
        <v>2</v>
      </c>
      <c r="X225" s="330">
        <f>IFERROR(VLOOKUP($D225,K.CNTT!$C$10:$AD$30,28,0),0)</f>
        <v>3</v>
      </c>
      <c r="Y225" s="89"/>
      <c r="Z225" s="859"/>
      <c r="AA225" s="858"/>
      <c r="AB225" s="777"/>
      <c r="AC225" s="775"/>
      <c r="AD225" s="494"/>
      <c r="AE225" s="60" t="str">
        <f>IF($L225=$P225,$L225,FALSE)</f>
        <v>A1</v>
      </c>
      <c r="AF225" s="60"/>
      <c r="AG225" s="592" t="s">
        <v>846</v>
      </c>
      <c r="AH225" s="592"/>
      <c r="AI225" s="605">
        <f>AH225/$L222</f>
        <v>0</v>
      </c>
      <c r="AJ225" s="589"/>
      <c r="AK225" s="597" t="s">
        <v>864</v>
      </c>
      <c r="AL225" s="595">
        <f>COUNTIF($BE224:$BE244,"CBQL")</f>
        <v>2</v>
      </c>
      <c r="AM225" s="595">
        <f>COUNTIF($U224:$U225,"A1")</f>
        <v>1</v>
      </c>
      <c r="AN225" s="611">
        <f>AM225/$AL$225</f>
        <v>0.5</v>
      </c>
      <c r="AO225" s="595">
        <f>COUNTIF($U224:$U225,"A2")</f>
        <v>0</v>
      </c>
      <c r="AP225" s="611">
        <f>AO225/$AL$225</f>
        <v>0</v>
      </c>
      <c r="AQ225" s="595">
        <f>COUNTIF($U224:$U225,"A3")</f>
        <v>1</v>
      </c>
      <c r="AR225" s="611">
        <f>AQ225/$AL$225</f>
        <v>0.5</v>
      </c>
      <c r="AS225" s="595">
        <f>COUNTIF($U224:$U225,"A4")</f>
        <v>0</v>
      </c>
      <c r="AT225" s="611">
        <f>AS225/$AL$225</f>
        <v>0</v>
      </c>
      <c r="AU225" s="595">
        <f>COUNTIF($U224:$U225,"B1")</f>
        <v>0</v>
      </c>
      <c r="AV225" s="595"/>
      <c r="AW225" s="595">
        <f>COUNTIF($U224:$U225,"B2")</f>
        <v>0</v>
      </c>
      <c r="AX225" s="595"/>
      <c r="AY225" s="595">
        <f>COUNTIF($U224:$U225,"C1")</f>
        <v>0</v>
      </c>
      <c r="AZ225" s="595"/>
      <c r="BA225" s="595">
        <f>COUNTIF($U224:$U225,"C2")</f>
        <v>0</v>
      </c>
      <c r="BB225" s="595"/>
      <c r="BD225" s="60" t="s">
        <v>880</v>
      </c>
      <c r="BE225" s="60" t="s">
        <v>866</v>
      </c>
    </row>
    <row r="226" spans="1:57" s="57" customFormat="1" ht="33.75" customHeight="1" x14ac:dyDescent="0.25">
      <c r="A226" s="63">
        <f>IF(D226="","",SUBTOTAL(3,$D$8:D226))</f>
        <v>188</v>
      </c>
      <c r="B226" s="63" t="s">
        <v>6</v>
      </c>
      <c r="C226" s="10" t="s">
        <v>464</v>
      </c>
      <c r="D226" s="89" t="s">
        <v>465</v>
      </c>
      <c r="E226" s="652"/>
      <c r="F226" s="652"/>
      <c r="G226" s="282" t="str">
        <f t="shared" si="73"/>
        <v>A3</v>
      </c>
      <c r="H226" s="234"/>
      <c r="I226" s="234"/>
      <c r="J226" s="737" t="s">
        <v>1037</v>
      </c>
      <c r="K226" s="234"/>
      <c r="L226" s="483" t="s">
        <v>85</v>
      </c>
      <c r="M226" s="295"/>
      <c r="N226" s="291">
        <f>IFERROR(VLOOKUP($D226,K.CNTT!$C$10:$AD$30,14,0),0)</f>
        <v>1</v>
      </c>
      <c r="O226" s="291">
        <f>IFERROR(VLOOKUP($D226,K.CNTT!$C$10:$AD$30,27,0),0)</f>
        <v>1</v>
      </c>
      <c r="P226" s="313" t="str">
        <f t="shared" si="72"/>
        <v>A3</v>
      </c>
      <c r="Q226" s="341" t="str">
        <f t="shared" si="74"/>
        <v>A3</v>
      </c>
      <c r="R226" s="315"/>
      <c r="S226" s="662"/>
      <c r="T226" s="662"/>
      <c r="U226" s="176" t="str">
        <f t="shared" ref="U226:U241" si="75">$Q226</f>
        <v>A3</v>
      </c>
      <c r="V226" s="179"/>
      <c r="W226" s="330">
        <f>IFERROR(VLOOKUP($D226,K.CNTT!$C$10:$AD$30,15,0),0)</f>
        <v>1</v>
      </c>
      <c r="X226" s="330">
        <f>IFERROR(VLOOKUP($D226,K.CNTT!$C$10:$AD$30,28,0),0)</f>
        <v>1</v>
      </c>
      <c r="Y226" s="89"/>
      <c r="Z226" s="863"/>
      <c r="AA226" s="842"/>
      <c r="AB226" s="228"/>
      <c r="AC226" s="775"/>
      <c r="AD226" s="213"/>
      <c r="AE226" s="60" t="str">
        <f t="shared" si="71"/>
        <v>A3</v>
      </c>
      <c r="AF226" s="60"/>
      <c r="AG226" s="592"/>
      <c r="AH226" s="591">
        <f>AH224+AH225</f>
        <v>0</v>
      </c>
      <c r="AI226" s="606">
        <f>AI224+AI225</f>
        <v>0</v>
      </c>
      <c r="AJ226" s="589"/>
      <c r="AK226" s="597" t="s">
        <v>865</v>
      </c>
      <c r="AL226" s="595">
        <f>COUNTIF($BE224:$BE244,"GV") + COUNTIF($BE224:$BE244,"NV")</f>
        <v>19</v>
      </c>
      <c r="AM226" s="595">
        <f>COUNTIF($U226:$U244,"A1")</f>
        <v>0</v>
      </c>
      <c r="AN226" s="611">
        <f>AM226/$AL$226</f>
        <v>0</v>
      </c>
      <c r="AO226" s="595">
        <f>COUNTIF($U226:$U244,"A2")</f>
        <v>1</v>
      </c>
      <c r="AP226" s="611">
        <f>AO226/$AL$226</f>
        <v>5.2631578947368418E-2</v>
      </c>
      <c r="AQ226" s="595">
        <f>COUNTIF($U226:$U244,"A3")</f>
        <v>15</v>
      </c>
      <c r="AR226" s="611">
        <f>AQ226/$AL$226</f>
        <v>0.78947368421052633</v>
      </c>
      <c r="AS226" s="595">
        <f>COUNTIF($U226:$U244,"A4")</f>
        <v>2</v>
      </c>
      <c r="AT226" s="611">
        <f>AS226/$AL$226</f>
        <v>0.10526315789473684</v>
      </c>
      <c r="AU226" s="595">
        <f>COUNTIF($U226:$U244,"B1")</f>
        <v>1</v>
      </c>
      <c r="AV226" s="595"/>
      <c r="AW226" s="595">
        <f>COUNTIF($U226:$U244,"B2")</f>
        <v>0</v>
      </c>
      <c r="AX226" s="595"/>
      <c r="AY226" s="595">
        <f>COUNTIF($U226:$U244,"C1")</f>
        <v>0</v>
      </c>
      <c r="AZ226" s="595"/>
      <c r="BA226" s="595">
        <f>COUNTIF($U226:$U244,"C2")</f>
        <v>0</v>
      </c>
      <c r="BB226" s="595"/>
      <c r="BD226" s="60" t="s">
        <v>880</v>
      </c>
      <c r="BE226" s="60" t="s">
        <v>868</v>
      </c>
    </row>
    <row r="227" spans="1:57" s="57" customFormat="1" ht="33.75" customHeight="1" x14ac:dyDescent="0.25">
      <c r="A227" s="63">
        <f>IF(D227="","",SUBTOTAL(3,$D$8:D227))</f>
        <v>189</v>
      </c>
      <c r="B227" s="63" t="s">
        <v>11</v>
      </c>
      <c r="C227" s="10" t="s">
        <v>466</v>
      </c>
      <c r="D227" s="89" t="s">
        <v>467</v>
      </c>
      <c r="E227" s="652"/>
      <c r="F227" s="652"/>
      <c r="G227" s="282" t="str">
        <f t="shared" si="73"/>
        <v>A3</v>
      </c>
      <c r="H227" s="234"/>
      <c r="I227" s="234"/>
      <c r="J227" s="737" t="s">
        <v>1037</v>
      </c>
      <c r="K227" s="234"/>
      <c r="L227" s="483" t="s">
        <v>85</v>
      </c>
      <c r="M227" s="295"/>
      <c r="N227" s="291">
        <f>IFERROR(VLOOKUP($D227,K.CNTT!$C$10:$AD$30,14,0),0)</f>
        <v>1</v>
      </c>
      <c r="O227" s="291">
        <f>IFERROR(VLOOKUP($D227,K.CNTT!$C$10:$AD$30,27,0),0)</f>
        <v>1</v>
      </c>
      <c r="P227" s="313" t="str">
        <f t="shared" si="72"/>
        <v>A3</v>
      </c>
      <c r="Q227" s="341" t="str">
        <f t="shared" si="74"/>
        <v>A3</v>
      </c>
      <c r="R227" s="315"/>
      <c r="S227" s="662"/>
      <c r="T227" s="662"/>
      <c r="U227" s="176" t="str">
        <f t="shared" si="75"/>
        <v>A3</v>
      </c>
      <c r="V227" s="179"/>
      <c r="W227" s="330">
        <f>IFERROR(VLOOKUP($D227,K.CNTT!$C$10:$AD$30,15,0),0)</f>
        <v>1</v>
      </c>
      <c r="X227" s="330">
        <f>IFERROR(VLOOKUP($D227,K.CNTT!$C$10:$AD$30,28,0),0)</f>
        <v>1</v>
      </c>
      <c r="Y227" s="89"/>
      <c r="Z227" s="859"/>
      <c r="AA227" s="858"/>
      <c r="AB227" s="777"/>
      <c r="AC227" s="775"/>
      <c r="AD227" s="213"/>
      <c r="AE227" s="60" t="str">
        <f t="shared" si="71"/>
        <v>A3</v>
      </c>
      <c r="AF227" s="60"/>
      <c r="AG227" s="60"/>
      <c r="AH227" s="94"/>
      <c r="AI227" s="94"/>
      <c r="AJ227" s="94"/>
      <c r="AK227" s="589"/>
      <c r="AL227" s="589"/>
      <c r="AM227" s="589"/>
      <c r="AN227" s="589"/>
      <c r="AO227" s="589"/>
      <c r="AP227" s="589"/>
      <c r="AQ227" s="589"/>
      <c r="AR227" s="589"/>
      <c r="AS227" s="589"/>
      <c r="AT227" s="589"/>
      <c r="AU227" s="589"/>
      <c r="AV227" s="589"/>
      <c r="AW227" s="589"/>
      <c r="AX227" s="589"/>
      <c r="AY227" s="589"/>
      <c r="AZ227" s="589"/>
      <c r="BA227" s="589"/>
      <c r="BB227" s="589"/>
      <c r="BD227" s="60" t="s">
        <v>880</v>
      </c>
      <c r="BE227" s="60" t="s">
        <v>868</v>
      </c>
    </row>
    <row r="228" spans="1:57" s="57" customFormat="1" ht="74.25" customHeight="1" x14ac:dyDescent="0.25">
      <c r="A228" s="63">
        <f>IF(D228="","",SUBTOTAL(3,$D$8:D228))</f>
        <v>190</v>
      </c>
      <c r="B228" s="63" t="s">
        <v>13</v>
      </c>
      <c r="C228" s="10" t="s">
        <v>470</v>
      </c>
      <c r="D228" s="89" t="s">
        <v>471</v>
      </c>
      <c r="E228" s="652"/>
      <c r="F228" s="652"/>
      <c r="G228" s="282" t="str">
        <f t="shared" si="73"/>
        <v>A3</v>
      </c>
      <c r="H228" s="234"/>
      <c r="I228" s="234"/>
      <c r="J228" s="737" t="s">
        <v>1037</v>
      </c>
      <c r="K228" s="234"/>
      <c r="L228" s="483" t="s">
        <v>141</v>
      </c>
      <c r="M228" s="288"/>
      <c r="N228" s="291">
        <f>IFERROR(VLOOKUP($D228,K.CNTT!$C$10:$AD$30,14,0),0)</f>
        <v>0</v>
      </c>
      <c r="O228" s="291">
        <f>IFERROR(VLOOKUP($D228,K.CNTT!$C$10:$AD$30,27,0),0)</f>
        <v>1</v>
      </c>
      <c r="P228" s="313" t="s">
        <v>141</v>
      </c>
      <c r="Q228" s="1196" t="str">
        <f t="shared" si="74"/>
        <v>B1</v>
      </c>
      <c r="R228" s="347" t="s">
        <v>1212</v>
      </c>
      <c r="S228" s="668"/>
      <c r="T228" s="668"/>
      <c r="U228" s="176" t="str">
        <f t="shared" si="75"/>
        <v>B1</v>
      </c>
      <c r="V228" s="180" t="str">
        <f>R228</f>
        <v>Ngày 17/10/2023, GV báo LĐK cho lớp nghỉ (trễ 20 phút). Thống nhất xếp loại B1</v>
      </c>
      <c r="W228" s="330">
        <f>IFERROR(VLOOKUP($D228,K.CNTT!$C$10:$AD$30,15,0),0)</f>
        <v>0</v>
      </c>
      <c r="X228" s="330">
        <f>IFERROR(VLOOKUP($D228,K.CNTT!$C$10:$AD$30,28,0),0)</f>
        <v>1</v>
      </c>
      <c r="Y228" s="89"/>
      <c r="Z228" s="842" t="s">
        <v>1180</v>
      </c>
      <c r="AA228" s="842" t="s">
        <v>1177</v>
      </c>
      <c r="AB228" s="736" t="s">
        <v>83</v>
      </c>
      <c r="AC228" s="736" t="s">
        <v>1160</v>
      </c>
      <c r="AD228" s="213"/>
      <c r="AE228" s="60" t="str">
        <f t="shared" si="71"/>
        <v>B1</v>
      </c>
      <c r="AF228" s="60"/>
      <c r="AG228" s="60"/>
      <c r="AH228" s="541"/>
      <c r="AI228" s="541"/>
      <c r="AJ228" s="533"/>
      <c r="AK228" s="533"/>
      <c r="AL228" s="533"/>
      <c r="AM228" s="533"/>
      <c r="AN228" s="533"/>
      <c r="AO228" s="533"/>
      <c r="AP228" s="533"/>
      <c r="AQ228" s="533"/>
      <c r="AR228" s="533"/>
      <c r="AS228" s="533"/>
      <c r="AT228" s="533"/>
      <c r="AU228" s="533"/>
      <c r="AV228" s="533"/>
      <c r="AW228" s="533"/>
      <c r="AX228" s="533"/>
      <c r="AY228" s="533"/>
      <c r="AZ228" s="533"/>
      <c r="BA228" s="533"/>
      <c r="BB228" s="533"/>
      <c r="BD228" s="60" t="s">
        <v>880</v>
      </c>
      <c r="BE228" s="60" t="s">
        <v>868</v>
      </c>
    </row>
    <row r="229" spans="1:57" s="57" customFormat="1" ht="33.75" customHeight="1" x14ac:dyDescent="0.25">
      <c r="A229" s="63">
        <f>IF(D229="","",SUBTOTAL(3,$D$8:D229))</f>
        <v>191</v>
      </c>
      <c r="B229" s="63" t="s">
        <v>14</v>
      </c>
      <c r="C229" s="10" t="s">
        <v>472</v>
      </c>
      <c r="D229" s="89" t="s">
        <v>473</v>
      </c>
      <c r="E229" s="652"/>
      <c r="F229" s="652"/>
      <c r="G229" s="282" t="str">
        <f t="shared" si="73"/>
        <v>A3</v>
      </c>
      <c r="H229" s="234"/>
      <c r="I229" s="234"/>
      <c r="J229" s="737" t="s">
        <v>1037</v>
      </c>
      <c r="K229" s="234"/>
      <c r="L229" s="483" t="s">
        <v>85</v>
      </c>
      <c r="M229" s="288"/>
      <c r="N229" s="291">
        <f>IFERROR(VLOOKUP($D229,K.CNTT!$C$10:$AD$30,14,0),0)</f>
        <v>0</v>
      </c>
      <c r="O229" s="291">
        <f>IFERROR(VLOOKUP($D229,K.CNTT!$C$10:$AD$30,27,0),0)</f>
        <v>2</v>
      </c>
      <c r="P229" s="313" t="str">
        <f t="shared" si="72"/>
        <v>A3</v>
      </c>
      <c r="Q229" s="341" t="str">
        <f t="shared" si="74"/>
        <v>A3</v>
      </c>
      <c r="R229" s="315"/>
      <c r="S229" s="668"/>
      <c r="T229" s="668"/>
      <c r="U229" s="176" t="str">
        <f t="shared" si="75"/>
        <v>A3</v>
      </c>
      <c r="V229" s="180"/>
      <c r="W229" s="330">
        <f>IFERROR(VLOOKUP($D229,K.CNTT!$C$10:$AD$30,15,0),0)</f>
        <v>0</v>
      </c>
      <c r="X229" s="330">
        <f>IFERROR(VLOOKUP($D229,K.CNTT!$C$10:$AD$30,28,0),0)</f>
        <v>2</v>
      </c>
      <c r="Y229" s="89"/>
      <c r="Z229" s="861"/>
      <c r="AA229" s="858"/>
      <c r="AB229" s="1020"/>
      <c r="AC229" s="854"/>
      <c r="AD229" s="213"/>
      <c r="AE229" s="60" t="str">
        <f t="shared" si="71"/>
        <v>A3</v>
      </c>
      <c r="AF229" s="60"/>
      <c r="AG229" s="60"/>
      <c r="AH229" s="541"/>
      <c r="AI229" s="541"/>
      <c r="AJ229" s="533"/>
      <c r="AK229" s="533"/>
      <c r="AL229" s="533"/>
      <c r="AM229" s="533"/>
      <c r="AN229" s="533"/>
      <c r="AO229" s="533"/>
      <c r="AP229" s="533"/>
      <c r="AQ229" s="533"/>
      <c r="AR229" s="533"/>
      <c r="AS229" s="533"/>
      <c r="AT229" s="533"/>
      <c r="AU229" s="533"/>
      <c r="AV229" s="533"/>
      <c r="AW229" s="533"/>
      <c r="AX229" s="533"/>
      <c r="AY229" s="533"/>
      <c r="AZ229" s="533"/>
      <c r="BA229" s="533"/>
      <c r="BB229" s="533"/>
      <c r="BD229" s="60" t="s">
        <v>880</v>
      </c>
      <c r="BE229" s="60" t="s">
        <v>868</v>
      </c>
    </row>
    <row r="230" spans="1:57" s="57" customFormat="1" ht="33.75" customHeight="1" x14ac:dyDescent="0.25">
      <c r="A230" s="63">
        <f>IF(D230="","",SUBTOTAL(3,$D$8:D230))</f>
        <v>192</v>
      </c>
      <c r="B230" s="63" t="s">
        <v>19</v>
      </c>
      <c r="C230" s="10" t="s">
        <v>476</v>
      </c>
      <c r="D230" s="89" t="s">
        <v>477</v>
      </c>
      <c r="E230" s="652"/>
      <c r="F230" s="652"/>
      <c r="G230" s="282" t="str">
        <f t="shared" si="73"/>
        <v>A3</v>
      </c>
      <c r="H230" s="234"/>
      <c r="I230" s="234"/>
      <c r="J230" s="737" t="s">
        <v>1036</v>
      </c>
      <c r="K230" s="234"/>
      <c r="L230" s="483" t="s">
        <v>85</v>
      </c>
      <c r="M230" s="288"/>
      <c r="N230" s="291">
        <f>IFERROR(VLOOKUP($D230,K.CNTT!$C$10:$AD$30,14,0),0)</f>
        <v>1</v>
      </c>
      <c r="O230" s="291">
        <f>IFERROR(VLOOKUP($D230,K.CNTT!$C$10:$AD$30,27,0),0)</f>
        <v>2</v>
      </c>
      <c r="P230" s="313" t="str">
        <f t="shared" si="72"/>
        <v>A3</v>
      </c>
      <c r="Q230" s="341" t="str">
        <f t="shared" si="74"/>
        <v>A3</v>
      </c>
      <c r="R230" s="315"/>
      <c r="S230" s="662"/>
      <c r="T230" s="662"/>
      <c r="U230" s="176" t="str">
        <f t="shared" si="75"/>
        <v>A3</v>
      </c>
      <c r="V230" s="179"/>
      <c r="W230" s="330">
        <f>IFERROR(VLOOKUP($D230,K.CNTT!$C$10:$AD$30,15,0),0)</f>
        <v>1</v>
      </c>
      <c r="X230" s="330">
        <f>IFERROR(VLOOKUP($D230,K.CNTT!$C$10:$AD$30,28,0),0)</f>
        <v>2</v>
      </c>
      <c r="Y230" s="89"/>
      <c r="Z230" s="842"/>
      <c r="AA230" s="842"/>
      <c r="AB230" s="1092"/>
      <c r="AC230" s="1092"/>
      <c r="AD230" s="213"/>
      <c r="AE230" s="60" t="str">
        <f t="shared" si="71"/>
        <v>A3</v>
      </c>
      <c r="AF230" s="60"/>
      <c r="AG230" s="60"/>
      <c r="AH230" s="542"/>
      <c r="AI230" s="542"/>
      <c r="AK230" s="589"/>
      <c r="AL230" s="589"/>
      <c r="AM230" s="589"/>
      <c r="AN230" s="589"/>
      <c r="AO230" s="589"/>
      <c r="AP230" s="589"/>
      <c r="AQ230" s="589"/>
      <c r="AR230" s="589"/>
      <c r="AS230" s="589"/>
      <c r="AT230" s="589"/>
      <c r="AU230" s="589"/>
      <c r="AV230" s="589"/>
      <c r="AW230" s="589"/>
      <c r="AX230" s="589"/>
      <c r="AY230" s="589"/>
      <c r="AZ230" s="589"/>
      <c r="BA230" s="589"/>
      <c r="BB230" s="589"/>
      <c r="BD230" s="60" t="s">
        <v>880</v>
      </c>
      <c r="BE230" s="60" t="s">
        <v>868</v>
      </c>
    </row>
    <row r="231" spans="1:57" s="57" customFormat="1" ht="33.75" customHeight="1" x14ac:dyDescent="0.25">
      <c r="A231" s="63">
        <f>IF(D231="","",SUBTOTAL(3,$D$8:D231))</f>
        <v>193</v>
      </c>
      <c r="B231" s="63" t="s">
        <v>21</v>
      </c>
      <c r="C231" s="10" t="s">
        <v>479</v>
      </c>
      <c r="D231" s="89" t="s">
        <v>480</v>
      </c>
      <c r="E231" s="652"/>
      <c r="F231" s="652"/>
      <c r="G231" s="282" t="str">
        <f t="shared" si="73"/>
        <v>A3</v>
      </c>
      <c r="H231" s="234"/>
      <c r="I231" s="234"/>
      <c r="J231" s="737" t="s">
        <v>1036</v>
      </c>
      <c r="K231" s="234"/>
      <c r="L231" s="483" t="s">
        <v>85</v>
      </c>
      <c r="M231" s="295"/>
      <c r="N231" s="291">
        <f>IFERROR(VLOOKUP($D231,K.CNTT!$C$10:$AD$30,14,0),0)</f>
        <v>0</v>
      </c>
      <c r="O231" s="291">
        <f>IFERROR(VLOOKUP($D231,K.CNTT!$C$10:$AD$30,27,0),0)</f>
        <v>2</v>
      </c>
      <c r="P231" s="313" t="str">
        <f t="shared" si="72"/>
        <v>A3</v>
      </c>
      <c r="Q231" s="341" t="str">
        <f t="shared" si="74"/>
        <v>A3</v>
      </c>
      <c r="R231" s="319"/>
      <c r="S231" s="672"/>
      <c r="T231" s="672"/>
      <c r="U231" s="176" t="str">
        <f t="shared" si="75"/>
        <v>A3</v>
      </c>
      <c r="V231" s="179"/>
      <c r="W231" s="330">
        <f>IFERROR(VLOOKUP($D231,K.CNTT!$C$10:$AD$30,15,0),0)</f>
        <v>0</v>
      </c>
      <c r="X231" s="330">
        <f>IFERROR(VLOOKUP($D231,K.CNTT!$C$10:$AD$30,28,0),0)</f>
        <v>2</v>
      </c>
      <c r="Y231" s="89"/>
      <c r="Z231" s="842"/>
      <c r="AA231" s="842"/>
      <c r="AB231" s="1020"/>
      <c r="AC231" s="855"/>
      <c r="AD231" s="213"/>
      <c r="AE231" s="60" t="str">
        <f t="shared" si="71"/>
        <v>A3</v>
      </c>
      <c r="AF231" s="60"/>
      <c r="AG231" s="60"/>
      <c r="AH231" s="542"/>
      <c r="AI231" s="542"/>
      <c r="AK231" s="589"/>
      <c r="AL231" s="589"/>
      <c r="AM231" s="589"/>
      <c r="AN231" s="589"/>
      <c r="AO231" s="589"/>
      <c r="AP231" s="589"/>
      <c r="AQ231" s="589"/>
      <c r="AR231" s="589"/>
      <c r="AS231" s="589"/>
      <c r="AT231" s="589"/>
      <c r="AU231" s="589"/>
      <c r="AV231" s="589"/>
      <c r="AW231" s="589"/>
      <c r="AX231" s="589"/>
      <c r="AY231" s="589"/>
      <c r="AZ231" s="589"/>
      <c r="BA231" s="589"/>
      <c r="BB231" s="589"/>
      <c r="BD231" s="60" t="s">
        <v>880</v>
      </c>
      <c r="BE231" s="60" t="s">
        <v>868</v>
      </c>
    </row>
    <row r="232" spans="1:57" s="57" customFormat="1" ht="33.75" customHeight="1" x14ac:dyDescent="0.25">
      <c r="A232" s="63">
        <f>IF(D232="","",SUBTOTAL(3,$D$8:D232))</f>
        <v>194</v>
      </c>
      <c r="B232" s="63" t="s">
        <v>22</v>
      </c>
      <c r="C232" s="10" t="s">
        <v>481</v>
      </c>
      <c r="D232" s="89" t="s">
        <v>482</v>
      </c>
      <c r="E232" s="652"/>
      <c r="F232" s="652"/>
      <c r="G232" s="282" t="str">
        <f t="shared" si="73"/>
        <v>A3</v>
      </c>
      <c r="H232" s="234"/>
      <c r="I232" s="234"/>
      <c r="J232" s="737" t="s">
        <v>1036</v>
      </c>
      <c r="K232" s="234"/>
      <c r="L232" s="483" t="s">
        <v>85</v>
      </c>
      <c r="M232" s="295"/>
      <c r="N232" s="291">
        <f>IFERROR(VLOOKUP($D232,K.CNTT!$C$10:$AD$30,14,0),0)</f>
        <v>1</v>
      </c>
      <c r="O232" s="291">
        <f>IFERROR(VLOOKUP($D232,K.CNTT!$C$10:$AD$30,27,0),0)</f>
        <v>2</v>
      </c>
      <c r="P232" s="313" t="str">
        <f t="shared" si="72"/>
        <v>A3</v>
      </c>
      <c r="Q232" s="341" t="str">
        <f t="shared" si="74"/>
        <v>A3</v>
      </c>
      <c r="R232" s="315"/>
      <c r="S232" s="662"/>
      <c r="T232" s="662"/>
      <c r="U232" s="176" t="str">
        <f t="shared" si="75"/>
        <v>A3</v>
      </c>
      <c r="V232" s="179"/>
      <c r="W232" s="330">
        <f>IFERROR(VLOOKUP($D232,K.CNTT!$C$10:$AD$30,15,0),0)</f>
        <v>1</v>
      </c>
      <c r="X232" s="330">
        <f>IFERROR(VLOOKUP($D232,K.CNTT!$C$10:$AD$30,28,0),0)</f>
        <v>2</v>
      </c>
      <c r="Y232" s="89"/>
      <c r="Z232" s="863"/>
      <c r="AA232" s="842"/>
      <c r="AB232" s="1020"/>
      <c r="AC232" s="1020"/>
      <c r="AD232" s="213"/>
      <c r="AE232" s="60" t="str">
        <f t="shared" si="71"/>
        <v>A3</v>
      </c>
      <c r="AF232" s="60"/>
      <c r="AG232" s="60"/>
      <c r="AH232" s="542"/>
      <c r="AI232" s="542"/>
      <c r="AK232" s="589"/>
      <c r="AL232" s="589"/>
      <c r="AM232" s="589"/>
      <c r="AN232" s="589"/>
      <c r="AO232" s="589"/>
      <c r="AP232" s="589"/>
      <c r="AQ232" s="589"/>
      <c r="AR232" s="589"/>
      <c r="AS232" s="589"/>
      <c r="AT232" s="589"/>
      <c r="AU232" s="589"/>
      <c r="AV232" s="589"/>
      <c r="AW232" s="589"/>
      <c r="AX232" s="589"/>
      <c r="AY232" s="589"/>
      <c r="AZ232" s="589"/>
      <c r="BA232" s="589"/>
      <c r="BB232" s="589"/>
      <c r="BD232" s="60" t="s">
        <v>880</v>
      </c>
      <c r="BE232" s="60" t="s">
        <v>868</v>
      </c>
    </row>
    <row r="233" spans="1:57" s="57" customFormat="1" ht="33.75" customHeight="1" x14ac:dyDescent="0.25">
      <c r="A233" s="63">
        <f>IF(D233="","",SUBTOTAL(3,$D$8:D233))</f>
        <v>195</v>
      </c>
      <c r="B233" s="63" t="s">
        <v>23</v>
      </c>
      <c r="C233" s="10" t="s">
        <v>483</v>
      </c>
      <c r="D233" s="89" t="s">
        <v>484</v>
      </c>
      <c r="E233" s="652"/>
      <c r="F233" s="652"/>
      <c r="G233" s="282" t="str">
        <f t="shared" si="73"/>
        <v>A3</v>
      </c>
      <c r="H233" s="234"/>
      <c r="I233" s="234"/>
      <c r="J233" s="737" t="s">
        <v>1036</v>
      </c>
      <c r="K233" s="234"/>
      <c r="L233" s="483" t="s">
        <v>85</v>
      </c>
      <c r="M233" s="295"/>
      <c r="N233" s="291">
        <f>IFERROR(VLOOKUP($D233,K.CNTT!$C$10:$AD$30,14,0),0)</f>
        <v>1</v>
      </c>
      <c r="O233" s="291">
        <f>IFERROR(VLOOKUP($D233,K.CNTT!$C$10:$AD$30,27,0),0)</f>
        <v>1</v>
      </c>
      <c r="P233" s="313" t="str">
        <f t="shared" si="72"/>
        <v>A3</v>
      </c>
      <c r="Q233" s="341" t="str">
        <f t="shared" si="74"/>
        <v>A3</v>
      </c>
      <c r="R233" s="315"/>
      <c r="S233" s="668"/>
      <c r="T233" s="668"/>
      <c r="U233" s="176" t="str">
        <f t="shared" si="75"/>
        <v>A3</v>
      </c>
      <c r="V233" s="180"/>
      <c r="W233" s="330">
        <f>IFERROR(VLOOKUP($D233,K.CNTT!$C$10:$AD$30,15,0),0)</f>
        <v>1</v>
      </c>
      <c r="X233" s="330">
        <f>IFERROR(VLOOKUP($D233,K.CNTT!$C$10:$AD$30,28,0),0)</f>
        <v>1</v>
      </c>
      <c r="Y233" s="89"/>
      <c r="Z233" s="842"/>
      <c r="AA233" s="842"/>
      <c r="AB233" s="777"/>
      <c r="AC233" s="839"/>
      <c r="AD233" s="588"/>
      <c r="AE233" s="60" t="str">
        <f t="shared" si="71"/>
        <v>A3</v>
      </c>
      <c r="AF233" s="60"/>
      <c r="AG233" s="60"/>
      <c r="AH233" s="542"/>
      <c r="AI233" s="542"/>
      <c r="AK233" s="589"/>
      <c r="AL233" s="589"/>
      <c r="AM233" s="589"/>
      <c r="AN233" s="589"/>
      <c r="AO233" s="589"/>
      <c r="AP233" s="589"/>
      <c r="AQ233" s="589"/>
      <c r="AR233" s="589"/>
      <c r="AS233" s="589"/>
      <c r="AT233" s="589"/>
      <c r="AU233" s="589"/>
      <c r="AV233" s="589"/>
      <c r="AW233" s="589"/>
      <c r="AX233" s="589"/>
      <c r="AY233" s="589"/>
      <c r="AZ233" s="589"/>
      <c r="BA233" s="589"/>
      <c r="BB233" s="589"/>
      <c r="BD233" s="60" t="s">
        <v>880</v>
      </c>
      <c r="BE233" s="60" t="s">
        <v>868</v>
      </c>
    </row>
    <row r="234" spans="1:57" s="57" customFormat="1" ht="57" customHeight="1" x14ac:dyDescent="0.25">
      <c r="A234" s="63">
        <f>IF(D234="","",SUBTOTAL(3,$D$8:D234))</f>
        <v>196</v>
      </c>
      <c r="B234" s="63" t="s">
        <v>24</v>
      </c>
      <c r="C234" s="10" t="s">
        <v>755</v>
      </c>
      <c r="D234" s="89" t="s">
        <v>486</v>
      </c>
      <c r="E234" s="652"/>
      <c r="F234" s="652"/>
      <c r="G234" s="282" t="str">
        <f t="shared" si="73"/>
        <v>A3</v>
      </c>
      <c r="H234" s="234"/>
      <c r="I234" s="234"/>
      <c r="J234" s="737" t="s">
        <v>1037</v>
      </c>
      <c r="K234" s="234"/>
      <c r="L234" s="483" t="s">
        <v>85</v>
      </c>
      <c r="M234" s="295"/>
      <c r="N234" s="291">
        <f>IFERROR(VLOOKUP($D234,K.CNTT!$C$10:$AD$30,14,0),0)</f>
        <v>1</v>
      </c>
      <c r="O234" s="291">
        <f>IFERROR(VLOOKUP($D234,K.CNTT!$C$10:$AD$30,27,0),0)</f>
        <v>0</v>
      </c>
      <c r="P234" s="313" t="str">
        <f t="shared" si="72"/>
        <v>A3</v>
      </c>
      <c r="Q234" s="341" t="str">
        <f t="shared" si="74"/>
        <v>A3</v>
      </c>
      <c r="R234" s="315"/>
      <c r="S234" s="662"/>
      <c r="T234" s="662"/>
      <c r="U234" s="176" t="str">
        <f t="shared" si="75"/>
        <v>A3</v>
      </c>
      <c r="V234" s="183"/>
      <c r="W234" s="330">
        <f>IFERROR(VLOOKUP($D234,K.CNTT!$C$10:$AD$30,15,0),0)</f>
        <v>1</v>
      </c>
      <c r="X234" s="330">
        <f>IFERROR(VLOOKUP($D234,K.CNTT!$C$10:$AD$30,28,0),0)</f>
        <v>0</v>
      </c>
      <c r="Y234" s="89"/>
      <c r="Z234" s="861"/>
      <c r="AA234" s="861"/>
      <c r="AB234" s="736"/>
      <c r="AC234" s="736"/>
      <c r="AD234" s="213"/>
      <c r="AE234" s="60" t="str">
        <f t="shared" si="71"/>
        <v>A3</v>
      </c>
      <c r="AF234" s="60"/>
      <c r="AG234" s="60"/>
      <c r="AH234" s="542"/>
      <c r="AI234" s="542"/>
      <c r="AK234" s="589"/>
      <c r="AL234" s="589"/>
      <c r="AM234" s="589"/>
      <c r="AN234" s="589"/>
      <c r="AO234" s="589"/>
      <c r="AP234" s="589"/>
      <c r="AQ234" s="589"/>
      <c r="AR234" s="589"/>
      <c r="AS234" s="589"/>
      <c r="AT234" s="589"/>
      <c r="AU234" s="589"/>
      <c r="AV234" s="589"/>
      <c r="AW234" s="589"/>
      <c r="AX234" s="589"/>
      <c r="AY234" s="589"/>
      <c r="AZ234" s="589"/>
      <c r="BA234" s="589"/>
      <c r="BB234" s="589"/>
      <c r="BD234" s="60" t="s">
        <v>880</v>
      </c>
      <c r="BE234" s="60" t="s">
        <v>868</v>
      </c>
    </row>
    <row r="235" spans="1:57" s="57" customFormat="1" ht="35.25" customHeight="1" x14ac:dyDescent="0.25">
      <c r="A235" s="63">
        <f>IF(D235="","",SUBTOTAL(3,$D$8:D235))</f>
        <v>197</v>
      </c>
      <c r="B235" s="63" t="s">
        <v>25</v>
      </c>
      <c r="C235" s="10" t="s">
        <v>487</v>
      </c>
      <c r="D235" s="89" t="s">
        <v>488</v>
      </c>
      <c r="E235" s="652"/>
      <c r="F235" s="652"/>
      <c r="G235" s="282" t="str">
        <f t="shared" si="73"/>
        <v>A3</v>
      </c>
      <c r="H235" s="234"/>
      <c r="I235" s="234"/>
      <c r="J235" s="737" t="s">
        <v>1037</v>
      </c>
      <c r="K235" s="234"/>
      <c r="L235" s="483" t="s">
        <v>85</v>
      </c>
      <c r="M235" s="300"/>
      <c r="N235" s="291">
        <f>IFERROR(VLOOKUP($D235,K.CNTT!$C$10:$AD$30,14,0),0)</f>
        <v>1</v>
      </c>
      <c r="O235" s="291">
        <f>IFERROR(VLOOKUP($D235,K.CNTT!$C$10:$AD$30,27,0),0)</f>
        <v>4</v>
      </c>
      <c r="P235" s="313" t="str">
        <f t="shared" si="72"/>
        <v>A3</v>
      </c>
      <c r="Q235" s="341" t="str">
        <f t="shared" si="74"/>
        <v>A3</v>
      </c>
      <c r="R235" s="315"/>
      <c r="S235" s="662"/>
      <c r="T235" s="662"/>
      <c r="U235" s="176" t="str">
        <f t="shared" si="75"/>
        <v>A3</v>
      </c>
      <c r="V235" s="183"/>
      <c r="W235" s="330">
        <f>IFERROR(VLOOKUP($D235,K.CNTT!$C$10:$AD$30,15,0),0)</f>
        <v>1</v>
      </c>
      <c r="X235" s="330">
        <f>IFERROR(VLOOKUP($D235,K.CNTT!$C$10:$AD$30,28,0),0)</f>
        <v>4</v>
      </c>
      <c r="Y235" s="89"/>
      <c r="Z235" s="857"/>
      <c r="AA235" s="859"/>
      <c r="AB235" s="777"/>
      <c r="AC235" s="839"/>
      <c r="AD235" s="213"/>
      <c r="AE235" s="60" t="str">
        <f t="shared" si="71"/>
        <v>A3</v>
      </c>
      <c r="AF235" s="60"/>
      <c r="AG235" s="60"/>
      <c r="AH235" s="542"/>
      <c r="AI235" s="542"/>
      <c r="AK235" s="589"/>
      <c r="AL235" s="589"/>
      <c r="AM235" s="589"/>
      <c r="AN235" s="589"/>
      <c r="AO235" s="589"/>
      <c r="AP235" s="589"/>
      <c r="AQ235" s="589"/>
      <c r="AR235" s="589"/>
      <c r="AS235" s="589"/>
      <c r="AT235" s="589"/>
      <c r="AU235" s="589"/>
      <c r="AV235" s="589"/>
      <c r="AW235" s="589"/>
      <c r="AX235" s="589"/>
      <c r="AY235" s="589"/>
      <c r="AZ235" s="589"/>
      <c r="BA235" s="589"/>
      <c r="BB235" s="589"/>
      <c r="BD235" s="60" t="s">
        <v>880</v>
      </c>
      <c r="BE235" s="60" t="s">
        <v>868</v>
      </c>
    </row>
    <row r="236" spans="1:57" s="57" customFormat="1" ht="39.75" customHeight="1" x14ac:dyDescent="0.25">
      <c r="A236" s="63">
        <f>IF(D236="","",SUBTOTAL(3,$D$8:D236))</f>
        <v>198</v>
      </c>
      <c r="B236" s="63" t="s">
        <v>26</v>
      </c>
      <c r="C236" s="10" t="s">
        <v>489</v>
      </c>
      <c r="D236" s="89" t="s">
        <v>490</v>
      </c>
      <c r="E236" s="652"/>
      <c r="F236" s="652"/>
      <c r="G236" s="282" t="str">
        <f t="shared" si="73"/>
        <v>A3</v>
      </c>
      <c r="H236" s="234"/>
      <c r="I236" s="234"/>
      <c r="J236" s="737" t="s">
        <v>1037</v>
      </c>
      <c r="K236" s="234"/>
      <c r="L236" s="483" t="s">
        <v>83</v>
      </c>
      <c r="M236" s="288"/>
      <c r="N236" s="291">
        <f>IFERROR(VLOOKUP($D236,K.CNTT!$C$10:$AD$30,14,0),0)</f>
        <v>0</v>
      </c>
      <c r="O236" s="291">
        <f>IFERROR(VLOOKUP($D236,K.CNTT!$C$10:$AD$30,27,0),0)</f>
        <v>0</v>
      </c>
      <c r="P236" s="313" t="str">
        <f t="shared" si="72"/>
        <v>A4</v>
      </c>
      <c r="Q236" s="341" t="str">
        <f t="shared" si="74"/>
        <v>A4</v>
      </c>
      <c r="R236" s="315"/>
      <c r="S236" s="668"/>
      <c r="T236" s="668"/>
      <c r="U236" s="176" t="str">
        <f t="shared" si="75"/>
        <v>A4</v>
      </c>
      <c r="V236" s="180"/>
      <c r="W236" s="330">
        <f>IFERROR(VLOOKUP($D236,K.CNTT!$C$10:$AD$30,15,0),0)</f>
        <v>0</v>
      </c>
      <c r="X236" s="330">
        <f>IFERROR(VLOOKUP($D236,K.CNTT!$C$10:$AD$30,28,0),0)</f>
        <v>0</v>
      </c>
      <c r="Y236" s="89"/>
      <c r="Z236" s="859"/>
      <c r="AA236" s="858"/>
      <c r="AB236" s="777"/>
      <c r="AC236" s="839"/>
      <c r="AD236" s="213"/>
      <c r="AE236" s="60" t="str">
        <f t="shared" si="71"/>
        <v>A4</v>
      </c>
      <c r="AF236" s="60"/>
      <c r="AG236" s="60"/>
      <c r="AH236" s="542"/>
      <c r="AI236" s="542"/>
      <c r="AK236" s="589"/>
      <c r="AL236" s="589"/>
      <c r="AM236" s="589"/>
      <c r="AN236" s="589"/>
      <c r="AO236" s="589"/>
      <c r="AP236" s="589"/>
      <c r="AQ236" s="589"/>
      <c r="AR236" s="589"/>
      <c r="AS236" s="589"/>
      <c r="AT236" s="589"/>
      <c r="AU236" s="589"/>
      <c r="AV236" s="589"/>
      <c r="AW236" s="589"/>
      <c r="AX236" s="589"/>
      <c r="AY236" s="589"/>
      <c r="AZ236" s="589"/>
      <c r="BA236" s="589"/>
      <c r="BB236" s="589"/>
      <c r="BD236" s="60" t="s">
        <v>880</v>
      </c>
      <c r="BE236" s="60" t="s">
        <v>868</v>
      </c>
    </row>
    <row r="237" spans="1:57" s="57" customFormat="1" ht="31.5" customHeight="1" x14ac:dyDescent="0.25">
      <c r="A237" s="63">
        <f>IF(D237="","",SUBTOTAL(3,$D$8:D237))</f>
        <v>199</v>
      </c>
      <c r="B237" s="63" t="s">
        <v>28</v>
      </c>
      <c r="C237" s="10" t="s">
        <v>491</v>
      </c>
      <c r="D237" s="89" t="s">
        <v>492</v>
      </c>
      <c r="E237" s="652"/>
      <c r="F237" s="652"/>
      <c r="G237" s="282" t="str">
        <f t="shared" si="73"/>
        <v>A3</v>
      </c>
      <c r="H237" s="239"/>
      <c r="I237" s="239"/>
      <c r="J237" s="737" t="s">
        <v>1036</v>
      </c>
      <c r="K237" s="234"/>
      <c r="L237" s="483" t="s">
        <v>85</v>
      </c>
      <c r="M237" s="300"/>
      <c r="N237" s="291">
        <f>IFERROR(VLOOKUP($D237,K.CNTT!$C$10:$AD$30,14,0),0)</f>
        <v>1</v>
      </c>
      <c r="O237" s="291">
        <f>IFERROR(VLOOKUP($D237,K.CNTT!$C$10:$AD$30,27,0),0)</f>
        <v>3</v>
      </c>
      <c r="P237" s="313" t="str">
        <f t="shared" si="72"/>
        <v>A3</v>
      </c>
      <c r="Q237" s="341" t="str">
        <f t="shared" si="74"/>
        <v>A3</v>
      </c>
      <c r="R237" s="315"/>
      <c r="S237" s="662"/>
      <c r="T237" s="662"/>
      <c r="U237" s="176" t="str">
        <f t="shared" si="75"/>
        <v>A3</v>
      </c>
      <c r="V237" s="180"/>
      <c r="W237" s="330">
        <f>IFERROR(VLOOKUP($D237,K.CNTT!$C$10:$AD$30,15,0),0)</f>
        <v>1</v>
      </c>
      <c r="X237" s="330">
        <f>IFERROR(VLOOKUP($D237,K.CNTT!$C$10:$AD$30,28,0),0)</f>
        <v>3</v>
      </c>
      <c r="Y237" s="89"/>
      <c r="Z237" s="859"/>
      <c r="AA237" s="858"/>
      <c r="AB237" s="856"/>
      <c r="AC237" s="731"/>
      <c r="AD237" s="213"/>
      <c r="AE237" s="60" t="str">
        <f t="shared" si="71"/>
        <v>A3</v>
      </c>
      <c r="AF237" s="60"/>
      <c r="AG237" s="60"/>
      <c r="AH237" s="542"/>
      <c r="AI237" s="542"/>
      <c r="AK237" s="589"/>
      <c r="AL237" s="589"/>
      <c r="AM237" s="589"/>
      <c r="AN237" s="589"/>
      <c r="AO237" s="589"/>
      <c r="AP237" s="589"/>
      <c r="AQ237" s="589"/>
      <c r="AR237" s="589"/>
      <c r="AS237" s="589"/>
      <c r="AT237" s="589"/>
      <c r="AU237" s="589"/>
      <c r="AV237" s="589"/>
      <c r="AW237" s="589"/>
      <c r="AX237" s="589"/>
      <c r="AY237" s="589"/>
      <c r="AZ237" s="589"/>
      <c r="BA237" s="589"/>
      <c r="BB237" s="589"/>
      <c r="BD237" s="60" t="s">
        <v>880</v>
      </c>
      <c r="BE237" s="60" t="s">
        <v>868</v>
      </c>
    </row>
    <row r="238" spans="1:57" s="57" customFormat="1" ht="34.5" customHeight="1" x14ac:dyDescent="0.25">
      <c r="A238" s="63">
        <f>IF(D238="","",SUBTOTAL(3,$D$8:D238))</f>
        <v>200</v>
      </c>
      <c r="B238" s="63" t="s">
        <v>29</v>
      </c>
      <c r="C238" s="79" t="s">
        <v>493</v>
      </c>
      <c r="D238" s="89" t="s">
        <v>494</v>
      </c>
      <c r="E238" s="652"/>
      <c r="F238" s="652"/>
      <c r="G238" s="282" t="str">
        <f t="shared" si="73"/>
        <v>A3</v>
      </c>
      <c r="H238" s="234"/>
      <c r="I238" s="234"/>
      <c r="J238" s="737" t="s">
        <v>1036</v>
      </c>
      <c r="K238" s="234"/>
      <c r="L238" s="483" t="s">
        <v>85</v>
      </c>
      <c r="M238" s="288"/>
      <c r="N238" s="291">
        <f>IFERROR(VLOOKUP($D238,K.CNTT!$C$10:$AD$30,14,0),0)</f>
        <v>1</v>
      </c>
      <c r="O238" s="291">
        <f>IFERROR(VLOOKUP($D238,K.CNTT!$C$10:$AD$30,27,0),0)</f>
        <v>1</v>
      </c>
      <c r="P238" s="313" t="str">
        <f t="shared" si="72"/>
        <v>A3</v>
      </c>
      <c r="Q238" s="341" t="str">
        <f t="shared" si="74"/>
        <v>A3</v>
      </c>
      <c r="R238" s="315"/>
      <c r="S238" s="662"/>
      <c r="T238" s="662"/>
      <c r="U238" s="176" t="str">
        <f t="shared" si="75"/>
        <v>A3</v>
      </c>
      <c r="V238" s="180"/>
      <c r="W238" s="330">
        <f>IFERROR(VLOOKUP($D238,K.CNTT!$C$10:$AD$30,15,0),0)</f>
        <v>1</v>
      </c>
      <c r="X238" s="330">
        <f>IFERROR(VLOOKUP($D238,K.CNTT!$C$10:$AD$30,28,0),0)</f>
        <v>1</v>
      </c>
      <c r="Y238" s="89"/>
      <c r="Z238" s="863"/>
      <c r="AA238" s="842"/>
      <c r="AB238" s="492"/>
      <c r="AC238" s="731"/>
      <c r="AD238" s="785"/>
      <c r="AE238" s="60" t="str">
        <f t="shared" si="71"/>
        <v>A3</v>
      </c>
      <c r="AF238" s="60"/>
      <c r="AG238" s="60"/>
      <c r="AH238" s="542"/>
      <c r="AI238" s="542"/>
      <c r="AK238" s="589"/>
      <c r="AL238" s="589"/>
      <c r="AM238" s="589"/>
      <c r="AN238" s="589"/>
      <c r="AO238" s="589"/>
      <c r="AP238" s="589"/>
      <c r="AQ238" s="589"/>
      <c r="AR238" s="589"/>
      <c r="AS238" s="589"/>
      <c r="AT238" s="589"/>
      <c r="AU238" s="589"/>
      <c r="AV238" s="589"/>
      <c r="AW238" s="589"/>
      <c r="AX238" s="589"/>
      <c r="AY238" s="589"/>
      <c r="AZ238" s="589"/>
      <c r="BA238" s="589"/>
      <c r="BB238" s="589"/>
      <c r="BD238" s="60" t="s">
        <v>880</v>
      </c>
      <c r="BE238" s="60" t="s">
        <v>868</v>
      </c>
    </row>
    <row r="239" spans="1:57" s="57" customFormat="1" ht="31.5" customHeight="1" x14ac:dyDescent="0.25">
      <c r="A239" s="63">
        <f>IF(D239="","",SUBTOTAL(3,$D$8:D239))</f>
        <v>201</v>
      </c>
      <c r="B239" s="63" t="s">
        <v>30</v>
      </c>
      <c r="C239" s="10" t="s">
        <v>495</v>
      </c>
      <c r="D239" s="89" t="s">
        <v>496</v>
      </c>
      <c r="E239" s="652"/>
      <c r="F239" s="652"/>
      <c r="G239" s="282" t="str">
        <f t="shared" si="73"/>
        <v>A3</v>
      </c>
      <c r="H239" s="234"/>
      <c r="I239" s="234"/>
      <c r="J239" s="737" t="s">
        <v>1036</v>
      </c>
      <c r="K239" s="234"/>
      <c r="L239" s="483" t="s">
        <v>85</v>
      </c>
      <c r="M239" s="288"/>
      <c r="N239" s="291">
        <f>IFERROR(VLOOKUP($D239,K.CNTT!$C$10:$AD$30,14,0),0)</f>
        <v>1</v>
      </c>
      <c r="O239" s="291">
        <f>IFERROR(VLOOKUP($D239,K.CNTT!$C$10:$AD$30,27,0),0)</f>
        <v>2</v>
      </c>
      <c r="P239" s="313" t="str">
        <f t="shared" si="72"/>
        <v>A3</v>
      </c>
      <c r="Q239" s="341" t="str">
        <f t="shared" si="74"/>
        <v>A3</v>
      </c>
      <c r="R239" s="347"/>
      <c r="S239" s="668"/>
      <c r="T239" s="668"/>
      <c r="U239" s="176" t="str">
        <f t="shared" si="75"/>
        <v>A3</v>
      </c>
      <c r="V239" s="180">
        <f>R239</f>
        <v>0</v>
      </c>
      <c r="W239" s="330">
        <f>IFERROR(VLOOKUP($D239,K.CNTT!$C$10:$AD$30,15,0),0)</f>
        <v>1</v>
      </c>
      <c r="X239" s="330">
        <f>IFERROR(VLOOKUP($D239,K.CNTT!$C$10:$AD$30,28,0),0)</f>
        <v>2</v>
      </c>
      <c r="Y239" s="89"/>
      <c r="Z239" s="859"/>
      <c r="AA239" s="857"/>
      <c r="AB239" s="492"/>
      <c r="AC239" s="722"/>
      <c r="AD239" s="213"/>
      <c r="AE239" s="60" t="str">
        <f t="shared" si="71"/>
        <v>A3</v>
      </c>
      <c r="AF239" s="60"/>
      <c r="AG239" s="60"/>
      <c r="AH239" s="542"/>
      <c r="AI239" s="542"/>
      <c r="AK239" s="589"/>
      <c r="AL239" s="589"/>
      <c r="AM239" s="589"/>
      <c r="AN239" s="589"/>
      <c r="AO239" s="589"/>
      <c r="AP239" s="589"/>
      <c r="AQ239" s="589"/>
      <c r="AR239" s="589"/>
      <c r="AS239" s="589"/>
      <c r="AT239" s="589"/>
      <c r="AU239" s="589"/>
      <c r="AV239" s="589"/>
      <c r="AW239" s="589"/>
      <c r="AX239" s="589"/>
      <c r="AY239" s="589"/>
      <c r="AZ239" s="589"/>
      <c r="BA239" s="589"/>
      <c r="BB239" s="589"/>
      <c r="BD239" s="60" t="s">
        <v>880</v>
      </c>
      <c r="BE239" s="60" t="s">
        <v>868</v>
      </c>
    </row>
    <row r="240" spans="1:57" s="57" customFormat="1" ht="31.5" customHeight="1" x14ac:dyDescent="0.25">
      <c r="A240" s="63">
        <f>IF(D240="","",SUBTOTAL(3,$D$8:D240))</f>
        <v>202</v>
      </c>
      <c r="B240" s="63" t="s">
        <v>31</v>
      </c>
      <c r="C240" s="10" t="s">
        <v>497</v>
      </c>
      <c r="D240" s="89" t="s">
        <v>498</v>
      </c>
      <c r="E240" s="652"/>
      <c r="F240" s="652"/>
      <c r="G240" s="282" t="str">
        <f t="shared" si="73"/>
        <v>A3</v>
      </c>
      <c r="H240" s="234"/>
      <c r="I240" s="234"/>
      <c r="J240" s="737" t="s">
        <v>1036</v>
      </c>
      <c r="K240" s="234"/>
      <c r="L240" s="483" t="s">
        <v>85</v>
      </c>
      <c r="M240" s="288"/>
      <c r="N240" s="291">
        <f>IFERROR(VLOOKUP($D240,K.CNTT!$C$10:$AD$30,14,0),0)</f>
        <v>2</v>
      </c>
      <c r="O240" s="291">
        <f>IFERROR(VLOOKUP($D240,K.CNTT!$C$10:$AD$30,27,0),0)</f>
        <v>2</v>
      </c>
      <c r="P240" s="313" t="str">
        <f t="shared" si="72"/>
        <v>A3</v>
      </c>
      <c r="Q240" s="1196" t="s">
        <v>84</v>
      </c>
      <c r="R240" s="347"/>
      <c r="S240" s="668"/>
      <c r="T240" s="668"/>
      <c r="U240" s="176" t="str">
        <f t="shared" si="75"/>
        <v>A2</v>
      </c>
      <c r="V240" s="180">
        <f>R240</f>
        <v>0</v>
      </c>
      <c r="W240" s="330">
        <f>IFERROR(VLOOKUP($D240,K.CNTT!$C$10:$AD$30,15,0),0)</f>
        <v>2</v>
      </c>
      <c r="X240" s="330">
        <f>IFERROR(VLOOKUP($D240,K.CNTT!$C$10:$AD$30,28,0),0)</f>
        <v>2</v>
      </c>
      <c r="Y240" s="89"/>
      <c r="Z240" s="859"/>
      <c r="AA240" s="858"/>
      <c r="AB240" s="492" t="s">
        <v>84</v>
      </c>
      <c r="AC240" s="855" t="s">
        <v>1161</v>
      </c>
      <c r="AD240" s="588"/>
      <c r="AE240" s="60" t="str">
        <f t="shared" si="71"/>
        <v>A3</v>
      </c>
      <c r="AF240" s="60"/>
      <c r="AG240" s="60"/>
      <c r="AH240" s="542"/>
      <c r="AI240" s="542"/>
      <c r="AK240" s="589"/>
      <c r="AL240" s="589"/>
      <c r="AM240" s="589"/>
      <c r="AN240" s="589"/>
      <c r="AO240" s="589"/>
      <c r="AP240" s="589"/>
      <c r="AQ240" s="589"/>
      <c r="AR240" s="589"/>
      <c r="AS240" s="589"/>
      <c r="AT240" s="589"/>
      <c r="AU240" s="589"/>
      <c r="AV240" s="589"/>
      <c r="AW240" s="589"/>
      <c r="AX240" s="589"/>
      <c r="AY240" s="589"/>
      <c r="AZ240" s="589"/>
      <c r="BA240" s="589"/>
      <c r="BB240" s="589"/>
      <c r="BD240" s="60" t="s">
        <v>880</v>
      </c>
      <c r="BE240" s="60" t="s">
        <v>868</v>
      </c>
    </row>
    <row r="241" spans="1:59" s="57" customFormat="1" ht="36" customHeight="1" x14ac:dyDescent="0.25">
      <c r="A241" s="63">
        <f>IF(D241="","",SUBTOTAL(3,$D$8:D241))</f>
        <v>203</v>
      </c>
      <c r="B241" s="63" t="s">
        <v>32</v>
      </c>
      <c r="C241" s="10" t="s">
        <v>499</v>
      </c>
      <c r="D241" s="89" t="s">
        <v>500</v>
      </c>
      <c r="E241" s="652"/>
      <c r="F241" s="652"/>
      <c r="G241" s="282" t="str">
        <f t="shared" si="73"/>
        <v>A2</v>
      </c>
      <c r="H241" s="234"/>
      <c r="I241" s="737" t="s">
        <v>966</v>
      </c>
      <c r="J241" s="737" t="s">
        <v>1036</v>
      </c>
      <c r="K241" s="234"/>
      <c r="L241" s="483" t="s">
        <v>85</v>
      </c>
      <c r="M241" s="288"/>
      <c r="N241" s="291">
        <f>IFERROR(VLOOKUP($D241,K.CNTT!$C$10:$AD$30,14,0),0)</f>
        <v>1</v>
      </c>
      <c r="O241" s="291">
        <f>IFERROR(VLOOKUP($D241,K.CNTT!$C$10:$AD$30,27,0),0)</f>
        <v>0</v>
      </c>
      <c r="P241" s="313" t="str">
        <f t="shared" si="72"/>
        <v>A3</v>
      </c>
      <c r="Q241" s="341" t="str">
        <f t="shared" si="74"/>
        <v>A3</v>
      </c>
      <c r="R241" s="331"/>
      <c r="S241" s="681"/>
      <c r="T241" s="681"/>
      <c r="U241" s="176" t="str">
        <f t="shared" si="75"/>
        <v>A3</v>
      </c>
      <c r="V241" s="177"/>
      <c r="W241" s="330">
        <f>IFERROR(VLOOKUP($D241,K.CNTT!$C$10:$AD$30,15,0),0)</f>
        <v>1</v>
      </c>
      <c r="X241" s="330">
        <f>IFERROR(VLOOKUP($D241,K.CNTT!$C$10:$AD$30,28,0),0)</f>
        <v>0</v>
      </c>
      <c r="Y241" s="89"/>
      <c r="Z241" s="857"/>
      <c r="AA241" s="850"/>
      <c r="AB241" s="1093"/>
      <c r="AC241" s="856"/>
      <c r="AD241" s="213"/>
      <c r="AE241" s="60" t="str">
        <f t="shared" si="71"/>
        <v>A3</v>
      </c>
      <c r="AF241" s="60"/>
      <c r="AG241" s="60"/>
      <c r="AH241" s="542"/>
      <c r="AI241" s="542"/>
      <c r="AK241" s="589"/>
      <c r="AL241" s="589"/>
      <c r="AM241" s="589"/>
      <c r="AN241" s="589"/>
      <c r="AO241" s="589"/>
      <c r="AP241" s="589"/>
      <c r="AQ241" s="589"/>
      <c r="AR241" s="589"/>
      <c r="AS241" s="589"/>
      <c r="AT241" s="589"/>
      <c r="AU241" s="589"/>
      <c r="AV241" s="589"/>
      <c r="AW241" s="589"/>
      <c r="AX241" s="589"/>
      <c r="AY241" s="589"/>
      <c r="AZ241" s="589"/>
      <c r="BA241" s="589"/>
      <c r="BB241" s="589"/>
      <c r="BD241" s="60" t="s">
        <v>880</v>
      </c>
      <c r="BE241" s="60" t="s">
        <v>868</v>
      </c>
    </row>
    <row r="242" spans="1:59" s="70" customFormat="1" ht="31.5" customHeight="1" x14ac:dyDescent="0.25">
      <c r="A242" s="63">
        <f>IF(D242="","",SUBTOTAL(3,$D$8:D242))</f>
        <v>204</v>
      </c>
      <c r="B242" s="63" t="s">
        <v>33</v>
      </c>
      <c r="C242" s="79" t="s">
        <v>501</v>
      </c>
      <c r="D242" s="89" t="s">
        <v>502</v>
      </c>
      <c r="E242" s="652"/>
      <c r="F242" s="652"/>
      <c r="G242" s="282" t="str">
        <f>IF($H242&lt;&gt;0,"A1",IF($I242&lt;&gt;0,"A2",IF($J242&lt;&gt;0,"A3","A4")))</f>
        <v>A3</v>
      </c>
      <c r="H242" s="234"/>
      <c r="I242" s="234"/>
      <c r="J242" s="737" t="s">
        <v>1036</v>
      </c>
      <c r="K242" s="234"/>
      <c r="L242" s="483" t="s">
        <v>85</v>
      </c>
      <c r="M242" s="781"/>
      <c r="N242" s="291">
        <f>IFERROR(VLOOKUP($D242,K.CNTT!$C$10:$AD$30,14,0),0)</f>
        <v>1</v>
      </c>
      <c r="O242" s="291">
        <f>IFERROR(VLOOKUP($D242,K.CNTT!$C$10:$AD$30,27,0),0)</f>
        <v>1</v>
      </c>
      <c r="P242" s="313" t="str">
        <f t="shared" si="72"/>
        <v>A3</v>
      </c>
      <c r="Q242" s="341" t="str">
        <f t="shared" si="74"/>
        <v>A3</v>
      </c>
      <c r="R242" s="315"/>
      <c r="S242" s="662"/>
      <c r="T242" s="662"/>
      <c r="U242" s="176" t="str">
        <f>$Q242</f>
        <v>A3</v>
      </c>
      <c r="V242" s="180">
        <f>R242</f>
        <v>0</v>
      </c>
      <c r="W242" s="330">
        <f>IFERROR(VLOOKUP($D242,K.CNTT!$C$10:$AD$30,15,0),0)</f>
        <v>1</v>
      </c>
      <c r="X242" s="330">
        <f>IFERROR(VLOOKUP($D242,K.CNTT!$C$10:$AD$30,28,0),0)</f>
        <v>1</v>
      </c>
      <c r="Y242" s="149"/>
      <c r="Z242" s="842"/>
      <c r="AA242" s="858"/>
      <c r="AB242" s="735"/>
      <c r="AC242" s="736"/>
      <c r="AD242" s="213"/>
      <c r="AE242" s="60" t="str">
        <f>IF($L242=$P242,$L242,FALSE)</f>
        <v>A3</v>
      </c>
      <c r="AF242" s="60"/>
      <c r="AG242" s="60"/>
      <c r="AH242" s="607"/>
      <c r="AI242" s="607"/>
      <c r="AJ242" s="607"/>
      <c r="AK242" s="607"/>
      <c r="BD242" s="60" t="s">
        <v>880</v>
      </c>
      <c r="BE242" s="60" t="s">
        <v>868</v>
      </c>
    </row>
    <row r="243" spans="1:59" s="1134" customFormat="1" ht="34.5" customHeight="1" x14ac:dyDescent="0.25">
      <c r="A243" s="63">
        <f>IF(D243="","",SUBTOTAL(3,$D$8:D243))</f>
        <v>205</v>
      </c>
      <c r="B243" s="898"/>
      <c r="C243" s="953" t="s">
        <v>1092</v>
      </c>
      <c r="D243" s="89" t="s">
        <v>1093</v>
      </c>
      <c r="E243" s="900"/>
      <c r="F243" s="900"/>
      <c r="G243" s="282" t="str">
        <f>IF($H243&lt;&gt;0,"A1",IF($I243&lt;&gt;0,"A2",IF($J243&lt;&gt;0,"A3","A4")))</f>
        <v>A4</v>
      </c>
      <c r="H243" s="900"/>
      <c r="I243" s="901"/>
      <c r="J243" s="901"/>
      <c r="K243" s="900"/>
      <c r="L243" s="483" t="s">
        <v>83</v>
      </c>
      <c r="M243" s="902"/>
      <c r="N243" s="291">
        <f>IFERROR(VLOOKUP($D243,K.CNTT!$C$10:$AD$30,14,0),0)</f>
        <v>1</v>
      </c>
      <c r="O243" s="291">
        <f>IFERROR(VLOOKUP($D243,K.CNTT!$C$10:$AD$30,27,0),0)</f>
        <v>2</v>
      </c>
      <c r="P243" s="313" t="str">
        <f t="shared" ref="P243" si="76">IF(AND($W243&gt;=2,$X243&gt;=3,H243&lt;&gt;0),"A1",IF(AND($W243&gt;=3,$X243&gt;=1,H243&lt;&gt;0),"A1",IF(AND($W243&gt;=2,$X243&gt;=2,I243&lt;&gt;0),"A2",IF(AND($W243&gt;=3,$X243&gt;=0,I243&lt;&gt;0),"A2",IF(AND(OR($W243&gt;=1,$X243&gt;=2),J243&lt;&gt;0),"A3","A4")))))</f>
        <v>A4</v>
      </c>
      <c r="Q243" s="1196" t="s">
        <v>85</v>
      </c>
      <c r="R243" s="903"/>
      <c r="S243" s="904"/>
      <c r="T243" s="904"/>
      <c r="U243" s="176" t="str">
        <f>$Q243</f>
        <v>A3</v>
      </c>
      <c r="V243" s="905"/>
      <c r="W243" s="330">
        <f>IFERROR(VLOOKUP($D243,K.CNTT!$C$10:$AD$30,15,0),0)</f>
        <v>1</v>
      </c>
      <c r="X243" s="330">
        <f>IFERROR(VLOOKUP($D243,K.CNTT!$C$10:$AD$30,28,0),0)</f>
        <v>2</v>
      </c>
      <c r="Y243" s="899"/>
      <c r="Z243" s="906"/>
      <c r="AA243" s="907"/>
      <c r="AB243" s="492" t="s">
        <v>85</v>
      </c>
      <c r="AC243" s="855" t="s">
        <v>1161</v>
      </c>
      <c r="AD243" s="908"/>
      <c r="AE243" s="60" t="str">
        <f>IF($L243=$P243,$L243,FALSE)</f>
        <v>A4</v>
      </c>
      <c r="AF243" s="60"/>
      <c r="AG243" s="60"/>
      <c r="BD243" s="60" t="s">
        <v>880</v>
      </c>
      <c r="BE243" s="60" t="s">
        <v>868</v>
      </c>
    </row>
    <row r="244" spans="1:59" s="870" customFormat="1" ht="34.5" customHeight="1" x14ac:dyDescent="0.25">
      <c r="A244" s="63">
        <f>IF(D244="","",SUBTOTAL(3,$D$8:D244))</f>
        <v>206</v>
      </c>
      <c r="B244" s="898"/>
      <c r="C244" s="1172" t="s">
        <v>1121</v>
      </c>
      <c r="D244" s="1173" t="s">
        <v>1140</v>
      </c>
      <c r="E244" s="900"/>
      <c r="F244" s="900"/>
      <c r="G244" s="282" t="str">
        <f>IF($H244&lt;&gt;0,"A1",IF($I244&lt;&gt;0,"A2",IF($J244&lt;&gt;0,"A3","A4")))</f>
        <v>A4</v>
      </c>
      <c r="H244" s="900"/>
      <c r="I244" s="901"/>
      <c r="J244" s="901"/>
      <c r="K244" s="900"/>
      <c r="L244" s="483" t="s">
        <v>83</v>
      </c>
      <c r="M244" s="902"/>
      <c r="N244" s="291">
        <f>IFERROR(VLOOKUP($D244,K.CNTT!$C$10:$AD$30,14,0),0)</f>
        <v>0</v>
      </c>
      <c r="O244" s="291">
        <f>IFERROR(VLOOKUP($D244,K.CNTT!$C$10:$AD$30,27,0),0)</f>
        <v>1</v>
      </c>
      <c r="P244" s="313" t="str">
        <f t="shared" si="72"/>
        <v>A4</v>
      </c>
      <c r="Q244" s="341" t="str">
        <f t="shared" si="74"/>
        <v>A4</v>
      </c>
      <c r="R244" s="903"/>
      <c r="S244" s="904"/>
      <c r="T244" s="904"/>
      <c r="U244" s="176" t="str">
        <f>$Q244</f>
        <v>A4</v>
      </c>
      <c r="V244" s="905"/>
      <c r="W244" s="330">
        <f>IFERROR(VLOOKUP($D244,K.CNTT!$C$10:$AD$30,15,0),0)</f>
        <v>0</v>
      </c>
      <c r="X244" s="330">
        <f>IFERROR(VLOOKUP($D244,K.CNTT!$C$10:$AD$30,28,0),0)</f>
        <v>1</v>
      </c>
      <c r="Y244" s="899"/>
      <c r="Z244" s="906"/>
      <c r="AA244" s="907"/>
      <c r="AB244" s="1094"/>
      <c r="AC244" s="731"/>
      <c r="AD244" s="908"/>
      <c r="AE244" s="60" t="str">
        <f>IF($L244=$P244,$L244,FALSE)</f>
        <v>A4</v>
      </c>
      <c r="AF244" s="60"/>
      <c r="AG244" s="60"/>
      <c r="BD244" s="60" t="s">
        <v>880</v>
      </c>
      <c r="BE244" s="60" t="s">
        <v>868</v>
      </c>
    </row>
    <row r="245" spans="1:59" ht="51" customHeight="1" x14ac:dyDescent="0.25">
      <c r="A245" s="62" t="s">
        <v>733</v>
      </c>
      <c r="B245" s="62" t="s">
        <v>732</v>
      </c>
      <c r="C245" s="64" t="s">
        <v>554</v>
      </c>
      <c r="D245" s="62"/>
      <c r="E245" s="652"/>
      <c r="F245" s="652"/>
      <c r="G245" s="280">
        <f>G246+G273</f>
        <v>27</v>
      </c>
      <c r="H245" s="234"/>
      <c r="I245" s="234"/>
      <c r="J245" s="234"/>
      <c r="K245" s="234"/>
      <c r="L245" s="500">
        <f>L246+L273</f>
        <v>27</v>
      </c>
      <c r="M245" s="286" t="str">
        <f>(COUNTIF($L$247:$L$274,"A1")&amp;"A1")&amp;" + "&amp;(COUNTIF($L$247:$L$274,"A2")&amp;"A2")&amp;" + "&amp;(COUNTIF($L$247:$L$274,"A3")&amp;"A3")&amp;" + "&amp;(COUNTIF($L$247:$L$274,"A4")&amp;"A4")&amp;" + "&amp;(COUNTIF($L$247:$L$274,"B1")&amp;"B1")&amp;" + "&amp;(COUNTIF($L$247:$L$274,"B2")&amp;"B2")&amp;" + "&amp;(COUNTIF($L$247:$L$274,"C1")&amp;"C1")</f>
        <v>2A1 + 0A2 + 5A3 + 19A4 + 0B1 + 0B2 + 1C1</v>
      </c>
      <c r="N245" s="500"/>
      <c r="O245" s="500"/>
      <c r="P245" s="311">
        <f>$Q$246+$Q$273</f>
        <v>27</v>
      </c>
      <c r="Q245" s="340">
        <f>$Q$246+$Q$273</f>
        <v>27</v>
      </c>
      <c r="R245" s="312" t="str">
        <f>(COUNTIF($Q$247:$Q$274,"A1")&amp;"A1")&amp;" + "&amp;(COUNTIF($Q$247:$Q$274,"A2")&amp;"A2")&amp;" + "&amp;(COUNTIF($Q$247:$Q$274,"A3")&amp;"A3")&amp;" + "&amp;(COUNTIF($Q$247:$Q$274,"A4")&amp;"A4")&amp;" + "&amp;(COUNTIF($Q$247:$Q$274,"B1")&amp;"B1")&amp;" + "&amp;(COUNTIF($Q$247:$Q$274,"B2")&amp;"B2")&amp;" + "&amp;(COUNTIF($Q$247:$Q$274,"C2")&amp;"C2")</f>
        <v>2A1 + 0A2 + 4A3 + 20A4 + 1B1 + 0B2 + 0C2</v>
      </c>
      <c r="S245" s="661"/>
      <c r="T245" s="661"/>
      <c r="U245" s="174">
        <f>U246+U273</f>
        <v>27</v>
      </c>
      <c r="V245" s="175" t="str">
        <f>(COUNTIF($U$247:$U$274,"A1")&amp;"A1")&amp;" + "&amp;(COUNTIF($U$247:$U$274,"A2")&amp;"A2")&amp;" + "&amp;(COUNTIF($U$247:$U$274,"A3")&amp;"A3")&amp;" + "&amp;(COUNTIF($U$247:$U$274,"A4")&amp;"A4")&amp;" + "&amp;(COUNTIF($U$247:$U$274,"B1")&amp;"B1")&amp;" + "&amp;(COUNTIF($U$247:$U$274,"B2")&amp;"B2")&amp;" + "&amp;(COUNTIF($U$247:$U$274,"C1")&amp;"C1")&amp;" + "&amp;(COUNTIF($U$247:$U$274,"C2")&amp;"C2")</f>
        <v>2A1 + 0A2 + 4A3 + 20A4 + 1B1 + 0B2 + 0C1 + 0C2</v>
      </c>
      <c r="W245" s="501"/>
      <c r="X245" s="501"/>
      <c r="Y245" s="556"/>
      <c r="Z245" s="862"/>
      <c r="AA245" s="862"/>
      <c r="AB245" s="242"/>
      <c r="AC245" s="1353"/>
      <c r="AD245" s="219"/>
      <c r="AE245" s="60"/>
      <c r="AF245" s="60"/>
      <c r="AG245" s="607"/>
      <c r="AH245" s="608"/>
      <c r="AI245" s="608"/>
      <c r="AK245" s="1327" t="s">
        <v>906</v>
      </c>
      <c r="AL245" s="1327"/>
      <c r="AM245" s="1327"/>
      <c r="AN245" s="1327"/>
      <c r="AO245" s="1327"/>
      <c r="AP245" s="1327"/>
      <c r="AQ245" s="1327"/>
      <c r="AR245" s="1327"/>
      <c r="AS245" s="1327"/>
      <c r="AT245" s="1327"/>
      <c r="AU245" s="1327"/>
      <c r="AV245" s="1327"/>
      <c r="AW245" s="1327"/>
      <c r="AX245" s="1327"/>
      <c r="AY245" s="1327"/>
      <c r="AZ245" s="1327"/>
      <c r="BA245" s="1327"/>
      <c r="BB245" s="1327"/>
      <c r="BF245" s="60">
        <f>COUNTIF($BE247:$BE274,"CBQL")</f>
        <v>2</v>
      </c>
      <c r="BG245" s="60">
        <f>COUNTIF($BE247:$BE274,"GV") + COUNTIF($BE247:$BE274,"NV")</f>
        <v>25</v>
      </c>
    </row>
    <row r="246" spans="1:59" s="57" customFormat="1" ht="49.5" customHeight="1" x14ac:dyDescent="0.25">
      <c r="A246" s="65" t="s">
        <v>45</v>
      </c>
      <c r="B246" s="65" t="s">
        <v>45</v>
      </c>
      <c r="C246" s="66" t="s">
        <v>46</v>
      </c>
      <c r="D246" s="65"/>
      <c r="E246" s="652"/>
      <c r="F246" s="652"/>
      <c r="G246" s="280">
        <f>COUNTA($L247:$L272)</f>
        <v>26</v>
      </c>
      <c r="H246" s="234"/>
      <c r="I246" s="234"/>
      <c r="J246" s="234"/>
      <c r="K246" s="234"/>
      <c r="L246" s="500">
        <f>COUNTA($L247:$L272)</f>
        <v>26</v>
      </c>
      <c r="M246" s="286" t="str">
        <f>(COUNTIF($L$247:$L$274,"A1")&amp;"A1")&amp;" + "&amp;(COUNTIF($L$247:$L$274,"A2")&amp;"A2")&amp;" + "&amp;(COUNTIF($L$247:$L$274,"A3")&amp;"A3")&amp;" + "&amp;(COUNTIF($L$247:$L$274,"A4")&amp;"A4")&amp;" + "&amp;(COUNTIF($L$247:$L$274,"B1")&amp;"B1")&amp;" + "&amp;(COUNTIF($L$247:$L$274,"B2")&amp;"B2")&amp;" + "&amp;(COUNTIF($L$247:$L$274,"C1")&amp;"C1")</f>
        <v>2A1 + 0A2 + 5A3 + 19A4 + 0B1 + 0B2 + 1C1</v>
      </c>
      <c r="N246" s="500"/>
      <c r="O246" s="500"/>
      <c r="P246" s="311">
        <f>COUNTA($Q$247:$Q$272)</f>
        <v>26</v>
      </c>
      <c r="Q246" s="340">
        <f>COUNTA($Q$247:$Q$272)</f>
        <v>26</v>
      </c>
      <c r="R246" s="312" t="str">
        <f>(COUNTIF($Q$247:$Q$272,"A1")&amp;"A1")&amp;" + "&amp;(COUNTIF($Q$247:$Q$272,"A2")&amp;"A2")&amp;" + "&amp;(COUNTIF($Q$247:$Q$272,"A3")&amp;"A3")&amp;" + "&amp;(COUNTIF($Q$247:$Q$272,"A4")&amp;"A4")&amp;" + "&amp;(COUNTIF($Q$247:$Q$272,"B1")&amp;"B1")&amp;" + "&amp;(COUNTIF($Q$247:$Q$272,"B2")&amp;"B2")&amp;" + "&amp;(COUNTIF($Q$247:$Q$272,"C2")&amp;"C2")</f>
        <v>1A1 + 0A2 + 4A3 + 20A4 + 1B1 + 0B2 + 0C2</v>
      </c>
      <c r="S246" s="661"/>
      <c r="T246" s="661"/>
      <c r="U246" s="174">
        <f>COUNTA($U247:$U272)</f>
        <v>26</v>
      </c>
      <c r="V246" s="175" t="str">
        <f>(COUNTIF($U$247:$U$272,"A1")&amp;"A1")&amp;" + "&amp;(COUNTIF($U$247:$U$272,"A2")&amp;"A2")&amp;" + "&amp;(COUNTIF($U$247:$U$272,"A3")&amp;"A3")&amp;" + "&amp;(COUNTIF($U$247:$U$272,"A4")&amp;"A4")&amp;" + "&amp;(COUNTIF($U$247:$U$272,"B1")&amp;"B1")&amp;" + "&amp;(COUNTIF($U$247:$U$272,"B2")&amp;"B2")&amp;" + "&amp;(COUNTIF($U$247:$U$272,"C1")&amp;"C1")&amp;" + "&amp;(COUNTIF($U$247:$U$272,"C2")&amp;"C2")</f>
        <v>1A1 + 0A2 + 4A3 + 20A4 + 1B1 + 0B2 + 0C1 + 0C2</v>
      </c>
      <c r="W246" s="501"/>
      <c r="X246" s="501"/>
      <c r="Y246" s="556"/>
      <c r="Z246" s="862"/>
      <c r="AA246" s="862"/>
      <c r="AB246" s="242"/>
      <c r="AC246" s="1354"/>
      <c r="AD246" s="213"/>
      <c r="AE246" s="60"/>
      <c r="AF246" s="60"/>
      <c r="AG246" s="1328" t="s">
        <v>915</v>
      </c>
      <c r="AH246" s="1328"/>
      <c r="AI246" s="1328"/>
      <c r="AJ246" s="59"/>
      <c r="AK246" s="598" t="s">
        <v>926</v>
      </c>
      <c r="AL246" s="598" t="s">
        <v>907</v>
      </c>
      <c r="AM246" s="1329" t="s">
        <v>897</v>
      </c>
      <c r="AN246" s="1329"/>
      <c r="AO246" s="1329" t="s">
        <v>898</v>
      </c>
      <c r="AP246" s="1329"/>
      <c r="AQ246" s="1329" t="s">
        <v>899</v>
      </c>
      <c r="AR246" s="1329"/>
      <c r="AS246" s="1329" t="s">
        <v>900</v>
      </c>
      <c r="AT246" s="1329"/>
      <c r="AU246" s="1329" t="s">
        <v>902</v>
      </c>
      <c r="AV246" s="1329"/>
      <c r="AW246" s="1329" t="s">
        <v>903</v>
      </c>
      <c r="AX246" s="1329"/>
      <c r="AY246" s="1329" t="s">
        <v>904</v>
      </c>
      <c r="AZ246" s="1329"/>
      <c r="BA246" s="1329" t="s">
        <v>905</v>
      </c>
      <c r="BB246" s="1329"/>
      <c r="BD246" s="60"/>
      <c r="BE246" s="60"/>
    </row>
    <row r="247" spans="1:59" s="57" customFormat="1" ht="48.75" customHeight="1" x14ac:dyDescent="0.25">
      <c r="A247" s="63">
        <f>IF(D247="","",SUBTOTAL(3,$D$8:D247))</f>
        <v>207</v>
      </c>
      <c r="B247" s="63" t="s">
        <v>5</v>
      </c>
      <c r="C247" s="220" t="s">
        <v>334</v>
      </c>
      <c r="D247" s="185" t="s">
        <v>594</v>
      </c>
      <c r="E247" s="691" t="s">
        <v>949</v>
      </c>
      <c r="F247" s="691" t="s">
        <v>950</v>
      </c>
      <c r="G247" s="282" t="str">
        <f t="shared" ref="G247:G274" si="77">IF($H247&lt;&gt;0,"A1",IF($I247&lt;&gt;0,"A2",IF($J247&lt;&gt;0,"A3","A4")))</f>
        <v>A1</v>
      </c>
      <c r="H247" s="737" t="s">
        <v>1039</v>
      </c>
      <c r="I247" s="737" t="s">
        <v>1060</v>
      </c>
      <c r="J247" s="737" t="s">
        <v>1040</v>
      </c>
      <c r="K247" s="234"/>
      <c r="L247" s="308" t="s">
        <v>82</v>
      </c>
      <c r="M247" s="307" t="s">
        <v>1189</v>
      </c>
      <c r="N247" s="291">
        <f>IFERROR(VLOOKUP($D247,'K.ĐỘNG LỰC'!$C$10:$AB$37,14,0),0)</f>
        <v>4</v>
      </c>
      <c r="O247" s="291">
        <f>IFERROR(VLOOKUP($D247,'K.ĐỘNG LỰC'!$C$10:$AB$37,25,0),0)</f>
        <v>2</v>
      </c>
      <c r="P247" s="313" t="str">
        <f t="shared" ref="P247:P269" si="78">IF(AND($W247&gt;=2,$X247&gt;=3,H247&lt;&gt;0),"A1",IF(AND($W247&gt;=3,$X247&gt;=1,H247&lt;&gt;0),"A1",IF(AND($W247&gt;=2,$X247&gt;=2,I247&lt;&gt;0),"A2",IF(AND($W247&gt;=3,$X247&gt;=0,I247&lt;&gt;0),"A2",IF(AND(OR($W247&gt;=1,$X247&gt;=2),J247&lt;&gt;0),"A3","A4")))))</f>
        <v>A1</v>
      </c>
      <c r="Q247" s="341" t="str">
        <f t="shared" ref="Q247:Q269" si="79">P247</f>
        <v>A1</v>
      </c>
      <c r="R247" s="317"/>
      <c r="S247" s="691" t="s">
        <v>949</v>
      </c>
      <c r="T247" s="691" t="s">
        <v>950</v>
      </c>
      <c r="U247" s="176" t="str">
        <f t="shared" ref="U247:U274" si="80">$Q247</f>
        <v>A1</v>
      </c>
      <c r="V247" s="178"/>
      <c r="W247" s="330">
        <f>IFERROR(VLOOKUP($D247,'K.ĐỘNG LỰC'!$C$10:$AB$37,15,0),0)</f>
        <v>4</v>
      </c>
      <c r="X247" s="330">
        <f>IFERROR(VLOOKUP($D247,'K.ĐỘNG LỰC'!$C$10:$AB$37,26,0),0)</f>
        <v>2</v>
      </c>
      <c r="Y247" s="89"/>
      <c r="Z247" s="857"/>
      <c r="AA247" s="857"/>
      <c r="AB247" s="242"/>
      <c r="AC247" s="250"/>
      <c r="AD247" s="213"/>
      <c r="AE247" s="60" t="str">
        <f t="shared" si="71"/>
        <v>A1</v>
      </c>
      <c r="AF247" s="60"/>
      <c r="AG247" s="592" t="s">
        <v>845</v>
      </c>
      <c r="AH247" s="592"/>
      <c r="AI247" s="605">
        <f>AH247/$L245</f>
        <v>0</v>
      </c>
      <c r="AJ247" s="589"/>
      <c r="AK247" s="594"/>
      <c r="AL247" s="595">
        <f>AL248+AL249</f>
        <v>27</v>
      </c>
      <c r="AM247" s="596" t="s">
        <v>896</v>
      </c>
      <c r="AN247" s="596" t="s">
        <v>844</v>
      </c>
      <c r="AO247" s="596" t="s">
        <v>896</v>
      </c>
      <c r="AP247" s="596" t="s">
        <v>844</v>
      </c>
      <c r="AQ247" s="596" t="s">
        <v>896</v>
      </c>
      <c r="AR247" s="596" t="s">
        <v>844</v>
      </c>
      <c r="AS247" s="596" t="s">
        <v>896</v>
      </c>
      <c r="AT247" s="596" t="s">
        <v>844</v>
      </c>
      <c r="AU247" s="596" t="s">
        <v>896</v>
      </c>
      <c r="AV247" s="596" t="s">
        <v>844</v>
      </c>
      <c r="AW247" s="596" t="s">
        <v>896</v>
      </c>
      <c r="AX247" s="596" t="s">
        <v>844</v>
      </c>
      <c r="AY247" s="596" t="s">
        <v>896</v>
      </c>
      <c r="AZ247" s="596" t="s">
        <v>844</v>
      </c>
      <c r="BA247" s="596" t="s">
        <v>896</v>
      </c>
      <c r="BB247" s="596" t="s">
        <v>844</v>
      </c>
      <c r="BD247" s="60" t="s">
        <v>881</v>
      </c>
      <c r="BE247" s="60" t="s">
        <v>866</v>
      </c>
    </row>
    <row r="248" spans="1:59" s="60" customFormat="1" ht="50.25" customHeight="1" x14ac:dyDescent="0.25">
      <c r="A248" s="63">
        <f>IF(D248="","",SUBTOTAL(3,$D$8:D248))</f>
        <v>208</v>
      </c>
      <c r="B248" s="63" t="s">
        <v>6</v>
      </c>
      <c r="C248" s="220" t="s">
        <v>335</v>
      </c>
      <c r="D248" s="185" t="s">
        <v>595</v>
      </c>
      <c r="E248" s="692">
        <f>COUNTIF($L249:$L274,"A1")</f>
        <v>1</v>
      </c>
      <c r="F248" s="692">
        <f>COUNTIF($L249:$L274,"A2")</f>
        <v>0</v>
      </c>
      <c r="G248" s="282" t="str">
        <f t="shared" si="77"/>
        <v>A1</v>
      </c>
      <c r="H248" s="737" t="s">
        <v>1025</v>
      </c>
      <c r="I248" s="737" t="s">
        <v>1026</v>
      </c>
      <c r="J248" s="737" t="s">
        <v>954</v>
      </c>
      <c r="K248" s="234"/>
      <c r="L248" s="483" t="s">
        <v>85</v>
      </c>
      <c r="M248" s="1279" t="s">
        <v>1150</v>
      </c>
      <c r="N248" s="291">
        <f>IFERROR(VLOOKUP($D248,'P.TTGD-CTSV'!$C$10:$AE$24,14,0),0)</f>
        <v>0</v>
      </c>
      <c r="O248" s="291">
        <f>IFERROR(VLOOKUP($D248,'P.TTGD-CTSV'!$C$10:$AE$24,28,0),0)</f>
        <v>0</v>
      </c>
      <c r="P248" s="313" t="str">
        <f t="shared" si="78"/>
        <v>A3</v>
      </c>
      <c r="Q248" s="1196" t="s">
        <v>83</v>
      </c>
      <c r="R248" s="317"/>
      <c r="S248" s="692">
        <f>COUNTIF($U249:$U274,"A1")</f>
        <v>1</v>
      </c>
      <c r="T248" s="692">
        <f>COUNTIF($U249:$U274,"A2")</f>
        <v>0</v>
      </c>
      <c r="U248" s="176" t="str">
        <f t="shared" si="80"/>
        <v>A4</v>
      </c>
      <c r="V248" s="178"/>
      <c r="W248" s="330">
        <f>IFERROR(VLOOKUP($D248,'K.ĐỘNG LỰC'!$C$10:$AB$37,15,0),0)</f>
        <v>0</v>
      </c>
      <c r="X248" s="330">
        <f>IFERROR(VLOOKUP($D248,'K.ĐỘNG LỰC'!$C$10:$AB$37,26,0),0)</f>
        <v>2</v>
      </c>
      <c r="Y248" s="89"/>
      <c r="Z248" s="3"/>
      <c r="AA248" s="3"/>
      <c r="AB248" s="242"/>
      <c r="AC248" s="250"/>
      <c r="AD248" s="213"/>
      <c r="AE248" s="60" t="str">
        <f t="shared" si="71"/>
        <v>A3</v>
      </c>
      <c r="AG248" s="592" t="s">
        <v>846</v>
      </c>
      <c r="AH248" s="592"/>
      <c r="AI248" s="605">
        <f>AH248/$L245</f>
        <v>0</v>
      </c>
      <c r="AJ248" s="589"/>
      <c r="AK248" s="597" t="s">
        <v>864</v>
      </c>
      <c r="AL248" s="595">
        <f>COUNTIF($BE247:$BE274,"CBQL")</f>
        <v>2</v>
      </c>
      <c r="AM248" s="595">
        <f>COUNTIF($U247:$U248,"A1")</f>
        <v>1</v>
      </c>
      <c r="AN248" s="611">
        <f>AM248/$AL$248</f>
        <v>0.5</v>
      </c>
      <c r="AO248" s="595">
        <f>COUNTIF($U247:$U248,"A2")</f>
        <v>0</v>
      </c>
      <c r="AP248" s="611">
        <f>AO248/$AL$248</f>
        <v>0</v>
      </c>
      <c r="AQ248" s="595">
        <f>COUNTIF($U247:$U248,"A3")</f>
        <v>0</v>
      </c>
      <c r="AR248" s="611">
        <f>AQ248/$AL$248</f>
        <v>0</v>
      </c>
      <c r="AS248" s="595">
        <f>COUNTIF($U247:$U248,"A4")</f>
        <v>1</v>
      </c>
      <c r="AT248" s="611">
        <f>AS248/$AL$248</f>
        <v>0.5</v>
      </c>
      <c r="AU248" s="595"/>
      <c r="AV248" s="595"/>
      <c r="AW248" s="595"/>
      <c r="AX248" s="595"/>
      <c r="AY248" s="595"/>
      <c r="AZ248" s="595"/>
      <c r="BA248" s="595"/>
      <c r="BB248" s="595"/>
      <c r="BD248" s="60" t="s">
        <v>881</v>
      </c>
      <c r="BE248" s="60" t="s">
        <v>866</v>
      </c>
    </row>
    <row r="249" spans="1:59" s="60" customFormat="1" ht="33" customHeight="1" x14ac:dyDescent="0.25">
      <c r="A249" s="63">
        <f>IF(D249="","",SUBTOTAL(3,$D$8:D249))</f>
        <v>209</v>
      </c>
      <c r="B249" s="63" t="s">
        <v>10</v>
      </c>
      <c r="C249" s="220" t="s">
        <v>336</v>
      </c>
      <c r="D249" s="185" t="s">
        <v>649</v>
      </c>
      <c r="E249" s="693">
        <f>E248/$AL$249</f>
        <v>0.04</v>
      </c>
      <c r="F249" s="693">
        <f>F248/$AL$249</f>
        <v>0</v>
      </c>
      <c r="G249" s="282" t="str">
        <f t="shared" si="77"/>
        <v>A1</v>
      </c>
      <c r="H249" s="737" t="s">
        <v>1030</v>
      </c>
      <c r="I249" s="737" t="s">
        <v>967</v>
      </c>
      <c r="J249" s="737" t="s">
        <v>1040</v>
      </c>
      <c r="K249" s="239"/>
      <c r="L249" s="308" t="s">
        <v>83</v>
      </c>
      <c r="M249" s="290"/>
      <c r="N249" s="291">
        <f>IFERROR(VLOOKUP($D249,'K.ĐỘNG LỰC'!$C$10:$AB$37,14,0),0)</f>
        <v>0</v>
      </c>
      <c r="O249" s="291">
        <f>IFERROR(VLOOKUP($D249,'K.ĐỘNG LỰC'!$C$10:$AB$37,25,0),0)</f>
        <v>0</v>
      </c>
      <c r="P249" s="313" t="str">
        <f t="shared" si="78"/>
        <v>A4</v>
      </c>
      <c r="Q249" s="341" t="str">
        <f t="shared" si="79"/>
        <v>A4</v>
      </c>
      <c r="R249" s="317"/>
      <c r="S249" s="693">
        <f>S248/$AL$249</f>
        <v>0.04</v>
      </c>
      <c r="T249" s="693">
        <f>T248/$AL$249</f>
        <v>0</v>
      </c>
      <c r="U249" s="176" t="str">
        <f t="shared" si="80"/>
        <v>A4</v>
      </c>
      <c r="V249" s="178"/>
      <c r="W249" s="330">
        <f>IFERROR(VLOOKUP($D249,'K.ĐỘNG LỰC'!$C$10:$AB$37,15,0),0)</f>
        <v>0</v>
      </c>
      <c r="X249" s="330">
        <f>IFERROR(VLOOKUP($D249,'K.ĐỘNG LỰC'!$C$10:$AB$37,26,0),0)</f>
        <v>0</v>
      </c>
      <c r="Y249" s="89"/>
      <c r="Z249" s="68"/>
      <c r="AA249" s="68"/>
      <c r="AB249" s="242"/>
      <c r="AC249" s="250"/>
      <c r="AD249" s="213"/>
      <c r="AE249" s="60" t="str">
        <f t="shared" si="71"/>
        <v>A4</v>
      </c>
      <c r="AG249" s="592"/>
      <c r="AH249" s="591">
        <f>AH247+AH248</f>
        <v>0</v>
      </c>
      <c r="AI249" s="606">
        <f>AI247+AI248</f>
        <v>0</v>
      </c>
      <c r="AJ249" s="589"/>
      <c r="AK249" s="597" t="s">
        <v>865</v>
      </c>
      <c r="AL249" s="595">
        <f>COUNTIF($BE247:$BE274,"GV") + COUNTIF($BE247:$BE274,"NV")</f>
        <v>25</v>
      </c>
      <c r="AM249" s="595">
        <f>COUNTIF($U249:$U274,"A1")</f>
        <v>1</v>
      </c>
      <c r="AN249" s="611">
        <f>AM249/$AL$249</f>
        <v>0.04</v>
      </c>
      <c r="AO249" s="595">
        <f>COUNTIF($U249:$U274,"A2")</f>
        <v>0</v>
      </c>
      <c r="AP249" s="611">
        <f>AO249/$AL$249</f>
        <v>0</v>
      </c>
      <c r="AQ249" s="595">
        <f>COUNTIF($U249:$U274,"A3")</f>
        <v>4</v>
      </c>
      <c r="AR249" s="611">
        <f>AQ249/$AL$249</f>
        <v>0.16</v>
      </c>
      <c r="AS249" s="595">
        <f>COUNTIF($U249:$U274,"A4")</f>
        <v>19</v>
      </c>
      <c r="AT249" s="611">
        <f>AS249/$AL$249</f>
        <v>0.76</v>
      </c>
      <c r="AU249" s="595"/>
      <c r="AV249" s="595"/>
      <c r="AW249" s="595"/>
      <c r="AX249" s="595"/>
      <c r="AY249" s="595"/>
      <c r="AZ249" s="595"/>
      <c r="BA249" s="595"/>
      <c r="BB249" s="595"/>
      <c r="BD249" s="60" t="s">
        <v>881</v>
      </c>
      <c r="BE249" s="60" t="s">
        <v>868</v>
      </c>
    </row>
    <row r="250" spans="1:59" s="57" customFormat="1" ht="33" customHeight="1" x14ac:dyDescent="0.25">
      <c r="A250" s="63">
        <f>IF(D250="","",SUBTOTAL(3,$D$8:D250))</f>
        <v>210</v>
      </c>
      <c r="B250" s="63" t="s">
        <v>11</v>
      </c>
      <c r="C250" s="220" t="s">
        <v>337</v>
      </c>
      <c r="D250" s="185" t="s">
        <v>650</v>
      </c>
      <c r="E250" s="652"/>
      <c r="F250" s="652"/>
      <c r="G250" s="282" t="str">
        <f t="shared" si="77"/>
        <v>A1</v>
      </c>
      <c r="H250" s="737" t="s">
        <v>1028</v>
      </c>
      <c r="I250" s="737" t="s">
        <v>958</v>
      </c>
      <c r="J250" s="737" t="s">
        <v>954</v>
      </c>
      <c r="K250" s="234"/>
      <c r="L250" s="308" t="s">
        <v>83</v>
      </c>
      <c r="M250" s="288"/>
      <c r="N250" s="291">
        <f>IFERROR(VLOOKUP($D250,'K.ĐỘNG LỰC'!$C$10:$AB$37,14,0),0)</f>
        <v>0</v>
      </c>
      <c r="O250" s="291">
        <f>IFERROR(VLOOKUP($D250,'K.ĐỘNG LỰC'!$C$10:$AB$37,25,0),0)</f>
        <v>1</v>
      </c>
      <c r="P250" s="313" t="str">
        <f t="shared" si="78"/>
        <v>A4</v>
      </c>
      <c r="Q250" s="341" t="str">
        <f t="shared" si="79"/>
        <v>A4</v>
      </c>
      <c r="R250" s="317"/>
      <c r="S250" s="664"/>
      <c r="T250" s="664"/>
      <c r="U250" s="176" t="str">
        <f t="shared" si="80"/>
        <v>A4</v>
      </c>
      <c r="V250" s="178"/>
      <c r="W250" s="330">
        <f>IFERROR(VLOOKUP($D250,'K.ĐỘNG LỰC'!$C$10:$AB$37,15,0),0)</f>
        <v>0</v>
      </c>
      <c r="X250" s="330">
        <f>IFERROR(VLOOKUP($D250,'K.ĐỘNG LỰC'!$C$10:$AB$37,26,0),0)</f>
        <v>1</v>
      </c>
      <c r="Y250" s="89"/>
      <c r="Z250" s="864"/>
      <c r="AA250" s="857"/>
      <c r="AB250" s="228"/>
      <c r="AC250" s="775"/>
      <c r="AD250" s="213"/>
      <c r="AE250" s="60" t="str">
        <f t="shared" si="71"/>
        <v>A4</v>
      </c>
      <c r="AF250" s="60"/>
      <c r="AG250" s="60"/>
      <c r="AH250" s="542"/>
      <c r="AI250" s="542"/>
      <c r="AK250" s="589"/>
      <c r="AL250" s="589"/>
      <c r="AM250" s="589"/>
      <c r="AN250" s="589"/>
      <c r="AO250" s="589"/>
      <c r="AP250" s="589"/>
      <c r="AQ250" s="589"/>
      <c r="AR250" s="589"/>
      <c r="AS250" s="589"/>
      <c r="AT250" s="589"/>
      <c r="AU250" s="589"/>
      <c r="AV250" s="589"/>
      <c r="AW250" s="589"/>
      <c r="AX250" s="589"/>
      <c r="AY250" s="589"/>
      <c r="AZ250" s="589"/>
      <c r="BA250" s="589"/>
      <c r="BB250" s="589"/>
      <c r="BD250" s="60" t="s">
        <v>881</v>
      </c>
      <c r="BE250" s="60" t="s">
        <v>868</v>
      </c>
    </row>
    <row r="251" spans="1:59" s="57" customFormat="1" ht="33" customHeight="1" x14ac:dyDescent="0.25">
      <c r="A251" s="63">
        <f>IF(D251="","",SUBTOTAL(3,$D$8:D251))</f>
        <v>211</v>
      </c>
      <c r="B251" s="63" t="s">
        <v>12</v>
      </c>
      <c r="C251" s="220" t="s">
        <v>338</v>
      </c>
      <c r="D251" s="185" t="s">
        <v>651</v>
      </c>
      <c r="E251" s="652"/>
      <c r="F251" s="652"/>
      <c r="G251" s="282" t="str">
        <f t="shared" si="77"/>
        <v>A1</v>
      </c>
      <c r="H251" s="737" t="s">
        <v>1041</v>
      </c>
      <c r="I251" s="737" t="s">
        <v>1042</v>
      </c>
      <c r="J251" s="737" t="s">
        <v>954</v>
      </c>
      <c r="K251" s="234"/>
      <c r="L251" s="308" t="s">
        <v>85</v>
      </c>
      <c r="M251" s="290"/>
      <c r="N251" s="291">
        <f>IFERROR(VLOOKUP($D251,'K.ĐỘNG LỰC'!$C$10:$AB$37,14,0),0)</f>
        <v>0</v>
      </c>
      <c r="O251" s="291">
        <f>IFERROR(VLOOKUP($D251,'K.ĐỘNG LỰC'!$C$10:$AB$37,25,0),0)</f>
        <v>2</v>
      </c>
      <c r="P251" s="313" t="str">
        <f t="shared" si="78"/>
        <v>A3</v>
      </c>
      <c r="Q251" s="341" t="str">
        <f t="shared" si="79"/>
        <v>A3</v>
      </c>
      <c r="R251" s="317"/>
      <c r="S251" s="664"/>
      <c r="T251" s="664"/>
      <c r="U251" s="176" t="str">
        <f t="shared" si="80"/>
        <v>A3</v>
      </c>
      <c r="V251" s="178"/>
      <c r="W251" s="330">
        <f>IFERROR(VLOOKUP($D251,'K.ĐỘNG LỰC'!$C$10:$AB$37,15,0),0)</f>
        <v>0</v>
      </c>
      <c r="X251" s="330">
        <f>IFERROR(VLOOKUP($D251,'K.ĐỘNG LỰC'!$C$10:$AB$37,26,0),0)</f>
        <v>2</v>
      </c>
      <c r="Y251" s="89"/>
      <c r="Z251" s="859"/>
      <c r="AA251" s="859"/>
      <c r="AB251" s="242"/>
      <c r="AC251" s="836"/>
      <c r="AD251" s="213"/>
      <c r="AE251" s="60" t="str">
        <f t="shared" si="71"/>
        <v>A3</v>
      </c>
      <c r="AF251" s="60"/>
      <c r="AG251" s="60"/>
      <c r="AH251" s="542"/>
      <c r="AI251" s="542"/>
      <c r="AK251" s="589"/>
      <c r="AL251" s="589"/>
      <c r="AM251" s="589"/>
      <c r="AN251" s="589"/>
      <c r="AO251" s="589"/>
      <c r="AP251" s="589"/>
      <c r="AQ251" s="589"/>
      <c r="AR251" s="589"/>
      <c r="AS251" s="589"/>
      <c r="AT251" s="589"/>
      <c r="AU251" s="589"/>
      <c r="AV251" s="589"/>
      <c r="AW251" s="589"/>
      <c r="AX251" s="589"/>
      <c r="AY251" s="589"/>
      <c r="AZ251" s="589"/>
      <c r="BA251" s="589"/>
      <c r="BB251" s="589"/>
      <c r="BD251" s="60" t="s">
        <v>881</v>
      </c>
      <c r="BE251" s="60" t="s">
        <v>868</v>
      </c>
    </row>
    <row r="252" spans="1:59" s="57" customFormat="1" ht="34.5" customHeight="1" x14ac:dyDescent="0.25">
      <c r="A252" s="63">
        <f>IF(D252="","",SUBTOTAL(3,$D$8:D252))</f>
        <v>212</v>
      </c>
      <c r="B252" s="63" t="s">
        <v>13</v>
      </c>
      <c r="C252" s="9" t="s">
        <v>339</v>
      </c>
      <c r="D252" s="143" t="s">
        <v>652</v>
      </c>
      <c r="E252" s="652"/>
      <c r="F252" s="652"/>
      <c r="G252" s="282" t="str">
        <f t="shared" si="77"/>
        <v>A1</v>
      </c>
      <c r="H252" s="737" t="s">
        <v>1029</v>
      </c>
      <c r="I252" s="737" t="s">
        <v>1010</v>
      </c>
      <c r="J252" s="737" t="s">
        <v>954</v>
      </c>
      <c r="K252" s="234"/>
      <c r="L252" s="308" t="s">
        <v>83</v>
      </c>
      <c r="M252" s="288"/>
      <c r="N252" s="291">
        <f>IFERROR(VLOOKUP($D252,'K.ĐỘNG LỰC'!$C$10:$AB$37,14,0),0)</f>
        <v>0</v>
      </c>
      <c r="O252" s="291">
        <f>IFERROR(VLOOKUP($D252,'K.ĐỘNG LỰC'!$C$10:$AB$37,25,0),0)</f>
        <v>0</v>
      </c>
      <c r="P252" s="313" t="str">
        <f t="shared" si="78"/>
        <v>A4</v>
      </c>
      <c r="Q252" s="341" t="str">
        <f t="shared" si="79"/>
        <v>A4</v>
      </c>
      <c r="R252" s="319"/>
      <c r="S252" s="672"/>
      <c r="T252" s="672"/>
      <c r="U252" s="176" t="str">
        <f t="shared" si="80"/>
        <v>A4</v>
      </c>
      <c r="V252" s="177"/>
      <c r="W252" s="330">
        <f>IFERROR(VLOOKUP($D252,'K.ĐỘNG LỰC'!$C$10:$AB$37,15,0),0)</f>
        <v>0</v>
      </c>
      <c r="X252" s="330">
        <f>IFERROR(VLOOKUP($D252,'K.ĐỘNG LỰC'!$C$10:$AB$37,26,0),0)</f>
        <v>0</v>
      </c>
      <c r="Y252" s="89"/>
      <c r="Z252" s="859"/>
      <c r="AA252" s="859"/>
      <c r="AB252" s="242"/>
      <c r="AC252" s="775"/>
      <c r="AD252" s="213"/>
      <c r="AE252" s="60" t="str">
        <f t="shared" si="71"/>
        <v>A4</v>
      </c>
      <c r="AF252" s="60"/>
      <c r="AG252" s="60"/>
      <c r="AH252" s="542"/>
      <c r="AI252" s="542"/>
      <c r="AK252" s="589"/>
      <c r="AL252" s="589"/>
      <c r="AM252" s="589"/>
      <c r="AN252" s="589"/>
      <c r="AO252" s="589"/>
      <c r="AP252" s="589"/>
      <c r="AQ252" s="589"/>
      <c r="AR252" s="589"/>
      <c r="AS252" s="589"/>
      <c r="AT252" s="589"/>
      <c r="AU252" s="589"/>
      <c r="AV252" s="589"/>
      <c r="AW252" s="589"/>
      <c r="AX252" s="589"/>
      <c r="AY252" s="589"/>
      <c r="AZ252" s="589"/>
      <c r="BA252" s="589"/>
      <c r="BB252" s="589"/>
      <c r="BD252" s="60" t="s">
        <v>881</v>
      </c>
      <c r="BE252" s="60" t="s">
        <v>868</v>
      </c>
    </row>
    <row r="253" spans="1:59" s="57" customFormat="1" ht="33" customHeight="1" x14ac:dyDescent="0.25">
      <c r="A253" s="63">
        <f>IF(D253="","",SUBTOTAL(3,$D$8:D253))</f>
        <v>213</v>
      </c>
      <c r="B253" s="63" t="s">
        <v>14</v>
      </c>
      <c r="C253" s="220" t="s">
        <v>340</v>
      </c>
      <c r="D253" s="185" t="s">
        <v>653</v>
      </c>
      <c r="E253" s="652"/>
      <c r="F253" s="652"/>
      <c r="G253" s="282" t="str">
        <f t="shared" si="77"/>
        <v>A2</v>
      </c>
      <c r="H253" s="737"/>
      <c r="I253" s="737" t="s">
        <v>955</v>
      </c>
      <c r="J253" s="737" t="s">
        <v>954</v>
      </c>
      <c r="K253" s="234"/>
      <c r="L253" s="308" t="s">
        <v>83</v>
      </c>
      <c r="M253" s="288"/>
      <c r="N253" s="291">
        <f>IFERROR(VLOOKUP($D253,'K.ĐỘNG LỰC'!$C$10:$AB$37,14,0),0)</f>
        <v>0</v>
      </c>
      <c r="O253" s="291">
        <f>IFERROR(VLOOKUP($D253,'K.ĐỘNG LỰC'!$C$10:$AB$37,25,0),0)</f>
        <v>0</v>
      </c>
      <c r="P253" s="313" t="str">
        <f t="shared" si="78"/>
        <v>A4</v>
      </c>
      <c r="Q253" s="341" t="str">
        <f t="shared" si="79"/>
        <v>A4</v>
      </c>
      <c r="R253" s="319"/>
      <c r="S253" s="672"/>
      <c r="T253" s="672"/>
      <c r="U253" s="176" t="str">
        <f t="shared" si="80"/>
        <v>A4</v>
      </c>
      <c r="V253" s="177"/>
      <c r="W253" s="330">
        <f>IFERROR(VLOOKUP($D253,'K.ĐỘNG LỰC'!$C$10:$AB$37,15,0),0)</f>
        <v>0</v>
      </c>
      <c r="X253" s="330">
        <f>IFERROR(VLOOKUP($D253,'K.ĐỘNG LỰC'!$C$10:$AB$37,26,0),0)</f>
        <v>0</v>
      </c>
      <c r="Y253" s="89"/>
      <c r="Z253" s="857"/>
      <c r="AA253" s="857"/>
      <c r="AB253" s="242"/>
      <c r="AC253" s="836"/>
      <c r="AD253" s="213"/>
      <c r="AE253" s="60" t="str">
        <f t="shared" si="71"/>
        <v>A4</v>
      </c>
      <c r="AF253" s="60"/>
      <c r="AG253" s="60"/>
      <c r="AH253" s="542"/>
      <c r="AI253" s="542"/>
      <c r="AK253" s="589"/>
      <c r="AL253" s="589"/>
      <c r="AM253" s="589"/>
      <c r="AN253" s="589"/>
      <c r="AO253" s="589"/>
      <c r="AP253" s="589"/>
      <c r="AQ253" s="589"/>
      <c r="AR253" s="589"/>
      <c r="AS253" s="589"/>
      <c r="AT253" s="589"/>
      <c r="AU253" s="589"/>
      <c r="AV253" s="589"/>
      <c r="AW253" s="589"/>
      <c r="AX253" s="589"/>
      <c r="AY253" s="589"/>
      <c r="AZ253" s="589"/>
      <c r="BA253" s="589"/>
      <c r="BB253" s="589"/>
      <c r="BD253" s="60" t="s">
        <v>881</v>
      </c>
      <c r="BE253" s="60" t="s">
        <v>868</v>
      </c>
    </row>
    <row r="254" spans="1:59" s="57" customFormat="1" ht="36" customHeight="1" x14ac:dyDescent="0.25">
      <c r="A254" s="63">
        <f>IF(D254="","",SUBTOTAL(3,$D$8:D254))</f>
        <v>214</v>
      </c>
      <c r="B254" s="63" t="s">
        <v>15</v>
      </c>
      <c r="C254" s="220" t="s">
        <v>341</v>
      </c>
      <c r="D254" s="185" t="s">
        <v>654</v>
      </c>
      <c r="E254" s="652"/>
      <c r="F254" s="652"/>
      <c r="G254" s="282" t="str">
        <f t="shared" si="77"/>
        <v>A3</v>
      </c>
      <c r="H254" s="737"/>
      <c r="I254" s="737"/>
      <c r="J254" s="737" t="s">
        <v>1040</v>
      </c>
      <c r="K254" s="234"/>
      <c r="L254" s="308" t="s">
        <v>83</v>
      </c>
      <c r="M254" s="292"/>
      <c r="N254" s="291">
        <f>IFERROR(VLOOKUP($D254,'K.ĐỘNG LỰC'!$C$10:$AB$37,14,0),0)</f>
        <v>0</v>
      </c>
      <c r="O254" s="291">
        <f>IFERROR(VLOOKUP($D254,'K.ĐỘNG LỰC'!$C$10:$AB$37,25,0),0)</f>
        <v>0</v>
      </c>
      <c r="P254" s="313" t="str">
        <f t="shared" si="78"/>
        <v>A4</v>
      </c>
      <c r="Q254" s="341" t="str">
        <f t="shared" si="79"/>
        <v>A4</v>
      </c>
      <c r="R254" s="319"/>
      <c r="S254" s="672"/>
      <c r="T254" s="672"/>
      <c r="U254" s="176" t="str">
        <f t="shared" si="80"/>
        <v>A4</v>
      </c>
      <c r="V254" s="177"/>
      <c r="W254" s="330">
        <f>IFERROR(VLOOKUP($D254,'K.ĐỘNG LỰC'!$C$10:$AB$37,15,0),0)</f>
        <v>0</v>
      </c>
      <c r="X254" s="330">
        <f>IFERROR(VLOOKUP($D254,'K.ĐỘNG LỰC'!$C$10:$AB$37,26,0),0)</f>
        <v>0</v>
      </c>
      <c r="Y254" s="89"/>
      <c r="Z254" s="842"/>
      <c r="AA254" s="842"/>
      <c r="AB254" s="228"/>
      <c r="AC254" s="775"/>
      <c r="AD254" s="213"/>
      <c r="AE254" s="60" t="str">
        <f t="shared" si="71"/>
        <v>A4</v>
      </c>
      <c r="AF254" s="60"/>
      <c r="AG254" s="60"/>
      <c r="AH254" s="542"/>
      <c r="AI254" s="542"/>
      <c r="AK254" s="589"/>
      <c r="AL254" s="589"/>
      <c r="AM254" s="589"/>
      <c r="AN254" s="589"/>
      <c r="AO254" s="589"/>
      <c r="AP254" s="589"/>
      <c r="AQ254" s="589"/>
      <c r="AR254" s="589"/>
      <c r="AS254" s="589"/>
      <c r="AT254" s="589"/>
      <c r="AU254" s="589"/>
      <c r="AV254" s="589"/>
      <c r="AW254" s="589"/>
      <c r="AX254" s="589"/>
      <c r="AY254" s="589"/>
      <c r="AZ254" s="589"/>
      <c r="BA254" s="589"/>
      <c r="BB254" s="589"/>
      <c r="BD254" s="60" t="s">
        <v>881</v>
      </c>
      <c r="BE254" s="60" t="s">
        <v>868</v>
      </c>
    </row>
    <row r="255" spans="1:59" s="57" customFormat="1" ht="33" customHeight="1" x14ac:dyDescent="0.25">
      <c r="A255" s="63">
        <f>IF(D255="","",SUBTOTAL(3,$D$8:D255))</f>
        <v>215</v>
      </c>
      <c r="B255" s="63" t="s">
        <v>16</v>
      </c>
      <c r="C255" s="220" t="s">
        <v>342</v>
      </c>
      <c r="D255" s="185" t="s">
        <v>655</v>
      </c>
      <c r="E255" s="652"/>
      <c r="F255" s="652"/>
      <c r="G255" s="282" t="str">
        <f t="shared" si="77"/>
        <v>A2</v>
      </c>
      <c r="H255" s="737"/>
      <c r="I255" s="737" t="s">
        <v>966</v>
      </c>
      <c r="J255" s="737" t="s">
        <v>1040</v>
      </c>
      <c r="K255" s="234"/>
      <c r="L255" s="308" t="s">
        <v>83</v>
      </c>
      <c r="M255" s="292"/>
      <c r="N255" s="291">
        <f>IFERROR(VLOOKUP($D255,'K.ĐỘNG LỰC'!$C$10:$AB$37,14,0),0)</f>
        <v>0</v>
      </c>
      <c r="O255" s="291">
        <f>IFERROR(VLOOKUP($D255,'K.ĐỘNG LỰC'!$C$10:$AB$37,25,0),0)</f>
        <v>0</v>
      </c>
      <c r="P255" s="313" t="str">
        <f t="shared" si="78"/>
        <v>A4</v>
      </c>
      <c r="Q255" s="341" t="str">
        <f t="shared" si="79"/>
        <v>A4</v>
      </c>
      <c r="R255" s="317"/>
      <c r="S255" s="664"/>
      <c r="T255" s="664"/>
      <c r="U255" s="176" t="str">
        <f t="shared" si="80"/>
        <v>A4</v>
      </c>
      <c r="V255" s="177"/>
      <c r="W255" s="330">
        <f>IFERROR(VLOOKUP($D255,'K.ĐỘNG LỰC'!$C$10:$AB$37,15,0),0)</f>
        <v>0</v>
      </c>
      <c r="X255" s="330">
        <f>IFERROR(VLOOKUP($D255,'K.ĐỘNG LỰC'!$C$10:$AB$37,26,0),0)</f>
        <v>0</v>
      </c>
      <c r="Y255" s="89"/>
      <c r="Z255" s="861"/>
      <c r="AA255" s="861"/>
      <c r="AB255" s="228"/>
      <c r="AC255" s="775"/>
      <c r="AD255" s="213"/>
      <c r="AE255" s="60" t="str">
        <f t="shared" si="71"/>
        <v>A4</v>
      </c>
      <c r="AF255" s="60"/>
      <c r="AG255" s="60"/>
      <c r="AH255" s="542"/>
      <c r="AI255" s="542"/>
      <c r="AK255" s="589"/>
      <c r="AL255" s="589"/>
      <c r="AM255" s="589"/>
      <c r="AN255" s="589"/>
      <c r="AO255" s="589"/>
      <c r="AP255" s="589"/>
      <c r="AQ255" s="589"/>
      <c r="AR255" s="589"/>
      <c r="AS255" s="589"/>
      <c r="AT255" s="589"/>
      <c r="AU255" s="589"/>
      <c r="AV255" s="589"/>
      <c r="AW255" s="589"/>
      <c r="AX255" s="589"/>
      <c r="AY255" s="589"/>
      <c r="AZ255" s="589"/>
      <c r="BA255" s="589"/>
      <c r="BB255" s="589"/>
      <c r="BD255" s="60" t="s">
        <v>881</v>
      </c>
      <c r="BE255" s="60" t="s">
        <v>868</v>
      </c>
    </row>
    <row r="256" spans="1:59" s="57" customFormat="1" ht="34.5" customHeight="1" x14ac:dyDescent="0.25">
      <c r="A256" s="63">
        <f>IF(D256="","",SUBTOTAL(3,$D$8:D256))</f>
        <v>216</v>
      </c>
      <c r="B256" s="63" t="s">
        <v>17</v>
      </c>
      <c r="C256" s="220" t="s">
        <v>343</v>
      </c>
      <c r="D256" s="185" t="s">
        <v>656</v>
      </c>
      <c r="E256" s="652"/>
      <c r="F256" s="652"/>
      <c r="G256" s="282" t="str">
        <f t="shared" si="77"/>
        <v>A1</v>
      </c>
      <c r="H256" s="737" t="s">
        <v>1031</v>
      </c>
      <c r="I256" s="737" t="s">
        <v>955</v>
      </c>
      <c r="J256" s="737" t="s">
        <v>954</v>
      </c>
      <c r="K256" s="234"/>
      <c r="L256" s="308" t="s">
        <v>83</v>
      </c>
      <c r="M256" s="288"/>
      <c r="N256" s="291">
        <f>IFERROR(VLOOKUP($D256,'K.ĐỘNG LỰC'!$C$10:$AB$37,14,0),0)</f>
        <v>0</v>
      </c>
      <c r="O256" s="291">
        <f>IFERROR(VLOOKUP($D256,'K.ĐỘNG LỰC'!$C$10:$AB$37,25,0),0)</f>
        <v>1</v>
      </c>
      <c r="P256" s="313" t="str">
        <f t="shared" si="78"/>
        <v>A4</v>
      </c>
      <c r="Q256" s="341" t="str">
        <f t="shared" si="79"/>
        <v>A4</v>
      </c>
      <c r="R256" s="320"/>
      <c r="S256" s="669"/>
      <c r="T256" s="669"/>
      <c r="U256" s="176" t="str">
        <f t="shared" si="80"/>
        <v>A4</v>
      </c>
      <c r="V256" s="177"/>
      <c r="W256" s="330">
        <f>IFERROR(VLOOKUP($D256,'K.ĐỘNG LỰC'!$C$10:$AB$37,15,0),0)</f>
        <v>0</v>
      </c>
      <c r="X256" s="330">
        <f>IFERROR(VLOOKUP($D256,'K.ĐỘNG LỰC'!$C$10:$AB$37,26,0),0)</f>
        <v>1</v>
      </c>
      <c r="Y256" s="89"/>
      <c r="Z256" s="857"/>
      <c r="AA256" s="859"/>
      <c r="AB256" s="777"/>
      <c r="AC256" s="775"/>
      <c r="AD256" s="213"/>
      <c r="AE256" s="60" t="str">
        <f t="shared" si="71"/>
        <v>A4</v>
      </c>
      <c r="AF256" s="60"/>
      <c r="AG256" s="60"/>
      <c r="AH256" s="542"/>
      <c r="AI256" s="542"/>
      <c r="AK256" s="589"/>
      <c r="AL256" s="589"/>
      <c r="AM256" s="589"/>
      <c r="AN256" s="589"/>
      <c r="AO256" s="589"/>
      <c r="AP256" s="589"/>
      <c r="AQ256" s="589"/>
      <c r="AR256" s="589"/>
      <c r="AS256" s="589"/>
      <c r="AT256" s="589"/>
      <c r="AU256" s="589"/>
      <c r="AV256" s="589"/>
      <c r="AW256" s="589"/>
      <c r="AX256" s="589"/>
      <c r="AY256" s="589"/>
      <c r="AZ256" s="589"/>
      <c r="BA256" s="589"/>
      <c r="BB256" s="589"/>
      <c r="BD256" s="60" t="s">
        <v>881</v>
      </c>
      <c r="BE256" s="60" t="s">
        <v>868</v>
      </c>
    </row>
    <row r="257" spans="1:57" s="57" customFormat="1" ht="33" customHeight="1" x14ac:dyDescent="0.25">
      <c r="A257" s="63">
        <f>IF(D257="","",SUBTOTAL(3,$D$8:D257))</f>
        <v>217</v>
      </c>
      <c r="B257" s="63" t="s">
        <v>18</v>
      </c>
      <c r="C257" s="220" t="s">
        <v>344</v>
      </c>
      <c r="D257" s="185" t="s">
        <v>657</v>
      </c>
      <c r="E257" s="652"/>
      <c r="F257" s="652"/>
      <c r="G257" s="282" t="str">
        <f t="shared" si="77"/>
        <v>A1</v>
      </c>
      <c r="H257" s="737" t="s">
        <v>1043</v>
      </c>
      <c r="I257" s="737" t="s">
        <v>1010</v>
      </c>
      <c r="J257" s="737" t="s">
        <v>954</v>
      </c>
      <c r="K257" s="234"/>
      <c r="L257" s="308" t="s">
        <v>83</v>
      </c>
      <c r="M257" s="292"/>
      <c r="N257" s="291">
        <f>IFERROR(VLOOKUP($D257,'K.ĐỘNG LỰC'!$C$10:$AB$37,14,0),0)</f>
        <v>0</v>
      </c>
      <c r="O257" s="291">
        <f>IFERROR(VLOOKUP($D257,'K.ĐỘNG LỰC'!$C$10:$AB$37,25,0),0)</f>
        <v>0</v>
      </c>
      <c r="P257" s="313" t="str">
        <f t="shared" si="78"/>
        <v>A4</v>
      </c>
      <c r="Q257" s="341" t="str">
        <f t="shared" si="79"/>
        <v>A4</v>
      </c>
      <c r="R257" s="319"/>
      <c r="S257" s="672"/>
      <c r="T257" s="672"/>
      <c r="U257" s="176" t="str">
        <f t="shared" si="80"/>
        <v>A4</v>
      </c>
      <c r="V257" s="180"/>
      <c r="W257" s="330">
        <f>IFERROR(VLOOKUP($D257,'K.ĐỘNG LỰC'!$C$10:$AB$37,15,0),0)</f>
        <v>0</v>
      </c>
      <c r="X257" s="330">
        <f>IFERROR(VLOOKUP($D257,'K.ĐỘNG LỰC'!$C$10:$AB$37,26,0),0)</f>
        <v>0</v>
      </c>
      <c r="Y257" s="89"/>
      <c r="Z257" s="861"/>
      <c r="AA257" s="861"/>
      <c r="AB257" s="228"/>
      <c r="AC257" s="775"/>
      <c r="AD257" s="213"/>
      <c r="AE257" s="60" t="str">
        <f t="shared" si="71"/>
        <v>A4</v>
      </c>
      <c r="AF257" s="60"/>
      <c r="AG257" s="60"/>
      <c r="AH257" s="542"/>
      <c r="AI257" s="542"/>
      <c r="AK257" s="589"/>
      <c r="AL257" s="589"/>
      <c r="AM257" s="589"/>
      <c r="AN257" s="589"/>
      <c r="AO257" s="589"/>
      <c r="AP257" s="589"/>
      <c r="AQ257" s="589"/>
      <c r="AR257" s="589"/>
      <c r="AS257" s="589"/>
      <c r="AT257" s="589"/>
      <c r="AU257" s="589"/>
      <c r="AV257" s="589"/>
      <c r="AW257" s="589"/>
      <c r="AX257" s="589"/>
      <c r="AY257" s="589"/>
      <c r="AZ257" s="589"/>
      <c r="BA257" s="589"/>
      <c r="BB257" s="589"/>
      <c r="BD257" s="60" t="s">
        <v>881</v>
      </c>
      <c r="BE257" s="60" t="s">
        <v>868</v>
      </c>
    </row>
    <row r="258" spans="1:57" s="57" customFormat="1" ht="33" customHeight="1" x14ac:dyDescent="0.25">
      <c r="A258" s="63">
        <f>IF(D258="","",SUBTOTAL(3,$D$8:D258))</f>
        <v>218</v>
      </c>
      <c r="B258" s="63" t="s">
        <v>19</v>
      </c>
      <c r="C258" s="220" t="s">
        <v>345</v>
      </c>
      <c r="D258" s="185" t="s">
        <v>658</v>
      </c>
      <c r="E258" s="652"/>
      <c r="F258" s="652"/>
      <c r="G258" s="282" t="str">
        <f t="shared" si="77"/>
        <v>A3</v>
      </c>
      <c r="H258" s="737"/>
      <c r="I258" s="737"/>
      <c r="J258" s="737" t="s">
        <v>954</v>
      </c>
      <c r="K258" s="234"/>
      <c r="L258" s="308" t="s">
        <v>83</v>
      </c>
      <c r="M258" s="292"/>
      <c r="N258" s="291">
        <f>IFERROR(VLOOKUP($D258,'K.ĐỘNG LỰC'!$C$10:$AB$37,14,0),0)</f>
        <v>0</v>
      </c>
      <c r="O258" s="291">
        <f>IFERROR(VLOOKUP($D258,'K.ĐỘNG LỰC'!$C$10:$AB$37,25,0),0)</f>
        <v>0</v>
      </c>
      <c r="P258" s="313" t="str">
        <f t="shared" si="78"/>
        <v>A4</v>
      </c>
      <c r="Q258" s="341" t="str">
        <f t="shared" si="79"/>
        <v>A4</v>
      </c>
      <c r="R258" s="317"/>
      <c r="S258" s="664"/>
      <c r="T258" s="664"/>
      <c r="U258" s="176" t="str">
        <f t="shared" si="80"/>
        <v>A4</v>
      </c>
      <c r="V258" s="178"/>
      <c r="W258" s="330">
        <f>IFERROR(VLOOKUP($D258,'K.ĐỘNG LỰC'!$C$10:$AB$37,15,0),0)</f>
        <v>0</v>
      </c>
      <c r="X258" s="330">
        <f>IFERROR(VLOOKUP($D258,'K.ĐỘNG LỰC'!$C$10:$AB$37,26,0),0)</f>
        <v>0</v>
      </c>
      <c r="Y258" s="89"/>
      <c r="Z258" s="861"/>
      <c r="AA258" s="861"/>
      <c r="AB258" s="228"/>
      <c r="AC258" s="775"/>
      <c r="AD258" s="213"/>
      <c r="AE258" s="60" t="str">
        <f t="shared" si="71"/>
        <v>A4</v>
      </c>
      <c r="AF258" s="60"/>
      <c r="AG258" s="60"/>
      <c r="AH258" s="542"/>
      <c r="AI258" s="542"/>
      <c r="AK258" s="589"/>
      <c r="AL258" s="589"/>
      <c r="AM258" s="589"/>
      <c r="AN258" s="589"/>
      <c r="AO258" s="589"/>
      <c r="AP258" s="589"/>
      <c r="AQ258" s="589"/>
      <c r="AR258" s="589"/>
      <c r="AS258" s="589"/>
      <c r="AT258" s="589"/>
      <c r="AU258" s="589"/>
      <c r="AV258" s="589"/>
      <c r="AW258" s="589"/>
      <c r="AX258" s="589"/>
      <c r="AY258" s="589"/>
      <c r="AZ258" s="589"/>
      <c r="BA258" s="589"/>
      <c r="BB258" s="589"/>
      <c r="BD258" s="60" t="s">
        <v>881</v>
      </c>
      <c r="BE258" s="60" t="s">
        <v>868</v>
      </c>
    </row>
    <row r="259" spans="1:57" s="57" customFormat="1" ht="36.75" customHeight="1" x14ac:dyDescent="0.25">
      <c r="A259" s="63">
        <f>IF(D259="","",SUBTOTAL(3,$D$8:D259))</f>
        <v>219</v>
      </c>
      <c r="B259" s="63" t="s">
        <v>21</v>
      </c>
      <c r="C259" s="220" t="s">
        <v>346</v>
      </c>
      <c r="D259" s="185" t="s">
        <v>659</v>
      </c>
      <c r="E259" s="652"/>
      <c r="F259" s="652"/>
      <c r="G259" s="282" t="str">
        <f t="shared" si="77"/>
        <v>A3</v>
      </c>
      <c r="H259" s="737"/>
      <c r="I259" s="737"/>
      <c r="J259" s="737" t="s">
        <v>954</v>
      </c>
      <c r="K259" s="234"/>
      <c r="L259" s="308" t="s">
        <v>83</v>
      </c>
      <c r="M259" s="292"/>
      <c r="N259" s="291">
        <f>IFERROR(VLOOKUP($D259,'K.ĐỘNG LỰC'!$C$10:$AB$37,14,0),0)</f>
        <v>0</v>
      </c>
      <c r="O259" s="291">
        <f>IFERROR(VLOOKUP($D259,'K.ĐỘNG LỰC'!$C$10:$AB$37,25,0),0)</f>
        <v>0</v>
      </c>
      <c r="P259" s="313" t="str">
        <f t="shared" si="78"/>
        <v>A4</v>
      </c>
      <c r="Q259" s="341" t="str">
        <f t="shared" si="79"/>
        <v>A4</v>
      </c>
      <c r="R259" s="319"/>
      <c r="S259" s="672"/>
      <c r="T259" s="672"/>
      <c r="U259" s="176" t="str">
        <f t="shared" si="80"/>
        <v>A4</v>
      </c>
      <c r="V259" s="177"/>
      <c r="W259" s="330">
        <f>IFERROR(VLOOKUP($D259,'K.ĐỘNG LỰC'!$C$10:$AB$37,15,0),0)</f>
        <v>0</v>
      </c>
      <c r="X259" s="330">
        <f>IFERROR(VLOOKUP($D259,'K.ĐỘNG LỰC'!$C$10:$AB$37,26,0),0)</f>
        <v>0</v>
      </c>
      <c r="Y259" s="89"/>
      <c r="Z259" s="861"/>
      <c r="AA259" s="861"/>
      <c r="AB259" s="228"/>
      <c r="AC259" s="775"/>
      <c r="AD259" s="213"/>
      <c r="AE259" s="60" t="str">
        <f t="shared" si="71"/>
        <v>A4</v>
      </c>
      <c r="AF259" s="60"/>
      <c r="AG259" s="60"/>
      <c r="AH259" s="542"/>
      <c r="AI259" s="542"/>
      <c r="AK259" s="589"/>
      <c r="AL259" s="589"/>
      <c r="AM259" s="589"/>
      <c r="AN259" s="589"/>
      <c r="AO259" s="589"/>
      <c r="AP259" s="589"/>
      <c r="AQ259" s="589"/>
      <c r="AR259" s="589"/>
      <c r="AS259" s="589"/>
      <c r="AT259" s="589"/>
      <c r="AU259" s="589"/>
      <c r="AV259" s="589"/>
      <c r="AW259" s="589"/>
      <c r="AX259" s="589"/>
      <c r="AY259" s="589"/>
      <c r="AZ259" s="589"/>
      <c r="BA259" s="589"/>
      <c r="BB259" s="589"/>
      <c r="BD259" s="60" t="s">
        <v>881</v>
      </c>
      <c r="BE259" s="60" t="s">
        <v>868</v>
      </c>
    </row>
    <row r="260" spans="1:57" s="57" customFormat="1" ht="33" customHeight="1" x14ac:dyDescent="0.25">
      <c r="A260" s="63">
        <f>IF(D260="","",SUBTOTAL(3,$D$8:D260))</f>
        <v>220</v>
      </c>
      <c r="B260" s="63" t="s">
        <v>22</v>
      </c>
      <c r="C260" s="220" t="s">
        <v>347</v>
      </c>
      <c r="D260" s="185" t="s">
        <v>764</v>
      </c>
      <c r="E260" s="652"/>
      <c r="F260" s="652"/>
      <c r="G260" s="282" t="str">
        <f t="shared" si="77"/>
        <v>A1</v>
      </c>
      <c r="H260" s="737" t="s">
        <v>1029</v>
      </c>
      <c r="I260" s="737" t="s">
        <v>955</v>
      </c>
      <c r="J260" s="737" t="s">
        <v>954</v>
      </c>
      <c r="K260" s="234"/>
      <c r="L260" s="308" t="s">
        <v>83</v>
      </c>
      <c r="M260" s="288"/>
      <c r="N260" s="291">
        <f>IFERROR(VLOOKUP($D260,'K.ĐỘNG LỰC'!$C$10:$AB$37,14,0),0)</f>
        <v>0</v>
      </c>
      <c r="O260" s="291">
        <f>IFERROR(VLOOKUP($D260,'K.ĐỘNG LỰC'!$C$10:$AB$37,25,0),0)</f>
        <v>0</v>
      </c>
      <c r="P260" s="313" t="str">
        <f t="shared" si="78"/>
        <v>A4</v>
      </c>
      <c r="Q260" s="341" t="str">
        <f t="shared" si="79"/>
        <v>A4</v>
      </c>
      <c r="R260" s="319"/>
      <c r="S260" s="672"/>
      <c r="T260" s="672"/>
      <c r="U260" s="176" t="str">
        <f t="shared" si="80"/>
        <v>A4</v>
      </c>
      <c r="V260" s="177"/>
      <c r="W260" s="330">
        <f>IFERROR(VLOOKUP($D260,'K.ĐỘNG LỰC'!$C$10:$AB$37,15,0),0)</f>
        <v>0</v>
      </c>
      <c r="X260" s="330">
        <f>IFERROR(VLOOKUP($D260,'K.ĐỘNG LỰC'!$C$10:$AB$37,26,0),0)</f>
        <v>0</v>
      </c>
      <c r="Y260" s="89"/>
      <c r="Z260" s="857"/>
      <c r="AA260" s="857"/>
      <c r="AB260" s="228"/>
      <c r="AC260" s="775"/>
      <c r="AD260" s="213"/>
      <c r="AE260" s="60" t="str">
        <f t="shared" si="71"/>
        <v>A4</v>
      </c>
      <c r="AF260" s="60"/>
      <c r="AG260" s="60"/>
      <c r="AH260" s="542"/>
      <c r="AI260" s="542"/>
      <c r="AK260" s="589"/>
      <c r="AL260" s="589"/>
      <c r="AM260" s="589"/>
      <c r="AN260" s="589"/>
      <c r="AO260" s="589"/>
      <c r="AP260" s="589"/>
      <c r="AQ260" s="589"/>
      <c r="AR260" s="589"/>
      <c r="AS260" s="589"/>
      <c r="AT260" s="589"/>
      <c r="AU260" s="589"/>
      <c r="AV260" s="589"/>
      <c r="AW260" s="589"/>
      <c r="AX260" s="589"/>
      <c r="AY260" s="589"/>
      <c r="AZ260" s="589"/>
      <c r="BA260" s="589"/>
      <c r="BB260" s="589"/>
      <c r="BD260" s="60" t="s">
        <v>881</v>
      </c>
      <c r="BE260" s="60" t="s">
        <v>868</v>
      </c>
    </row>
    <row r="261" spans="1:57" s="57" customFormat="1" ht="32.25" customHeight="1" x14ac:dyDescent="0.25">
      <c r="A261" s="63">
        <f>IF(D261="","",SUBTOTAL(3,$D$8:D261))</f>
        <v>221</v>
      </c>
      <c r="B261" s="63" t="s">
        <v>23</v>
      </c>
      <c r="C261" s="220" t="s">
        <v>348</v>
      </c>
      <c r="D261" s="185" t="s">
        <v>660</v>
      </c>
      <c r="E261" s="652"/>
      <c r="F261" s="652"/>
      <c r="G261" s="282" t="str">
        <f t="shared" si="77"/>
        <v>A1</v>
      </c>
      <c r="H261" s="737" t="s">
        <v>1041</v>
      </c>
      <c r="I261" s="737" t="s">
        <v>996</v>
      </c>
      <c r="J261" s="737" t="s">
        <v>954</v>
      </c>
      <c r="K261" s="234"/>
      <c r="L261" s="308" t="s">
        <v>83</v>
      </c>
      <c r="M261" s="288"/>
      <c r="N261" s="291">
        <f>IFERROR(VLOOKUP($D261,'K.ĐỘNG LỰC'!$C$10:$AB$37,14,0),0)</f>
        <v>0</v>
      </c>
      <c r="O261" s="291">
        <f>IFERROR(VLOOKUP($D261,'K.ĐỘNG LỰC'!$C$10:$AB$37,25,0),0)</f>
        <v>0</v>
      </c>
      <c r="P261" s="313" t="str">
        <f t="shared" si="78"/>
        <v>A4</v>
      </c>
      <c r="Q261" s="341" t="str">
        <f t="shared" si="79"/>
        <v>A4</v>
      </c>
      <c r="R261" s="317"/>
      <c r="S261" s="664"/>
      <c r="T261" s="664"/>
      <c r="U261" s="176" t="str">
        <f t="shared" si="80"/>
        <v>A4</v>
      </c>
      <c r="V261" s="177"/>
      <c r="W261" s="330">
        <f>IFERROR(VLOOKUP($D261,'K.ĐỘNG LỰC'!$C$10:$AB$37,15,0),0)</f>
        <v>0</v>
      </c>
      <c r="X261" s="330">
        <f>IFERROR(VLOOKUP($D261,'K.ĐỘNG LỰC'!$C$10:$AB$37,26,0),0)</f>
        <v>0</v>
      </c>
      <c r="Y261" s="89"/>
      <c r="Z261" s="859"/>
      <c r="AA261" s="857"/>
      <c r="AB261" s="1095"/>
      <c r="AC261" s="1095"/>
      <c r="AD261" s="213"/>
      <c r="AE261" s="60" t="str">
        <f t="shared" si="71"/>
        <v>A4</v>
      </c>
      <c r="AF261" s="60"/>
      <c r="AG261" s="60"/>
      <c r="AH261" s="542"/>
      <c r="AI261" s="542"/>
      <c r="AK261" s="589"/>
      <c r="AL261" s="589"/>
      <c r="AM261" s="589"/>
      <c r="AN261" s="589"/>
      <c r="AO261" s="589"/>
      <c r="AP261" s="589"/>
      <c r="AQ261" s="589"/>
      <c r="AR261" s="589"/>
      <c r="AS261" s="589"/>
      <c r="AT261" s="589"/>
      <c r="AU261" s="589"/>
      <c r="AV261" s="589"/>
      <c r="AW261" s="589"/>
      <c r="AX261" s="589"/>
      <c r="AY261" s="589"/>
      <c r="AZ261" s="589"/>
      <c r="BA261" s="589"/>
      <c r="BB261" s="589"/>
      <c r="BD261" s="60" t="s">
        <v>881</v>
      </c>
      <c r="BE261" s="60" t="s">
        <v>868</v>
      </c>
    </row>
    <row r="262" spans="1:57" s="70" customFormat="1" ht="33" customHeight="1" x14ac:dyDescent="0.25">
      <c r="A262" s="63">
        <f>IF(D262="","",SUBTOTAL(3,$D$8:D262))</f>
        <v>222</v>
      </c>
      <c r="B262" s="63" t="s">
        <v>24</v>
      </c>
      <c r="C262" s="220" t="s">
        <v>349</v>
      </c>
      <c r="D262" s="185" t="s">
        <v>661</v>
      </c>
      <c r="E262" s="652"/>
      <c r="F262" s="652"/>
      <c r="G262" s="282" t="str">
        <f t="shared" si="77"/>
        <v>A2</v>
      </c>
      <c r="H262" s="737"/>
      <c r="I262" s="737" t="s">
        <v>955</v>
      </c>
      <c r="J262" s="737" t="s">
        <v>954</v>
      </c>
      <c r="K262" s="234"/>
      <c r="L262" s="308" t="s">
        <v>83</v>
      </c>
      <c r="M262" s="288"/>
      <c r="N262" s="291">
        <f>IFERROR(VLOOKUP($D262,'K.ĐỘNG LỰC'!$C$10:$AB$37,14,0),0)</f>
        <v>0</v>
      </c>
      <c r="O262" s="291">
        <f>IFERROR(VLOOKUP($D262,'K.ĐỘNG LỰC'!$C$10:$AB$37,25,0),0)</f>
        <v>0</v>
      </c>
      <c r="P262" s="313" t="str">
        <f t="shared" si="78"/>
        <v>A4</v>
      </c>
      <c r="Q262" s="341" t="str">
        <f t="shared" si="79"/>
        <v>A4</v>
      </c>
      <c r="R262" s="317"/>
      <c r="S262" s="664"/>
      <c r="T262" s="664"/>
      <c r="U262" s="176" t="str">
        <f t="shared" si="80"/>
        <v>A4</v>
      </c>
      <c r="V262" s="177"/>
      <c r="W262" s="330">
        <f>IFERROR(VLOOKUP($D262,'K.ĐỘNG LỰC'!$C$10:$AB$37,15,0),0)</f>
        <v>0</v>
      </c>
      <c r="X262" s="330">
        <f>IFERROR(VLOOKUP($D262,'K.ĐỘNG LỰC'!$C$10:$AB$37,26,0),0)</f>
        <v>0</v>
      </c>
      <c r="Y262" s="92"/>
      <c r="Z262" s="861"/>
      <c r="AA262" s="861"/>
      <c r="AB262" s="228"/>
      <c r="AC262" s="775"/>
      <c r="AD262" s="213"/>
      <c r="AE262" s="60" t="str">
        <f t="shared" si="71"/>
        <v>A4</v>
      </c>
      <c r="AF262" s="60"/>
      <c r="AG262" s="60"/>
      <c r="BD262" s="60" t="s">
        <v>881</v>
      </c>
      <c r="BE262" s="60" t="s">
        <v>868</v>
      </c>
    </row>
    <row r="263" spans="1:57" s="70" customFormat="1" ht="33" customHeight="1" x14ac:dyDescent="0.25">
      <c r="A263" s="63">
        <f>IF(D263="","",SUBTOTAL(3,$D$8:D263))</f>
        <v>223</v>
      </c>
      <c r="B263" s="63" t="s">
        <v>25</v>
      </c>
      <c r="C263" s="220" t="s">
        <v>350</v>
      </c>
      <c r="D263" s="185" t="s">
        <v>662</v>
      </c>
      <c r="E263" s="652"/>
      <c r="F263" s="652"/>
      <c r="G263" s="282" t="str">
        <f t="shared" si="77"/>
        <v>A2</v>
      </c>
      <c r="H263" s="737"/>
      <c r="I263" s="737" t="s">
        <v>966</v>
      </c>
      <c r="J263" s="737" t="s">
        <v>954</v>
      </c>
      <c r="K263" s="234"/>
      <c r="L263" s="308" t="s">
        <v>83</v>
      </c>
      <c r="M263" s="288"/>
      <c r="N263" s="291">
        <f>IFERROR(VLOOKUP($D263,'K.ĐỘNG LỰC'!$C$10:$AB$37,14,0),0)</f>
        <v>0</v>
      </c>
      <c r="O263" s="291">
        <f>IFERROR(VLOOKUP($D263,'K.ĐỘNG LỰC'!$C$10:$AB$37,25,0),0)</f>
        <v>1</v>
      </c>
      <c r="P263" s="313" t="str">
        <f t="shared" si="78"/>
        <v>A4</v>
      </c>
      <c r="Q263" s="341" t="str">
        <f t="shared" si="79"/>
        <v>A4</v>
      </c>
      <c r="R263" s="317"/>
      <c r="S263" s="664"/>
      <c r="T263" s="664"/>
      <c r="U263" s="176" t="str">
        <f t="shared" si="80"/>
        <v>A4</v>
      </c>
      <c r="V263" s="178"/>
      <c r="W263" s="330">
        <f>IFERROR(VLOOKUP($D263,'K.ĐỘNG LỰC'!$C$10:$AB$37,15,0),0)</f>
        <v>0</v>
      </c>
      <c r="X263" s="330">
        <f>IFERROR(VLOOKUP($D263,'K.ĐỘNG LỰC'!$C$10:$AB$37,26,0),0)</f>
        <v>1</v>
      </c>
      <c r="Y263" s="92"/>
      <c r="Z263" s="861"/>
      <c r="AA263" s="861"/>
      <c r="AB263" s="777"/>
      <c r="AC263" s="775"/>
      <c r="AD263" s="213"/>
      <c r="AE263" s="60" t="str">
        <f t="shared" si="71"/>
        <v>A4</v>
      </c>
      <c r="AF263" s="60"/>
      <c r="AG263" s="60"/>
      <c r="BD263" s="60" t="s">
        <v>881</v>
      </c>
      <c r="BE263" s="60" t="s">
        <v>868</v>
      </c>
    </row>
    <row r="264" spans="1:57" s="70" customFormat="1" ht="33" customHeight="1" x14ac:dyDescent="0.25">
      <c r="A264" s="63">
        <f>IF(D264="","",SUBTOTAL(3,$D$8:D264))</f>
        <v>224</v>
      </c>
      <c r="B264" s="63" t="s">
        <v>26</v>
      </c>
      <c r="C264" s="221" t="s">
        <v>351</v>
      </c>
      <c r="D264" s="185" t="s">
        <v>663</v>
      </c>
      <c r="E264" s="652"/>
      <c r="F264" s="652"/>
      <c r="G264" s="282" t="str">
        <f t="shared" si="77"/>
        <v>A1</v>
      </c>
      <c r="H264" s="737" t="s">
        <v>1032</v>
      </c>
      <c r="I264" s="737" t="s">
        <v>1044</v>
      </c>
      <c r="J264" s="737" t="s">
        <v>954</v>
      </c>
      <c r="K264" s="234"/>
      <c r="L264" s="308" t="s">
        <v>85</v>
      </c>
      <c r="M264" s="288"/>
      <c r="N264" s="291">
        <f>IFERROR(VLOOKUP($D264,'K.ĐỘNG LỰC'!$C$10:$AB$37,14,0),0)</f>
        <v>1</v>
      </c>
      <c r="O264" s="291">
        <f>IFERROR(VLOOKUP($D264,'K.ĐỘNG LỰC'!$C$10:$AB$37,25,0),0)</f>
        <v>1</v>
      </c>
      <c r="P264" s="313" t="str">
        <f t="shared" si="78"/>
        <v>A3</v>
      </c>
      <c r="Q264" s="341" t="str">
        <f t="shared" si="79"/>
        <v>A3</v>
      </c>
      <c r="R264" s="317"/>
      <c r="S264" s="664"/>
      <c r="T264" s="664"/>
      <c r="U264" s="176" t="str">
        <f t="shared" si="80"/>
        <v>A3</v>
      </c>
      <c r="V264" s="177"/>
      <c r="W264" s="330">
        <f>IFERROR(VLOOKUP($D264,'K.ĐỘNG LỰC'!$C$10:$AB$37,15,0),0)</f>
        <v>1</v>
      </c>
      <c r="X264" s="330">
        <f>IFERROR(VLOOKUP($D264,'K.ĐỘNG LỰC'!$C$10:$AB$37,26,0),0)</f>
        <v>1</v>
      </c>
      <c r="Y264" s="92"/>
      <c r="Z264" s="857"/>
      <c r="AA264" s="857"/>
      <c r="AB264" s="228"/>
      <c r="AC264" s="775"/>
      <c r="AD264" s="213"/>
      <c r="AE264" s="60" t="str">
        <f t="shared" si="71"/>
        <v>A3</v>
      </c>
      <c r="AF264" s="60"/>
      <c r="AG264" s="60"/>
      <c r="BD264" s="60" t="s">
        <v>881</v>
      </c>
      <c r="BE264" s="60" t="s">
        <v>868</v>
      </c>
    </row>
    <row r="265" spans="1:57" s="70" customFormat="1" ht="33" customHeight="1" x14ac:dyDescent="0.25">
      <c r="A265" s="63">
        <f>IF(D265="","",SUBTOTAL(3,$D$8:D265))</f>
        <v>225</v>
      </c>
      <c r="B265" s="63" t="s">
        <v>27</v>
      </c>
      <c r="C265" s="221" t="s">
        <v>352</v>
      </c>
      <c r="D265" s="185" t="s">
        <v>664</v>
      </c>
      <c r="E265" s="652"/>
      <c r="F265" s="652"/>
      <c r="G265" s="282" t="str">
        <f t="shared" si="77"/>
        <v>A3</v>
      </c>
      <c r="H265" s="737"/>
      <c r="I265" s="737"/>
      <c r="J265" s="737" t="s">
        <v>954</v>
      </c>
      <c r="K265" s="234"/>
      <c r="L265" s="308" t="s">
        <v>85</v>
      </c>
      <c r="M265" s="288"/>
      <c r="N265" s="291">
        <f>IFERROR(VLOOKUP($D265,'K.ĐỘNG LỰC'!$C$10:$AB$37,14,0),0)</f>
        <v>1</v>
      </c>
      <c r="O265" s="291">
        <f>IFERROR(VLOOKUP($D265,'K.ĐỘNG LỰC'!$C$10:$AB$37,25,0),0)</f>
        <v>0</v>
      </c>
      <c r="P265" s="313" t="str">
        <f t="shared" si="78"/>
        <v>A3</v>
      </c>
      <c r="Q265" s="341" t="str">
        <f t="shared" si="79"/>
        <v>A3</v>
      </c>
      <c r="R265" s="317"/>
      <c r="S265" s="664"/>
      <c r="T265" s="664"/>
      <c r="U265" s="176" t="str">
        <f t="shared" si="80"/>
        <v>A3</v>
      </c>
      <c r="V265" s="180">
        <f>R265</f>
        <v>0</v>
      </c>
      <c r="W265" s="330">
        <f>IFERROR(VLOOKUP($D265,'K.ĐỘNG LỰC'!$C$10:$AB$37,15,0),0)</f>
        <v>1</v>
      </c>
      <c r="X265" s="330">
        <f>IFERROR(VLOOKUP($D265,'K.ĐỘNG LỰC'!$C$10:$AB$37,26,0),0)</f>
        <v>0</v>
      </c>
      <c r="Y265" s="92"/>
      <c r="Z265" s="857"/>
      <c r="AA265" s="857"/>
      <c r="AB265" s="777"/>
      <c r="AC265" s="775"/>
      <c r="AD265" s="213"/>
      <c r="AE265" s="60" t="str">
        <f t="shared" si="71"/>
        <v>A3</v>
      </c>
      <c r="AF265" s="60"/>
      <c r="AG265" s="60"/>
      <c r="BD265" s="60" t="s">
        <v>881</v>
      </c>
      <c r="BE265" s="60" t="s">
        <v>868</v>
      </c>
    </row>
    <row r="266" spans="1:57" s="70" customFormat="1" ht="36.75" customHeight="1" x14ac:dyDescent="0.25">
      <c r="A266" s="63">
        <f>IF(D266="","",SUBTOTAL(3,$D$8:D266))</f>
        <v>226</v>
      </c>
      <c r="B266" s="63" t="s">
        <v>28</v>
      </c>
      <c r="C266" s="221" t="s">
        <v>353</v>
      </c>
      <c r="D266" s="185" t="s">
        <v>665</v>
      </c>
      <c r="E266" s="652"/>
      <c r="F266" s="652"/>
      <c r="G266" s="282" t="str">
        <f t="shared" si="77"/>
        <v>A1</v>
      </c>
      <c r="H266" s="737" t="s">
        <v>1025</v>
      </c>
      <c r="I266" s="737" t="s">
        <v>955</v>
      </c>
      <c r="J266" s="737" t="s">
        <v>954</v>
      </c>
      <c r="K266" s="234"/>
      <c r="L266" s="308" t="s">
        <v>85</v>
      </c>
      <c r="M266" s="288"/>
      <c r="N266" s="291">
        <f>IFERROR(VLOOKUP($D266,'K.ĐỘNG LỰC'!$C$10:$AB$37,14,0),0)</f>
        <v>1</v>
      </c>
      <c r="O266" s="291">
        <f>IFERROR(VLOOKUP($D266,'K.ĐỘNG LỰC'!$C$10:$AB$37,25,0),0)</f>
        <v>0</v>
      </c>
      <c r="P266" s="313" t="str">
        <f t="shared" ref="P266" si="81">IF(AND($W266&gt;=2,$X266&gt;=3,H266&lt;&gt;0),"A1",IF(AND($W266&gt;=3,$X266&gt;=1,H266&lt;&gt;0),"A1",IF(AND($W266&gt;=2,$X266&gt;=2,I266&lt;&gt;0),"A2",IF(AND($W266&gt;=3,$X266&gt;=0,I266&lt;&gt;0),"A2",IF(AND(OR($W266&gt;=1,$X266&gt;=2),J266&lt;&gt;0),"A3","A4")))))</f>
        <v>A3</v>
      </c>
      <c r="Q266" s="341" t="str">
        <f t="shared" ref="Q266" si="82">P266</f>
        <v>A3</v>
      </c>
      <c r="R266" s="317"/>
      <c r="S266" s="664"/>
      <c r="T266" s="664"/>
      <c r="U266" s="176" t="str">
        <f t="shared" si="80"/>
        <v>A3</v>
      </c>
      <c r="V266" s="177"/>
      <c r="W266" s="330">
        <f>IFERROR(VLOOKUP($D266,'K.ĐỘNG LỰC'!$C$10:$AB$37,15,0),0)</f>
        <v>1</v>
      </c>
      <c r="X266" s="330">
        <f>IFERROR(VLOOKUP($D266,'K.ĐỘNG LỰC'!$C$10:$AB$37,26,0),0)</f>
        <v>0</v>
      </c>
      <c r="Y266" s="92"/>
      <c r="Z266" s="861"/>
      <c r="AA266" s="857"/>
      <c r="AB266" s="242"/>
      <c r="AC266" s="836"/>
      <c r="AD266" s="213"/>
      <c r="AE266" s="60" t="str">
        <f t="shared" si="71"/>
        <v>A3</v>
      </c>
      <c r="AF266" s="60"/>
      <c r="AG266" s="60"/>
      <c r="BD266" s="60" t="s">
        <v>881</v>
      </c>
      <c r="BE266" s="60" t="s">
        <v>868</v>
      </c>
    </row>
    <row r="267" spans="1:57" s="70" customFormat="1" ht="79.5" customHeight="1" x14ac:dyDescent="0.25">
      <c r="A267" s="63">
        <f>IF(D267="","",SUBTOTAL(3,$D$8:D267))</f>
        <v>227</v>
      </c>
      <c r="B267" s="63" t="s">
        <v>29</v>
      </c>
      <c r="C267" s="221" t="s">
        <v>354</v>
      </c>
      <c r="D267" s="185" t="s">
        <v>666</v>
      </c>
      <c r="E267" s="652"/>
      <c r="F267" s="652"/>
      <c r="G267" s="282" t="str">
        <f t="shared" si="77"/>
        <v>A3</v>
      </c>
      <c r="H267" s="737"/>
      <c r="I267" s="737"/>
      <c r="J267" s="737" t="s">
        <v>954</v>
      </c>
      <c r="K267" s="234"/>
      <c r="L267" s="308" t="s">
        <v>312</v>
      </c>
      <c r="M267" s="288" t="s">
        <v>1274</v>
      </c>
      <c r="N267" s="291">
        <f>IFERROR(VLOOKUP($D267,'K.ĐỘNG LỰC'!$C$10:$AB$37,14,0),0)</f>
        <v>0</v>
      </c>
      <c r="O267" s="291">
        <f>IFERROR(VLOOKUP($D267,'K.ĐỘNG LỰC'!$C$10:$AB$37,25,0),0)</f>
        <v>0</v>
      </c>
      <c r="P267" s="313" t="s">
        <v>312</v>
      </c>
      <c r="Q267" s="1196" t="s">
        <v>141</v>
      </c>
      <c r="R267" s="319" t="s">
        <v>1273</v>
      </c>
      <c r="S267" s="672"/>
      <c r="T267" s="672"/>
      <c r="U267" s="176" t="str">
        <f t="shared" si="80"/>
        <v>B1</v>
      </c>
      <c r="V267" s="177"/>
      <c r="W267" s="330">
        <f>IFERROR(VLOOKUP($D267,'K.ĐỘNG LỰC'!$C$10:$AB$37,15,0),0)</f>
        <v>0</v>
      </c>
      <c r="X267" s="330">
        <f>IFERROR(VLOOKUP($D267,'K.ĐỘNG LỰC'!$C$10:$AB$37,26,0),0)</f>
        <v>0</v>
      </c>
      <c r="Y267" s="92"/>
      <c r="Z267" s="68" t="s">
        <v>1179</v>
      </c>
      <c r="AA267" s="4" t="s">
        <v>1177</v>
      </c>
      <c r="AB267" s="228"/>
      <c r="AC267" s="565"/>
      <c r="AD267" s="213"/>
      <c r="AE267" s="60" t="str">
        <f t="shared" ref="AE267:AE328" si="83">IF($L267=$P267,$L267,FALSE)</f>
        <v>C1</v>
      </c>
      <c r="AF267" s="60"/>
      <c r="AG267" s="60"/>
      <c r="BD267" s="60" t="s">
        <v>881</v>
      </c>
      <c r="BE267" s="60" t="s">
        <v>868</v>
      </c>
    </row>
    <row r="268" spans="1:57" s="70" customFormat="1" ht="36.75" customHeight="1" x14ac:dyDescent="0.25">
      <c r="A268" s="63">
        <f>IF(D268="","",SUBTOTAL(3,$D$8:D268))</f>
        <v>228</v>
      </c>
      <c r="B268" s="63" t="s">
        <v>30</v>
      </c>
      <c r="C268" s="222" t="s">
        <v>715</v>
      </c>
      <c r="D268" s="255" t="s">
        <v>716</v>
      </c>
      <c r="E268" s="652"/>
      <c r="F268" s="652"/>
      <c r="G268" s="282" t="str">
        <f t="shared" si="77"/>
        <v>A1</v>
      </c>
      <c r="H268" s="737" t="s">
        <v>1032</v>
      </c>
      <c r="I268" s="737" t="s">
        <v>1042</v>
      </c>
      <c r="J268" s="737" t="s">
        <v>954</v>
      </c>
      <c r="K268" s="234"/>
      <c r="L268" s="308" t="s">
        <v>83</v>
      </c>
      <c r="M268" s="288"/>
      <c r="N268" s="291">
        <f>IFERROR(VLOOKUP($D268,'K.ĐỘNG LỰC'!$C$10:$AB$37,14,0),0)</f>
        <v>0</v>
      </c>
      <c r="O268" s="291">
        <f>IFERROR(VLOOKUP($D268,'K.ĐỘNG LỰC'!$C$10:$AB$37,25,0),0)</f>
        <v>0</v>
      </c>
      <c r="P268" s="313" t="str">
        <f t="shared" si="78"/>
        <v>A4</v>
      </c>
      <c r="Q268" s="341" t="str">
        <f t="shared" si="79"/>
        <v>A4</v>
      </c>
      <c r="R268" s="320"/>
      <c r="S268" s="669"/>
      <c r="T268" s="669"/>
      <c r="U268" s="176" t="str">
        <f t="shared" si="80"/>
        <v>A4</v>
      </c>
      <c r="V268" s="177"/>
      <c r="W268" s="330">
        <f>IFERROR(VLOOKUP($D268,'K.ĐỘNG LỰC'!$C$10:$AB$37,15,0),0)</f>
        <v>0</v>
      </c>
      <c r="X268" s="330">
        <f>IFERROR(VLOOKUP($D268,'K.ĐỘNG LỰC'!$C$10:$AB$37,26,0),0)</f>
        <v>0</v>
      </c>
      <c r="Y268" s="92"/>
      <c r="Z268" s="4"/>
      <c r="AA268" s="4"/>
      <c r="AB268" s="242"/>
      <c r="AC268" s="250"/>
      <c r="AD268" s="213"/>
      <c r="AE268" s="60" t="str">
        <f t="shared" si="83"/>
        <v>A4</v>
      </c>
      <c r="AF268" s="60"/>
      <c r="AG268" s="60"/>
      <c r="BD268" s="60" t="s">
        <v>881</v>
      </c>
      <c r="BE268" s="60" t="s">
        <v>868</v>
      </c>
    </row>
    <row r="269" spans="1:57" s="70" customFormat="1" ht="36.75" customHeight="1" x14ac:dyDescent="0.25">
      <c r="A269" s="63">
        <f>IF(D269="","",SUBTOTAL(3,$D$8:D269))</f>
        <v>229</v>
      </c>
      <c r="B269" s="63"/>
      <c r="C269" s="222" t="s">
        <v>759</v>
      </c>
      <c r="D269" s="92" t="s">
        <v>760</v>
      </c>
      <c r="E269" s="652"/>
      <c r="F269" s="652"/>
      <c r="G269" s="282" t="str">
        <f t="shared" si="77"/>
        <v>A1</v>
      </c>
      <c r="H269" s="737" t="s">
        <v>1045</v>
      </c>
      <c r="I269" s="737" t="s">
        <v>957</v>
      </c>
      <c r="J269" s="737" t="s">
        <v>954</v>
      </c>
      <c r="K269" s="234"/>
      <c r="L269" s="308" t="s">
        <v>83</v>
      </c>
      <c r="M269" s="288"/>
      <c r="N269" s="291">
        <f>IFERROR(VLOOKUP($D269,'K.ĐỘNG LỰC'!$C$10:$AB$37,14,0),0)</f>
        <v>0</v>
      </c>
      <c r="O269" s="291">
        <f>IFERROR(VLOOKUP($D269,'K.ĐỘNG LỰC'!$C$10:$AB$37,25,0),0)</f>
        <v>0</v>
      </c>
      <c r="P269" s="313" t="str">
        <f t="shared" si="78"/>
        <v>A4</v>
      </c>
      <c r="Q269" s="341" t="str">
        <f t="shared" si="79"/>
        <v>A4</v>
      </c>
      <c r="R269" s="319"/>
      <c r="S269" s="672"/>
      <c r="T269" s="672"/>
      <c r="U269" s="176" t="str">
        <f t="shared" si="80"/>
        <v>A4</v>
      </c>
      <c r="V269" s="177"/>
      <c r="W269" s="330">
        <f>IFERROR(VLOOKUP($D269,'K.ĐỘNG LỰC'!$C$10:$AB$37,15,0),0)</f>
        <v>0</v>
      </c>
      <c r="X269" s="330">
        <f>IFERROR(VLOOKUP($D269,'K.ĐỘNG LỰC'!$C$10:$AB$37,26,0),0)</f>
        <v>0</v>
      </c>
      <c r="Y269" s="92"/>
      <c r="Z269" s="4"/>
      <c r="AA269" s="68"/>
      <c r="AB269" s="492"/>
      <c r="AC269" s="565"/>
      <c r="AD269" s="213"/>
      <c r="AE269" s="60" t="str">
        <f t="shared" si="83"/>
        <v>A4</v>
      </c>
      <c r="AF269" s="60"/>
      <c r="AG269" s="60"/>
      <c r="BD269" s="60" t="s">
        <v>881</v>
      </c>
      <c r="BE269" s="60" t="s">
        <v>868</v>
      </c>
    </row>
    <row r="270" spans="1:57" s="70" customFormat="1" ht="36.75" customHeight="1" x14ac:dyDescent="0.25">
      <c r="A270" s="63">
        <f>IF(D270="","",SUBTOTAL(3,$D$8:D270))</f>
        <v>230</v>
      </c>
      <c r="B270" s="63"/>
      <c r="C270" s="222" t="s">
        <v>766</v>
      </c>
      <c r="D270" s="255" t="s">
        <v>771</v>
      </c>
      <c r="E270" s="652"/>
      <c r="F270" s="652"/>
      <c r="G270" s="282" t="str">
        <f t="shared" si="77"/>
        <v>A3</v>
      </c>
      <c r="H270" s="737"/>
      <c r="I270" s="737"/>
      <c r="J270" s="737" t="s">
        <v>954</v>
      </c>
      <c r="K270" s="234"/>
      <c r="L270" s="308" t="s">
        <v>83</v>
      </c>
      <c r="M270" s="288"/>
      <c r="N270" s="291">
        <f>IFERROR(VLOOKUP($D270,'K.ĐỘNG LỰC'!$C$10:$AB$37,14,0),0)</f>
        <v>0</v>
      </c>
      <c r="O270" s="291">
        <f>IFERROR(VLOOKUP($D270,'K.ĐỘNG LỰC'!$C$10:$AB$37,25,0),0)</f>
        <v>0</v>
      </c>
      <c r="P270" s="313" t="str">
        <f t="shared" ref="P270" si="84">IF(AND($W270&gt;=2,$X270&gt;=3,H270&lt;&gt;0),"A1",IF(AND($W270&gt;=3,$X270&gt;=1,H270&lt;&gt;0),"A1",IF(AND($W270&gt;=2,$X270&gt;=2,I270&lt;&gt;0),"A2",IF(AND($W270&gt;=3,$X270&gt;=0,I270&lt;&gt;0),"A2",IF(AND(OR($W270&gt;=1,$X270&gt;=2),J270&lt;&gt;0),"A3","A4")))))</f>
        <v>A4</v>
      </c>
      <c r="Q270" s="341" t="str">
        <f t="shared" ref="Q270" si="85">P270</f>
        <v>A4</v>
      </c>
      <c r="R270" s="319"/>
      <c r="S270" s="672"/>
      <c r="T270" s="672"/>
      <c r="U270" s="176" t="str">
        <f t="shared" si="80"/>
        <v>A4</v>
      </c>
      <c r="V270" s="177"/>
      <c r="W270" s="330">
        <f>IFERROR(VLOOKUP($D270,'K.ĐỘNG LỰC'!$C$10:$AB$37,15,0),0)</f>
        <v>0</v>
      </c>
      <c r="X270" s="330">
        <f>IFERROR(VLOOKUP($D270,'K.ĐỘNG LỰC'!$C$10:$AB$37,26,0),0)</f>
        <v>0</v>
      </c>
      <c r="Y270" s="92"/>
      <c r="Z270" s="68"/>
      <c r="AA270" s="4"/>
      <c r="AB270" s="228"/>
      <c r="AC270" s="249"/>
      <c r="AD270" s="213"/>
      <c r="AE270" s="60" t="str">
        <f>IF($L270=$P270,$L270,FALSE)</f>
        <v>A4</v>
      </c>
      <c r="AF270" s="60"/>
      <c r="BD270" s="60" t="s">
        <v>881</v>
      </c>
      <c r="BE270" s="60" t="s">
        <v>868</v>
      </c>
    </row>
    <row r="271" spans="1:57" s="70" customFormat="1" ht="36.75" customHeight="1" x14ac:dyDescent="0.25">
      <c r="A271" s="63">
        <f>IF(D271="","",SUBTOTAL(3,$D$8:D271))</f>
        <v>231</v>
      </c>
      <c r="B271" s="63"/>
      <c r="C271" s="222" t="s">
        <v>853</v>
      </c>
      <c r="D271" s="92" t="s">
        <v>858</v>
      </c>
      <c r="E271" s="652"/>
      <c r="F271" s="652"/>
      <c r="G271" s="282" t="str">
        <f>IF($H271&lt;&gt;0,"A1",IF($I271&lt;&gt;0,"A2",IF($J271&lt;&gt;0,"A3","A4")))</f>
        <v>A4</v>
      </c>
      <c r="H271" s="737"/>
      <c r="I271" s="737"/>
      <c r="J271" s="737"/>
      <c r="K271" s="234"/>
      <c r="L271" s="308" t="s">
        <v>83</v>
      </c>
      <c r="M271" s="288"/>
      <c r="N271" s="291">
        <f>IFERROR(VLOOKUP($D271,'K.ĐỘNG LỰC'!$C$10:$AB$37,14,0),0)</f>
        <v>0</v>
      </c>
      <c r="O271" s="291">
        <f>IFERROR(VLOOKUP($D271,'K.ĐỘNG LỰC'!$C$10:$AB$37,25,0),0)</f>
        <v>0</v>
      </c>
      <c r="P271" s="313" t="str">
        <f>IF(AND($W271&gt;=2,$X271&gt;=3,H271&lt;&gt;0),"A1",IF(AND($W271&gt;=3,$X271&gt;=1,H271&lt;&gt;0),"A1",IF(AND($W271&gt;=2,$X271&gt;=2,I271&lt;&gt;0),"A2",IF(AND($W271&gt;=3,$X271&gt;=0,I271&lt;&gt;0),"A2",IF(AND(OR($W271&gt;=1,$X271&gt;=2),J271&lt;&gt;0),"A3","A4")))))</f>
        <v>A4</v>
      </c>
      <c r="Q271" s="341" t="str">
        <f>P271</f>
        <v>A4</v>
      </c>
      <c r="R271" s="319"/>
      <c r="S271" s="672"/>
      <c r="T271" s="672"/>
      <c r="U271" s="176" t="str">
        <f>$Q271</f>
        <v>A4</v>
      </c>
      <c r="V271" s="177"/>
      <c r="W271" s="330">
        <f>IFERROR(VLOOKUP($D271,'K.ĐỘNG LỰC'!$C$10:$AB$37,15,0),0)</f>
        <v>0</v>
      </c>
      <c r="X271" s="330">
        <f>IFERROR(VLOOKUP($D271,'K.ĐỘNG LỰC'!$C$10:$AB$37,26,0),0)</f>
        <v>0</v>
      </c>
      <c r="Y271" s="92"/>
      <c r="Z271" s="4"/>
      <c r="AA271" s="85"/>
      <c r="AB271" s="492"/>
      <c r="AC271" s="565"/>
      <c r="AD271" s="213"/>
      <c r="AE271" s="60" t="str">
        <f>IF($L271=$P271,$L271,FALSE)</f>
        <v>A4</v>
      </c>
      <c r="AF271" s="60"/>
      <c r="BD271" s="60" t="s">
        <v>881</v>
      </c>
      <c r="BE271" s="60" t="s">
        <v>868</v>
      </c>
    </row>
    <row r="272" spans="1:57" s="70" customFormat="1" ht="36.75" customHeight="1" x14ac:dyDescent="0.25">
      <c r="A272" s="63">
        <f>IF(D272="","",SUBTOTAL(3,$D$8:D272))</f>
        <v>232</v>
      </c>
      <c r="B272" s="898"/>
      <c r="C272" s="909" t="s">
        <v>1094</v>
      </c>
      <c r="D272" s="910" t="s">
        <v>1095</v>
      </c>
      <c r="E272" s="900"/>
      <c r="F272" s="900"/>
      <c r="G272" s="282" t="str">
        <f>IF($H272&lt;&gt;0,"A1",IF($I272&lt;&gt;0,"A2",IF($J272&lt;&gt;0,"A3","A4")))</f>
        <v>A4</v>
      </c>
      <c r="H272" s="901"/>
      <c r="I272" s="901"/>
      <c r="J272" s="901"/>
      <c r="K272" s="900"/>
      <c r="L272" s="308" t="s">
        <v>83</v>
      </c>
      <c r="M272" s="902"/>
      <c r="N272" s="291">
        <f>IFERROR(VLOOKUP($D272,'K.ĐỘNG LỰC'!$C$10:$AB$37,14,0),0)</f>
        <v>0</v>
      </c>
      <c r="O272" s="291">
        <f>IFERROR(VLOOKUP($D272,'K.ĐỘNG LỰC'!$C$10:$AB$37,25,0),0)</f>
        <v>0</v>
      </c>
      <c r="P272" s="313" t="str">
        <f>IF(AND($W272&gt;=2,$X272&gt;=3,H272&lt;&gt;0),"A1",IF(AND($W272&gt;=3,$X272&gt;=1,H272&lt;&gt;0),"A1",IF(AND($W272&gt;=2,$X272&gt;=2,I272&lt;&gt;0),"A2",IF(AND($W272&gt;=3,$X272&gt;=0,I272&lt;&gt;0),"A2",IF(AND(OR($W272&gt;=1,$X272&gt;=2),J272&lt;&gt;0),"A3","A4")))))</f>
        <v>A4</v>
      </c>
      <c r="Q272" s="341" t="str">
        <f>P272</f>
        <v>A4</v>
      </c>
      <c r="R272" s="911"/>
      <c r="S272" s="912"/>
      <c r="T272" s="912"/>
      <c r="U272" s="176" t="str">
        <f>$Q272</f>
        <v>A4</v>
      </c>
      <c r="V272" s="905"/>
      <c r="W272" s="330">
        <f>IFERROR(VLOOKUP($D272,'K.ĐỘNG LỰC'!$C$10:$AB$37,15,0),0)</f>
        <v>0</v>
      </c>
      <c r="X272" s="330">
        <f>IFERROR(VLOOKUP($D272,'K.ĐỘNG LỰC'!$C$10:$AB$37,26,0),0)</f>
        <v>0</v>
      </c>
      <c r="Y272" s="913"/>
      <c r="Z272" s="914"/>
      <c r="AA272" s="915"/>
      <c r="AB272" s="916"/>
      <c r="AC272" s="917"/>
      <c r="AD272" s="908"/>
      <c r="AE272" s="60" t="str">
        <f>IF($L272=$P272,$L272,FALSE)</f>
        <v>A4</v>
      </c>
      <c r="AF272" s="60"/>
      <c r="BD272" s="60" t="s">
        <v>881</v>
      </c>
      <c r="BE272" s="60" t="s">
        <v>868</v>
      </c>
    </row>
    <row r="273" spans="1:59" s="57" customFormat="1" ht="33" customHeight="1" x14ac:dyDescent="0.25">
      <c r="A273" s="65" t="s">
        <v>51</v>
      </c>
      <c r="B273" s="65" t="s">
        <v>47</v>
      </c>
      <c r="C273" s="264" t="s">
        <v>48</v>
      </c>
      <c r="D273" s="65"/>
      <c r="E273" s="652"/>
      <c r="F273" s="652"/>
      <c r="G273" s="280">
        <f>COUNTA($L274:$L274)</f>
        <v>1</v>
      </c>
      <c r="H273" s="737"/>
      <c r="I273" s="737"/>
      <c r="J273" s="737"/>
      <c r="K273" s="234"/>
      <c r="L273" s="500">
        <f>COUNTA($L274:$L274)</f>
        <v>1</v>
      </c>
      <c r="M273" s="286" t="str">
        <f>(COUNTIF($L$274:$L$274,"A1")&amp;"A1")&amp;" + "&amp;(COUNTIF($L$274:$L$274,"A2")&amp;"A2")&amp;" + "&amp;(COUNTIF($L$274:$L$274,"A3")&amp;"A3")&amp;" + "&amp;(COUNTIF($L$274:$L$274,"A4")&amp;" A4")</f>
        <v>1A1 + 0A2 + 0A3 + 0 A4</v>
      </c>
      <c r="N273" s="297"/>
      <c r="O273" s="500"/>
      <c r="P273" s="311">
        <f>COUNTA($Q274:$Q274)</f>
        <v>1</v>
      </c>
      <c r="Q273" s="340">
        <f>COUNTA($Q274:$Q274)</f>
        <v>1</v>
      </c>
      <c r="R273" s="312" t="str">
        <f>(COUNTIF($Q$274:$Q$274,"A1")&amp;"A1")&amp;" + "&amp;(COUNTIF($Q$274:$Q$274,"A2")&amp;"A2")&amp;" + "&amp;(COUNTIF($Q$274:$Q$274,"A3")&amp;"A3")&amp;" + "&amp;(COUNTIF($Q$274:$Q$274,"A4")&amp;"A4")</f>
        <v>1A1 + 0A2 + 0A3 + 0A4</v>
      </c>
      <c r="S273" s="661"/>
      <c r="T273" s="661"/>
      <c r="U273" s="174">
        <f>COUNTA($U274:$U274)</f>
        <v>1</v>
      </c>
      <c r="V273" s="175" t="str">
        <f>(COUNTIF($U$274:$U$274,"A1")&amp;"A1")&amp;" + "&amp;(COUNTIF($U$274:$U$274,"A2")&amp;"A2")&amp;" + "&amp;(COUNTIF($U$274:$U$274,"A3")&amp;"A3")&amp;" + "&amp;(COUNTIF($U$274:$U$274,"A4")&amp;"A4")&amp;" + "&amp;(COUNTIF($U$274:$U$274,"B1")&amp;"B1")&amp;" + "&amp;(COUNTIF($U$274:$U$274,"B2")&amp;"B2")&amp;" + "&amp;(COUNTIF($U$274:$U$274,"C1")&amp;"C1")</f>
        <v>1A1 + 0A2 + 0A3 + 0A4 + 0B1 + 0B2 + 0C1</v>
      </c>
      <c r="W273" s="321"/>
      <c r="X273" s="501"/>
      <c r="Y273" s="556"/>
      <c r="Z273" s="95"/>
      <c r="AA273" s="95"/>
      <c r="AB273" s="242"/>
      <c r="AC273" s="250"/>
      <c r="AD273" s="213"/>
      <c r="AE273" s="60"/>
      <c r="AF273" s="60"/>
      <c r="AG273" s="70"/>
      <c r="AH273" s="542"/>
      <c r="AI273" s="542"/>
      <c r="AK273" s="589"/>
      <c r="AL273" s="589"/>
      <c r="AM273" s="589"/>
      <c r="AN273" s="589"/>
      <c r="AO273" s="589"/>
      <c r="AP273" s="589"/>
      <c r="AQ273" s="589"/>
      <c r="AR273" s="589"/>
      <c r="AS273" s="589"/>
      <c r="AT273" s="589"/>
      <c r="AU273" s="589"/>
      <c r="AV273" s="589"/>
      <c r="AW273" s="589"/>
      <c r="AX273" s="589"/>
      <c r="AY273" s="589"/>
      <c r="AZ273" s="589"/>
      <c r="BA273" s="589"/>
      <c r="BB273" s="589"/>
      <c r="BD273" s="60"/>
      <c r="BE273" s="60"/>
    </row>
    <row r="274" spans="1:59" s="57" customFormat="1" ht="33" customHeight="1" x14ac:dyDescent="0.25">
      <c r="A274" s="63">
        <f>IF(D274="","",SUBTOTAL(3,$D$8:D274))</f>
        <v>233</v>
      </c>
      <c r="B274" s="63" t="s">
        <v>31</v>
      </c>
      <c r="C274" s="221" t="s">
        <v>398</v>
      </c>
      <c r="D274" s="185" t="s">
        <v>667</v>
      </c>
      <c r="E274" s="652"/>
      <c r="F274" s="652"/>
      <c r="G274" s="282" t="str">
        <f t="shared" si="77"/>
        <v>A1</v>
      </c>
      <c r="H274" s="737" t="s">
        <v>1033</v>
      </c>
      <c r="I274" s="737" t="s">
        <v>967</v>
      </c>
      <c r="J274" s="737" t="s">
        <v>954</v>
      </c>
      <c r="K274" s="234"/>
      <c r="L274" s="483" t="s">
        <v>82</v>
      </c>
      <c r="M274" s="288"/>
      <c r="N274" s="291">
        <f>IFERROR(VLOOKUP($D274,'K.ĐỘNG LỰC'!$C$10:$AB$37,14,0),0)</f>
        <v>3</v>
      </c>
      <c r="O274" s="291">
        <f>IFERROR(VLOOKUP($D274,'K.ĐỘNG LỰC'!$C$10:$AB$37,25,0),0)</f>
        <v>2</v>
      </c>
      <c r="P274" s="313" t="str">
        <f t="shared" ref="P274" si="86">IF(AND($W274&gt;=2,$X274&gt;=3,$Y274&gt;=1,H274&lt;&gt;0),"A1",IF(AND($W274&gt;=3,$X274&gt;=1,$Y274&gt;=1,H274&lt;&gt;0),"A1",IF(AND($W274&gt;=2,$X274&gt;=2,$Y274&gt;=1,I274&lt;&gt;0),"A2",IF(AND($W274&gt;=3,$X274&gt;=0,$Y274&gt;=1,I274&lt;&gt;0),"A2",IF(AND(OR($W274&gt;=1,$X274&gt;=2),J274&lt;&gt;0,$Y274&gt;=0),"A3","A4")))))</f>
        <v>A1</v>
      </c>
      <c r="Q274" s="341" t="str">
        <f>P274</f>
        <v>A1</v>
      </c>
      <c r="R274" s="315"/>
      <c r="S274" s="662"/>
      <c r="T274" s="662"/>
      <c r="U274" s="176" t="str">
        <f t="shared" si="80"/>
        <v>A1</v>
      </c>
      <c r="V274" s="177"/>
      <c r="W274" s="330">
        <f>IFERROR(VLOOKUP($D274,'K.ĐỘNG LỰC'!$C$10:$AB$37,15,0),0)</f>
        <v>3</v>
      </c>
      <c r="X274" s="330">
        <f>IFERROR(VLOOKUP($D274,'K.ĐỘNG LỰC'!$C$10:$AB$37,26,0),0)</f>
        <v>2</v>
      </c>
      <c r="Y274" s="1021">
        <v>1</v>
      </c>
      <c r="Z274" s="4"/>
      <c r="AA274" s="4"/>
      <c r="AB274" s="242"/>
      <c r="AC274" s="250"/>
      <c r="AD274" s="213"/>
      <c r="AE274" s="60" t="str">
        <f t="shared" si="83"/>
        <v>A1</v>
      </c>
      <c r="AF274" s="60"/>
      <c r="AG274" s="607"/>
      <c r="AH274" s="94"/>
      <c r="AI274" s="94"/>
      <c r="AJ274" s="94"/>
      <c r="AK274" s="589"/>
      <c r="AL274" s="589"/>
      <c r="AM274" s="589"/>
      <c r="AN274" s="589"/>
      <c r="AO274" s="589"/>
      <c r="AP274" s="589"/>
      <c r="AQ274" s="589"/>
      <c r="AR274" s="589"/>
      <c r="AS274" s="589"/>
      <c r="AT274" s="589"/>
      <c r="AU274" s="589"/>
      <c r="AV274" s="589"/>
      <c r="AW274" s="589"/>
      <c r="AX274" s="589"/>
      <c r="AY274" s="589"/>
      <c r="AZ274" s="589"/>
      <c r="BA274" s="589"/>
      <c r="BB274" s="589"/>
      <c r="BD274" s="60" t="s">
        <v>881</v>
      </c>
      <c r="BE274" s="60" t="s">
        <v>868</v>
      </c>
    </row>
    <row r="275" spans="1:59" ht="54.75" customHeight="1" x14ac:dyDescent="0.25">
      <c r="A275" s="62" t="s">
        <v>734</v>
      </c>
      <c r="B275" s="62" t="s">
        <v>733</v>
      </c>
      <c r="C275" s="64" t="s">
        <v>555</v>
      </c>
      <c r="D275" s="62"/>
      <c r="E275" s="652"/>
      <c r="F275" s="652"/>
      <c r="G275" s="280">
        <f>COUNTA($L277:$L306)</f>
        <v>30</v>
      </c>
      <c r="H275" s="234"/>
      <c r="I275" s="234"/>
      <c r="J275" s="234"/>
      <c r="K275" s="234"/>
      <c r="L275" s="500">
        <f>COUNTA($L277:$L306)</f>
        <v>30</v>
      </c>
      <c r="M275" s="286" t="str">
        <f>(COUNTIF($L$277:$L$306,"A1")&amp;"A1")&amp;" + "&amp;(COUNTIF($L$277:$L$306,"A2")&amp;"A2")&amp;" + "&amp;(COUNTIF($L$277:$L$306,"A3")&amp;"A3")&amp;" + "&amp;(COUNTIF($L$277:$L$306,"A4")&amp;"A4")&amp;" + "&amp;(COUNTIF($L$277:$L$306,"B1")&amp;"B1")&amp;" + "&amp;(COUNTIF($L$277:$L$306,"B2")&amp;"B2")&amp;" + "&amp;(COUNTIF($L$277:$L$306,"C1")&amp;"C1")</f>
        <v>7A1 + 3A2 + 17A3 + 3A4 + 0B1 + 0B2 + 0C1</v>
      </c>
      <c r="N275" s="500"/>
      <c r="O275" s="500"/>
      <c r="P275" s="311">
        <f>COUNTA($Q$277:$Q$306)</f>
        <v>30</v>
      </c>
      <c r="Q275" s="340">
        <f>COUNTA($Q$277:$Q$306)</f>
        <v>30</v>
      </c>
      <c r="R275" s="312" t="str">
        <f>(COUNTIF($Q$277:$Q$306,"A1")&amp;"A1")&amp;" + "&amp;(COUNTIF($Q$277:$Q$306,"A2")&amp;"A2")&amp;" + "&amp;(COUNTIF($Q$277:$Q$306,"A3")&amp;"A3")&amp;" + "&amp;(COUNTIF($Q$277:$Q$306,"A4")&amp;"A4")&amp;" + "&amp;(COUNTIF($Q$277:$Q$306,"B1")&amp;"B1")&amp;" + "&amp;(COUNTIF($Q$277:$Q$306,"B2")&amp;"B2")&amp;" + "&amp;(COUNTIF($Q$277:$Q$306,"C1")&amp;"C1")</f>
        <v>6A1 + 3A2 + 18A3 + 3A4 + 0B1 + 0B2 + 0C1</v>
      </c>
      <c r="S275" s="661"/>
      <c r="T275" s="661"/>
      <c r="U275" s="174">
        <f>COUNTA($U277:$U306)</f>
        <v>30</v>
      </c>
      <c r="V275" s="175" t="str">
        <f>(COUNTIF($U$277:$U$306,"A1")&amp;"A1")&amp;" + "&amp;(COUNTIF($U$277:$U$306,"A2")&amp;"A2")&amp;" + "&amp;(COUNTIF($U$277:$U$306,"A3")&amp;"A3")&amp;" + "&amp;(COUNTIF($U$277:$U$306,"A4")&amp;"A4")&amp;" + "&amp;(COUNTIF($U$277:$U$306,"B1")&amp;"B1")&amp;" + "&amp;(COUNTIF($U$277:$U$306,"B2")&amp;"B2")&amp;" + "&amp;(COUNTIF($U$277:$U$306,"C1")&amp;"C1")</f>
        <v>6A1 + 3A2 + 18A3 + 3A4 + 0B1 + 0B2 + 0C1</v>
      </c>
      <c r="W275" s="501"/>
      <c r="X275" s="501"/>
      <c r="Y275" s="556"/>
      <c r="Z275" s="95"/>
      <c r="AA275" s="95"/>
      <c r="AB275" s="242"/>
      <c r="AC275" s="529"/>
      <c r="AD275" s="219"/>
      <c r="AE275" s="60"/>
      <c r="AF275" s="60"/>
      <c r="AG275" s="607"/>
      <c r="AH275" s="608"/>
      <c r="AI275" s="608"/>
      <c r="AK275" s="1327" t="s">
        <v>906</v>
      </c>
      <c r="AL275" s="1327"/>
      <c r="AM275" s="1327"/>
      <c r="AN275" s="1327"/>
      <c r="AO275" s="1327"/>
      <c r="AP275" s="1327"/>
      <c r="AQ275" s="1327"/>
      <c r="AR275" s="1327"/>
      <c r="AS275" s="1327"/>
      <c r="AT275" s="1327"/>
      <c r="AU275" s="1327"/>
      <c r="AV275" s="1327"/>
      <c r="AW275" s="1327"/>
      <c r="AX275" s="1327"/>
      <c r="AY275" s="1327"/>
      <c r="AZ275" s="1327"/>
      <c r="BA275" s="1327"/>
      <c r="BB275" s="1327"/>
      <c r="BF275" s="60">
        <f>COUNTIF($BE277:$BE306,"CBQL")</f>
        <v>3</v>
      </c>
      <c r="BG275" s="60">
        <f>COUNTIF($BE277:$BE306,"GV") + COUNTIF($BE277:$BE306,"NV")</f>
        <v>27</v>
      </c>
    </row>
    <row r="276" spans="1:59" s="57" customFormat="1" ht="54.75" customHeight="1" x14ac:dyDescent="0.25">
      <c r="A276" s="65" t="s">
        <v>45</v>
      </c>
      <c r="B276" s="65" t="s">
        <v>45</v>
      </c>
      <c r="C276" s="66" t="s">
        <v>46</v>
      </c>
      <c r="D276" s="65"/>
      <c r="E276" s="691" t="s">
        <v>949</v>
      </c>
      <c r="F276" s="691" t="s">
        <v>950</v>
      </c>
      <c r="G276" s="280">
        <f>COUNTA($L277:$L306)</f>
        <v>30</v>
      </c>
      <c r="H276" s="234"/>
      <c r="I276" s="234"/>
      <c r="J276" s="234"/>
      <c r="K276" s="234"/>
      <c r="L276" s="500">
        <f>COUNTA($L277:$L306)</f>
        <v>30</v>
      </c>
      <c r="M276" s="286" t="str">
        <f>(COUNTIF($L$277:$L$306,"A1")&amp;"A1")&amp;" + "&amp;(COUNTIF($L$277:$L$306,"A2")&amp;"A2")&amp;" + "&amp;(COUNTIF($L$277:$L$306,"A3")&amp;"A3")&amp;" + "&amp;(COUNTIF($L$277:$L$306,"A4")&amp;"A4")&amp;" + "&amp;(COUNTIF($L$277:$L$306,"B1")&amp;"B1")&amp;" + "&amp;(COUNTIF($L$277:$L$306,"B2")&amp;"B2")&amp;" + "&amp;(COUNTIF($L$277:$L$306,"C1")&amp;"C1")</f>
        <v>7A1 + 3A2 + 17A3 + 3A4 + 0B1 + 0B2 + 0C1</v>
      </c>
      <c r="N276" s="500"/>
      <c r="O276" s="500"/>
      <c r="P276" s="311">
        <f>COUNTA($Q$277:$Q$306)</f>
        <v>30</v>
      </c>
      <c r="Q276" s="340">
        <f>COUNTA($Q$277:$Q$306)</f>
        <v>30</v>
      </c>
      <c r="R276" s="312" t="str">
        <f>(COUNTIF($Q$277:$Q$306,"A1")&amp;"A1")&amp;" + "&amp;(COUNTIF($Q$277:$Q$306,"A2")&amp;"A2")&amp;" + "&amp;(COUNTIF($Q$277:$Q$306,"A3")&amp;"A3")&amp;" + "&amp;(COUNTIF($Q$277:$Q$306,"A4")&amp;"A4")&amp;" + "&amp;(COUNTIF($Q$277:$Q$306,"B1")&amp;"B1")&amp;" + "&amp;(COUNTIF($Q$277:$Q$306,"B2")&amp;"B2")&amp;" + "&amp;(COUNTIF($Q$277:$Q$306,"C1")&amp;"C1")</f>
        <v>6A1 + 3A2 + 18A3 + 3A4 + 0B1 + 0B2 + 0C1</v>
      </c>
      <c r="S276" s="691" t="s">
        <v>949</v>
      </c>
      <c r="T276" s="691" t="s">
        <v>950</v>
      </c>
      <c r="U276" s="174">
        <f>COUNTA($U277:$U306)</f>
        <v>30</v>
      </c>
      <c r="V276" s="175" t="str">
        <f>(COUNTIF($U$277:$U$306,"A1")&amp;"A1")&amp;" + "&amp;(COUNTIF($U$277:$U$306,"A2")&amp;"A2")&amp;" + "&amp;(COUNTIF($U$277:$U$306,"A3")&amp;"A3")&amp;" + "&amp;(COUNTIF($U$277:$U$306,"A4")&amp;"A4")&amp;" + "&amp;(COUNTIF($U$277:$U$306,"B1")&amp;"B1")&amp;" + "&amp;(COUNTIF($U$277:$U$306,"B2")&amp;"B2")&amp;" + "&amp;(COUNTIF($U$277:$U$306,"C1")&amp;"C1")</f>
        <v>6A1 + 3A2 + 18A3 + 3A4 + 0B1 + 0B2 + 0C1</v>
      </c>
      <c r="W276" s="501"/>
      <c r="X276" s="501"/>
      <c r="Y276" s="556"/>
      <c r="Z276" s="95"/>
      <c r="AA276" s="95"/>
      <c r="AB276" s="242"/>
      <c r="AC276" s="250"/>
      <c r="AD276" s="213"/>
      <c r="AE276" s="60"/>
      <c r="AF276" s="60"/>
      <c r="AG276" s="1328" t="s">
        <v>915</v>
      </c>
      <c r="AH276" s="1328"/>
      <c r="AI276" s="1328"/>
      <c r="AJ276" s="59"/>
      <c r="AK276" s="598" t="s">
        <v>927</v>
      </c>
      <c r="AL276" s="598" t="s">
        <v>907</v>
      </c>
      <c r="AM276" s="1329" t="s">
        <v>897</v>
      </c>
      <c r="AN276" s="1329"/>
      <c r="AO276" s="1329" t="s">
        <v>898</v>
      </c>
      <c r="AP276" s="1329"/>
      <c r="AQ276" s="1329" t="s">
        <v>899</v>
      </c>
      <c r="AR276" s="1329"/>
      <c r="AS276" s="1329" t="s">
        <v>900</v>
      </c>
      <c r="AT276" s="1329"/>
      <c r="AU276" s="1329" t="s">
        <v>902</v>
      </c>
      <c r="AV276" s="1329"/>
      <c r="AW276" s="1329" t="s">
        <v>903</v>
      </c>
      <c r="AX276" s="1329"/>
      <c r="AY276" s="1329" t="s">
        <v>904</v>
      </c>
      <c r="AZ276" s="1329"/>
      <c r="BA276" s="1329" t="s">
        <v>905</v>
      </c>
      <c r="BB276" s="1329"/>
      <c r="BD276" s="60"/>
      <c r="BE276" s="60"/>
    </row>
    <row r="277" spans="1:59" s="57" customFormat="1" ht="49.5" customHeight="1" x14ac:dyDescent="0.25">
      <c r="A277" s="63">
        <f>IF(D277="","",SUBTOTAL(3,$D$8:D277))</f>
        <v>234</v>
      </c>
      <c r="B277" s="63" t="s">
        <v>5</v>
      </c>
      <c r="C277" s="79" t="s">
        <v>503</v>
      </c>
      <c r="D277" s="72" t="s">
        <v>112</v>
      </c>
      <c r="E277" s="692">
        <f>COUNTIF($L280:$L306,"A1")</f>
        <v>5</v>
      </c>
      <c r="F277" s="692">
        <f>COUNTIF($L280:$L306,"A2")</f>
        <v>2</v>
      </c>
      <c r="G277" s="282" t="str">
        <f t="shared" ref="G277:G306" si="87">IF($H277&lt;&gt;0,"A1",IF($I277&lt;&gt;0,"A2",IF($J277&lt;&gt;0,"A3","A4")))</f>
        <v>A1</v>
      </c>
      <c r="H277" s="737" t="s">
        <v>982</v>
      </c>
      <c r="I277" s="738" t="s">
        <v>992</v>
      </c>
      <c r="J277" s="737" t="s">
        <v>976</v>
      </c>
      <c r="K277" s="739" t="s">
        <v>1055</v>
      </c>
      <c r="L277" s="308" t="s">
        <v>82</v>
      </c>
      <c r="M277" s="290" t="s">
        <v>1203</v>
      </c>
      <c r="N277" s="291">
        <f>IFERROR(VLOOKUP($D277,'K.Đ-ĐTỬ'!$C$10:$AE$39,14,0),0)</f>
        <v>4</v>
      </c>
      <c r="O277" s="291">
        <f>IFERROR(VLOOKUP($D277,'K.Đ-ĐTỬ'!$C$10:$AE$39,28,0),0)</f>
        <v>3</v>
      </c>
      <c r="P277" s="313" t="str">
        <f t="shared" ref="P277:P304" si="88">IF(AND($W277&gt;=2,$X277&gt;=3,H277&lt;&gt;0),"A1",IF(AND($W277&gt;=3,$X277&gt;=1,H277&lt;&gt;0),"A1",IF(AND($W277&gt;=2,$X277&gt;=2,I277&lt;&gt;0),"A2",IF(AND($W277&gt;=3,$X277&gt;=0,I277&lt;&gt;0),"A2",IF(AND(OR($W277&gt;=1,$X277&gt;=2),J277&lt;&gt;0),"A3","A4")))))</f>
        <v>A1</v>
      </c>
      <c r="Q277" s="1196" t="str">
        <f t="shared" ref="Q277:Q306" si="89">P277</f>
        <v>A1</v>
      </c>
      <c r="R277" s="317"/>
      <c r="S277" s="692">
        <f>COUNTIF($U280:$U306,"A1")</f>
        <v>5</v>
      </c>
      <c r="T277" s="692">
        <f>COUNTIF($U280:$U306,"A2")</f>
        <v>2</v>
      </c>
      <c r="U277" s="176" t="str">
        <f t="shared" ref="U277:U306" si="90">$Q277</f>
        <v>A1</v>
      </c>
      <c r="V277" s="178"/>
      <c r="W277" s="330">
        <f>IFERROR(VLOOKUP($D277,'K.Đ-ĐTỬ'!$C$10:$AE$39,15,0),0)</f>
        <v>4</v>
      </c>
      <c r="X277" s="330">
        <f>IFERROR(VLOOKUP($D277,'K.Đ-ĐTỬ'!$C$10:$AE$39,29,0),0)</f>
        <v>3</v>
      </c>
      <c r="Y277" s="89"/>
      <c r="Z277" s="4"/>
      <c r="AA277" s="4"/>
      <c r="AB277" s="492" t="s">
        <v>84</v>
      </c>
      <c r="AC277" s="775" t="s">
        <v>1163</v>
      </c>
      <c r="AD277" s="213"/>
      <c r="AE277" s="60" t="str">
        <f t="shared" si="83"/>
        <v>A1</v>
      </c>
      <c r="AF277" s="60"/>
      <c r="AG277" s="604" t="s">
        <v>845</v>
      </c>
      <c r="AH277" s="604"/>
      <c r="AI277" s="605">
        <f>AH277/$L275</f>
        <v>0</v>
      </c>
      <c r="AJ277" s="590"/>
      <c r="AK277" s="594"/>
      <c r="AL277" s="595">
        <f>AL278+AL279</f>
        <v>30</v>
      </c>
      <c r="AM277" s="596" t="s">
        <v>896</v>
      </c>
      <c r="AN277" s="596" t="s">
        <v>844</v>
      </c>
      <c r="AO277" s="596" t="s">
        <v>896</v>
      </c>
      <c r="AP277" s="596" t="s">
        <v>844</v>
      </c>
      <c r="AQ277" s="596" t="s">
        <v>896</v>
      </c>
      <c r="AR277" s="596" t="s">
        <v>844</v>
      </c>
      <c r="AS277" s="596" t="s">
        <v>896</v>
      </c>
      <c r="AT277" s="596" t="s">
        <v>844</v>
      </c>
      <c r="AU277" s="596" t="s">
        <v>896</v>
      </c>
      <c r="AV277" s="596" t="s">
        <v>844</v>
      </c>
      <c r="AW277" s="596" t="s">
        <v>896</v>
      </c>
      <c r="AX277" s="596" t="s">
        <v>844</v>
      </c>
      <c r="AY277" s="596" t="s">
        <v>896</v>
      </c>
      <c r="AZ277" s="596" t="s">
        <v>844</v>
      </c>
      <c r="BA277" s="596" t="s">
        <v>896</v>
      </c>
      <c r="BB277" s="596" t="s">
        <v>844</v>
      </c>
      <c r="BD277" s="60" t="s">
        <v>882</v>
      </c>
      <c r="BE277" s="60" t="s">
        <v>866</v>
      </c>
    </row>
    <row r="278" spans="1:59" s="60" customFormat="1" ht="50.25" customHeight="1" x14ac:dyDescent="0.25">
      <c r="A278" s="63">
        <f>IF(D278="","",SUBTOTAL(3,$D$8:D278))</f>
        <v>235</v>
      </c>
      <c r="B278" s="63" t="s">
        <v>6</v>
      </c>
      <c r="C278" s="79" t="s">
        <v>504</v>
      </c>
      <c r="D278" s="72" t="s">
        <v>113</v>
      </c>
      <c r="E278" s="693">
        <f>E277/$AL$279</f>
        <v>0.18518518518518517</v>
      </c>
      <c r="F278" s="693">
        <f>F277/$AL$279</f>
        <v>7.407407407407407E-2</v>
      </c>
      <c r="G278" s="282" t="str">
        <f t="shared" si="87"/>
        <v>A1</v>
      </c>
      <c r="H278" s="737" t="s">
        <v>960</v>
      </c>
      <c r="I278" s="737" t="s">
        <v>993</v>
      </c>
      <c r="J278" s="737" t="s">
        <v>976</v>
      </c>
      <c r="K278" s="234"/>
      <c r="L278" s="308" t="s">
        <v>82</v>
      </c>
      <c r="M278" s="1279" t="s">
        <v>1150</v>
      </c>
      <c r="N278" s="291">
        <f>IFERROR(VLOOKUP($D278,'K.Đ-ĐTỬ'!$C$10:$AE$39,14,0),0)</f>
        <v>2</v>
      </c>
      <c r="O278" s="291">
        <f>IFERROR(VLOOKUP($D278,'K.Đ-ĐTỬ'!$C$10:$AE$39,28,0),0)</f>
        <v>4</v>
      </c>
      <c r="P278" s="313" t="str">
        <f t="shared" si="88"/>
        <v>A1</v>
      </c>
      <c r="Q278" s="1196" t="s">
        <v>84</v>
      </c>
      <c r="R278" s="315"/>
      <c r="S278" s="693">
        <f>S277/$AL$279</f>
        <v>0.18518518518518517</v>
      </c>
      <c r="T278" s="693">
        <f>T277/$AL$279</f>
        <v>7.407407407407407E-2</v>
      </c>
      <c r="U278" s="176" t="str">
        <f t="shared" si="90"/>
        <v>A2</v>
      </c>
      <c r="V278" s="177"/>
      <c r="W278" s="330">
        <f>IFERROR(VLOOKUP($D278,'K.Đ-ĐTỬ'!$C$10:$AE$39,15,0),0)</f>
        <v>2</v>
      </c>
      <c r="X278" s="330">
        <f>IFERROR(VLOOKUP($D278,'K.Đ-ĐTỬ'!$C$10:$AE$39,29,0),0)</f>
        <v>4</v>
      </c>
      <c r="Y278" s="89"/>
      <c r="Z278" s="4"/>
      <c r="AA278" s="4"/>
      <c r="AB278" s="492" t="s">
        <v>84</v>
      </c>
      <c r="AC278" s="775" t="s">
        <v>1163</v>
      </c>
      <c r="AD278" s="588"/>
      <c r="AE278" s="60" t="str">
        <f t="shared" si="83"/>
        <v>A1</v>
      </c>
      <c r="AG278" s="604" t="s">
        <v>846</v>
      </c>
      <c r="AH278" s="604"/>
      <c r="AI278" s="605">
        <f>AH278/$L275</f>
        <v>0</v>
      </c>
      <c r="AJ278" s="590"/>
      <c r="AK278" s="597" t="s">
        <v>864</v>
      </c>
      <c r="AL278" s="595">
        <f>COUNTIF($BE277:$BE306,"CBQL")</f>
        <v>3</v>
      </c>
      <c r="AM278" s="595">
        <f>COUNTIF($U277:$U279,"A1")</f>
        <v>1</v>
      </c>
      <c r="AN278" s="611">
        <f>AM278/$AL$278</f>
        <v>0.33333333333333331</v>
      </c>
      <c r="AO278" s="595">
        <f>COUNTIF($U277:$U279,"A2")</f>
        <v>1</v>
      </c>
      <c r="AP278" s="611">
        <f>AO278/$AL$278</f>
        <v>0.33333333333333331</v>
      </c>
      <c r="AQ278" s="595">
        <f>COUNTIF($U277:$U279,"A3")</f>
        <v>1</v>
      </c>
      <c r="AR278" s="611">
        <f>AQ278/$AL$278</f>
        <v>0.33333333333333331</v>
      </c>
      <c r="AS278" s="595">
        <f>COUNTIF($U277:$U279,"A4")</f>
        <v>0</v>
      </c>
      <c r="AT278" s="611">
        <f>AS278/$AL$278</f>
        <v>0</v>
      </c>
      <c r="AU278" s="595"/>
      <c r="AV278" s="595"/>
      <c r="AW278" s="595"/>
      <c r="AX278" s="595"/>
      <c r="AY278" s="595"/>
      <c r="AZ278" s="595"/>
      <c r="BA278" s="595"/>
      <c r="BB278" s="595"/>
      <c r="BD278" s="60" t="s">
        <v>882</v>
      </c>
      <c r="BE278" s="60" t="s">
        <v>866</v>
      </c>
    </row>
    <row r="279" spans="1:59" s="57" customFormat="1" ht="53.25" customHeight="1" x14ac:dyDescent="0.25">
      <c r="A279" s="63">
        <f>IF(D279="","",SUBTOTAL(3,$D$8:D279))</f>
        <v>236</v>
      </c>
      <c r="B279" s="63" t="s">
        <v>10</v>
      </c>
      <c r="C279" s="79" t="s">
        <v>505</v>
      </c>
      <c r="D279" s="72" t="s">
        <v>114</v>
      </c>
      <c r="E279" s="652"/>
      <c r="F279" s="652"/>
      <c r="G279" s="282" t="str">
        <f t="shared" si="87"/>
        <v>A2</v>
      </c>
      <c r="H279" s="737"/>
      <c r="I279" s="738" t="s">
        <v>977</v>
      </c>
      <c r="J279" s="737" t="s">
        <v>978</v>
      </c>
      <c r="K279" s="739" t="s">
        <v>1056</v>
      </c>
      <c r="L279" s="308" t="s">
        <v>84</v>
      </c>
      <c r="M279" s="1279" t="s">
        <v>1150</v>
      </c>
      <c r="N279" s="291">
        <f>IFERROR(VLOOKUP($D279,'K.Đ-ĐTỬ'!$C$10:$AE$39,14,0),0)</f>
        <v>2</v>
      </c>
      <c r="O279" s="291">
        <f>IFERROR(VLOOKUP($D279,'K.Đ-ĐTỬ'!$C$10:$AE$39,28,0),0)</f>
        <v>2</v>
      </c>
      <c r="P279" s="313" t="str">
        <f t="shared" si="88"/>
        <v>A2</v>
      </c>
      <c r="Q279" s="1196" t="s">
        <v>85</v>
      </c>
      <c r="R279" s="317"/>
      <c r="S279" s="664"/>
      <c r="T279" s="664"/>
      <c r="U279" s="176" t="str">
        <f t="shared" si="90"/>
        <v>A3</v>
      </c>
      <c r="V279" s="177"/>
      <c r="W279" s="330">
        <f>IFERROR(VLOOKUP($D279,'K.Đ-ĐTỬ'!$C$10:$AE$39,15,0),0)</f>
        <v>2</v>
      </c>
      <c r="X279" s="330">
        <f>IFERROR(VLOOKUP($D279,'K.Đ-ĐTỬ'!$C$10:$AE$39,29,0),0)</f>
        <v>2</v>
      </c>
      <c r="Y279" s="89"/>
      <c r="Z279" s="4"/>
      <c r="AA279" s="4"/>
      <c r="AB279" s="492" t="s">
        <v>85</v>
      </c>
      <c r="AC279" s="775" t="s">
        <v>1163</v>
      </c>
      <c r="AD279" s="213"/>
      <c r="AE279" s="60" t="str">
        <f t="shared" si="83"/>
        <v>A2</v>
      </c>
      <c r="AF279" s="60"/>
      <c r="AG279" s="604"/>
      <c r="AH279" s="593">
        <f>AH277+AH278</f>
        <v>0</v>
      </c>
      <c r="AI279" s="606">
        <f>AI277+AI278</f>
        <v>0</v>
      </c>
      <c r="AJ279" s="590"/>
      <c r="AK279" s="597" t="s">
        <v>865</v>
      </c>
      <c r="AL279" s="595">
        <f>COUNTIF($BE277:$BE306,"GV") + COUNTIF($BE277:$BE306,"NV")</f>
        <v>27</v>
      </c>
      <c r="AM279" s="595">
        <f>COUNTIF($U280:$U306,"A1")</f>
        <v>5</v>
      </c>
      <c r="AN279" s="611">
        <f>AM279/$AL$279</f>
        <v>0.18518518518518517</v>
      </c>
      <c r="AO279" s="595">
        <f>COUNTIF($U280:$U306,"A2")</f>
        <v>2</v>
      </c>
      <c r="AP279" s="611">
        <f>AO279/$AL$279</f>
        <v>7.407407407407407E-2</v>
      </c>
      <c r="AQ279" s="595">
        <f>COUNTIF($U280:$U306,"A3")</f>
        <v>17</v>
      </c>
      <c r="AR279" s="611">
        <f>AQ279/$AL$279</f>
        <v>0.62962962962962965</v>
      </c>
      <c r="AS279" s="595">
        <f>COUNTIF($U280:$U306,"A4")</f>
        <v>3</v>
      </c>
      <c r="AT279" s="611">
        <f>AS279/$AL$279</f>
        <v>0.1111111111111111</v>
      </c>
      <c r="AU279" s="595"/>
      <c r="AV279" s="595"/>
      <c r="AW279" s="595"/>
      <c r="AX279" s="595"/>
      <c r="AY279" s="595"/>
      <c r="AZ279" s="595"/>
      <c r="BA279" s="595"/>
      <c r="BB279" s="595"/>
      <c r="BD279" s="60" t="s">
        <v>882</v>
      </c>
      <c r="BE279" s="60" t="s">
        <v>866</v>
      </c>
    </row>
    <row r="280" spans="1:59" s="57" customFormat="1" ht="36.75" customHeight="1" x14ac:dyDescent="0.25">
      <c r="A280" s="63">
        <f>IF(D280="","",SUBTOTAL(3,$D$8:D280))</f>
        <v>237</v>
      </c>
      <c r="B280" s="63" t="s">
        <v>13</v>
      </c>
      <c r="C280" s="79" t="s">
        <v>507</v>
      </c>
      <c r="D280" s="73" t="s">
        <v>116</v>
      </c>
      <c r="E280" s="686"/>
      <c r="F280" s="686"/>
      <c r="G280" s="282" t="str">
        <f t="shared" si="87"/>
        <v>A1</v>
      </c>
      <c r="H280" s="737" t="s">
        <v>979</v>
      </c>
      <c r="I280" s="737" t="s">
        <v>994</v>
      </c>
      <c r="J280" s="737" t="s">
        <v>976</v>
      </c>
      <c r="K280" s="239"/>
      <c r="L280" s="308" t="s">
        <v>82</v>
      </c>
      <c r="M280" s="288"/>
      <c r="N280" s="291">
        <f>IFERROR(VLOOKUP($D280,'K.Đ-ĐTỬ'!$C$10:$AE$39,14,0),0)</f>
        <v>4</v>
      </c>
      <c r="O280" s="291">
        <f>IFERROR(VLOOKUP($D280,'K.Đ-ĐTỬ'!$C$10:$AE$39,28,0),0)</f>
        <v>2</v>
      </c>
      <c r="P280" s="313" t="str">
        <f t="shared" si="88"/>
        <v>A1</v>
      </c>
      <c r="Q280" s="341" t="str">
        <f t="shared" si="89"/>
        <v>A1</v>
      </c>
      <c r="R280" s="564"/>
      <c r="S280" s="682"/>
      <c r="T280" s="682"/>
      <c r="U280" s="176" t="str">
        <f t="shared" si="90"/>
        <v>A1</v>
      </c>
      <c r="V280" s="183"/>
      <c r="W280" s="330">
        <f>IFERROR(VLOOKUP($D280,'K.Đ-ĐTỬ'!$C$10:$AE$39,15,0),0)</f>
        <v>4</v>
      </c>
      <c r="X280" s="330">
        <f>IFERROR(VLOOKUP($D280,'K.Đ-ĐTỬ'!$C$10:$AE$39,29,0),0)</f>
        <v>2</v>
      </c>
      <c r="Y280" s="89"/>
      <c r="Z280" s="4"/>
      <c r="AA280" s="4"/>
      <c r="AB280" s="242"/>
      <c r="AC280" s="250"/>
      <c r="AD280" s="213"/>
      <c r="AE280" s="60" t="str">
        <f t="shared" si="83"/>
        <v>A1</v>
      </c>
      <c r="AF280" s="60"/>
      <c r="AG280" s="60"/>
      <c r="AH280" s="542"/>
      <c r="AI280" s="542"/>
      <c r="AK280" s="589"/>
      <c r="AL280" s="589"/>
      <c r="AM280" s="589"/>
      <c r="AN280" s="589"/>
      <c r="AO280" s="589"/>
      <c r="AP280" s="589"/>
      <c r="AQ280" s="589"/>
      <c r="AR280" s="589"/>
      <c r="AS280" s="589"/>
      <c r="AT280" s="589"/>
      <c r="AU280" s="589"/>
      <c r="AV280" s="589"/>
      <c r="AW280" s="589"/>
      <c r="AX280" s="589"/>
      <c r="AY280" s="589"/>
      <c r="AZ280" s="589"/>
      <c r="BA280" s="589"/>
      <c r="BB280" s="589"/>
      <c r="BD280" s="60" t="s">
        <v>882</v>
      </c>
      <c r="BE280" s="60" t="s">
        <v>868</v>
      </c>
    </row>
    <row r="281" spans="1:59" s="70" customFormat="1" ht="37.5" customHeight="1" x14ac:dyDescent="0.25">
      <c r="A281" s="63">
        <f>IF(D281="","",SUBTOTAL(3,$D$8:D281))</f>
        <v>238</v>
      </c>
      <c r="B281" s="63"/>
      <c r="C281" s="79" t="s">
        <v>860</v>
      </c>
      <c r="D281" s="585" t="s">
        <v>861</v>
      </c>
      <c r="E281" s="652"/>
      <c r="F281" s="652"/>
      <c r="G281" s="282" t="str">
        <f t="shared" si="87"/>
        <v>A4</v>
      </c>
      <c r="H281" s="737"/>
      <c r="I281" s="737"/>
      <c r="J281" s="737"/>
      <c r="K281" s="234"/>
      <c r="L281" s="308" t="s">
        <v>83</v>
      </c>
      <c r="M281" s="288"/>
      <c r="N281" s="291">
        <f>IFERROR(VLOOKUP($D281,'K.Đ-ĐTỬ'!$C$10:$AE$39,14,0),0)</f>
        <v>2</v>
      </c>
      <c r="O281" s="291">
        <f>IFERROR(VLOOKUP($D281,'K.Đ-ĐTỬ'!$C$10:$AE$39,28,0),0)</f>
        <v>2</v>
      </c>
      <c r="P281" s="313" t="str">
        <f t="shared" si="88"/>
        <v>A4</v>
      </c>
      <c r="Q281" s="341" t="str">
        <f t="shared" si="89"/>
        <v>A4</v>
      </c>
      <c r="R281" s="319"/>
      <c r="S281" s="672"/>
      <c r="T281" s="672"/>
      <c r="U281" s="176" t="str">
        <f>$Q281</f>
        <v>A4</v>
      </c>
      <c r="V281" s="177"/>
      <c r="W281" s="330">
        <f>IFERROR(VLOOKUP($D281,'K.Đ-ĐTỬ'!$C$10:$AE$39,15,0),0)</f>
        <v>2</v>
      </c>
      <c r="X281" s="330">
        <f>IFERROR(VLOOKUP($D281,'K.Đ-ĐTỬ'!$C$10:$AE$39,29,0),0)</f>
        <v>2</v>
      </c>
      <c r="Y281" s="89"/>
      <c r="Z281" s="857"/>
      <c r="AA281" s="859"/>
      <c r="AB281" s="228"/>
      <c r="AC281" s="565"/>
      <c r="AD281" s="213"/>
      <c r="AE281" s="60" t="str">
        <f t="shared" si="83"/>
        <v>A4</v>
      </c>
      <c r="AF281" s="60"/>
      <c r="AG281" s="60"/>
      <c r="BD281" s="60" t="s">
        <v>882</v>
      </c>
      <c r="BE281" s="60" t="s">
        <v>868</v>
      </c>
    </row>
    <row r="282" spans="1:59" s="57" customFormat="1" ht="32.25" customHeight="1" x14ac:dyDescent="0.25">
      <c r="A282" s="63">
        <f>IF(D282="","",SUBTOTAL(3,$D$8:D282))</f>
        <v>239</v>
      </c>
      <c r="B282" s="63" t="s">
        <v>14</v>
      </c>
      <c r="C282" s="79" t="s">
        <v>508</v>
      </c>
      <c r="D282" s="73" t="s">
        <v>117</v>
      </c>
      <c r="E282" s="652"/>
      <c r="F282" s="652"/>
      <c r="G282" s="282" t="str">
        <f t="shared" si="87"/>
        <v>A3</v>
      </c>
      <c r="H282" s="737"/>
      <c r="I282" s="737"/>
      <c r="J282" s="737" t="s">
        <v>978</v>
      </c>
      <c r="K282" s="234"/>
      <c r="L282" s="308" t="s">
        <v>85</v>
      </c>
      <c r="M282" s="288"/>
      <c r="N282" s="291">
        <f>IFERROR(VLOOKUP($D282,'K.Đ-ĐTỬ'!$C$10:$AE$39,14,0),0)</f>
        <v>1</v>
      </c>
      <c r="O282" s="291">
        <f>IFERROR(VLOOKUP($D282,'K.Đ-ĐTỬ'!$C$10:$AE$39,28,0),0)</f>
        <v>1</v>
      </c>
      <c r="P282" s="313" t="str">
        <f t="shared" si="88"/>
        <v>A3</v>
      </c>
      <c r="Q282" s="341" t="str">
        <f t="shared" si="89"/>
        <v>A3</v>
      </c>
      <c r="R282" s="315"/>
      <c r="S282" s="662"/>
      <c r="T282" s="662"/>
      <c r="U282" s="176" t="str">
        <f t="shared" si="90"/>
        <v>A3</v>
      </c>
      <c r="V282" s="177"/>
      <c r="W282" s="330">
        <f>IFERROR(VLOOKUP($D282,'K.Đ-ĐTỬ'!$C$10:$AE$39,15,0),0)</f>
        <v>1</v>
      </c>
      <c r="X282" s="330">
        <f>IFERROR(VLOOKUP($D282,'K.Đ-ĐTỬ'!$C$10:$AE$39,29,0),0)</f>
        <v>1</v>
      </c>
      <c r="Y282" s="89"/>
      <c r="Z282" s="4"/>
      <c r="AA282" s="857"/>
      <c r="AB282" s="242"/>
      <c r="AC282" s="836"/>
      <c r="AD282" s="213"/>
      <c r="AE282" s="60" t="str">
        <f t="shared" si="83"/>
        <v>A3</v>
      </c>
      <c r="AF282" s="60"/>
      <c r="AG282" s="60"/>
      <c r="AH282" s="542"/>
      <c r="AI282" s="542"/>
      <c r="AK282" s="589"/>
      <c r="AL282" s="589"/>
      <c r="AM282" s="589"/>
      <c r="AN282" s="589"/>
      <c r="AO282" s="589"/>
      <c r="AP282" s="589"/>
      <c r="AQ282" s="589"/>
      <c r="AR282" s="589"/>
      <c r="AS282" s="589"/>
      <c r="AT282" s="589"/>
      <c r="AU282" s="589"/>
      <c r="AV282" s="589"/>
      <c r="AW282" s="589"/>
      <c r="AX282" s="589"/>
      <c r="AY282" s="589"/>
      <c r="AZ282" s="589"/>
      <c r="BA282" s="589"/>
      <c r="BB282" s="589"/>
      <c r="BD282" s="60" t="s">
        <v>882</v>
      </c>
      <c r="BE282" s="60" t="s">
        <v>868</v>
      </c>
    </row>
    <row r="283" spans="1:59" s="70" customFormat="1" ht="32.25" customHeight="1" x14ac:dyDescent="0.25">
      <c r="A283" s="63">
        <f>IF(D283="","",SUBTOTAL(3,$D$8:D283))</f>
        <v>240</v>
      </c>
      <c r="B283" s="63" t="s">
        <v>15</v>
      </c>
      <c r="C283" s="79" t="s">
        <v>509</v>
      </c>
      <c r="D283" s="73" t="s">
        <v>118</v>
      </c>
      <c r="E283" s="652"/>
      <c r="F283" s="652"/>
      <c r="G283" s="282" t="str">
        <f t="shared" si="87"/>
        <v>A1</v>
      </c>
      <c r="H283" s="737" t="s">
        <v>960</v>
      </c>
      <c r="I283" s="737" t="s">
        <v>993</v>
      </c>
      <c r="J283" s="737" t="s">
        <v>976</v>
      </c>
      <c r="K283" s="234"/>
      <c r="L283" s="308" t="s">
        <v>82</v>
      </c>
      <c r="M283" s="288"/>
      <c r="N283" s="291">
        <f>IFERROR(VLOOKUP($D283,'K.Đ-ĐTỬ'!$C$10:$AE$39,14,0),0)</f>
        <v>3</v>
      </c>
      <c r="O283" s="291">
        <f>IFERROR(VLOOKUP($D283,'K.Đ-ĐTỬ'!$C$10:$AE$39,28,0),0)</f>
        <v>3</v>
      </c>
      <c r="P283" s="313" t="str">
        <f t="shared" si="88"/>
        <v>A1</v>
      </c>
      <c r="Q283" s="341" t="str">
        <f t="shared" si="89"/>
        <v>A1</v>
      </c>
      <c r="R283" s="317"/>
      <c r="S283" s="664"/>
      <c r="T283" s="664"/>
      <c r="U283" s="176" t="str">
        <f t="shared" si="90"/>
        <v>A1</v>
      </c>
      <c r="V283" s="177"/>
      <c r="W283" s="330">
        <f>IFERROR(VLOOKUP($D283,'K.Đ-ĐTỬ'!$C$10:$AE$39,15,0),0)</f>
        <v>3</v>
      </c>
      <c r="X283" s="330">
        <f>IFERROR(VLOOKUP($D283,'K.Đ-ĐTỬ'!$C$10:$AE$39,29,0),0)</f>
        <v>3</v>
      </c>
      <c r="Y283" s="89"/>
      <c r="Z283" s="4"/>
      <c r="AA283" s="857"/>
      <c r="AB283" s="228"/>
      <c r="AC283" s="775"/>
      <c r="AD283" s="213"/>
      <c r="AE283" s="60" t="str">
        <f t="shared" si="83"/>
        <v>A1</v>
      </c>
      <c r="AF283" s="60"/>
      <c r="AG283" s="60"/>
      <c r="BD283" s="60" t="s">
        <v>882</v>
      </c>
      <c r="BE283" s="60" t="s">
        <v>868</v>
      </c>
    </row>
    <row r="284" spans="1:59" s="57" customFormat="1" ht="42.75" customHeight="1" x14ac:dyDescent="0.25">
      <c r="A284" s="63">
        <f>IF(D284="","",SUBTOTAL(3,$D$8:D284))</f>
        <v>241</v>
      </c>
      <c r="B284" s="63" t="s">
        <v>16</v>
      </c>
      <c r="C284" s="79" t="s">
        <v>510</v>
      </c>
      <c r="D284" s="73" t="s">
        <v>119</v>
      </c>
      <c r="E284" s="652"/>
      <c r="F284" s="652"/>
      <c r="G284" s="282" t="str">
        <f t="shared" si="87"/>
        <v>A3</v>
      </c>
      <c r="H284" s="737"/>
      <c r="I284" s="737"/>
      <c r="J284" s="737" t="s">
        <v>978</v>
      </c>
      <c r="K284" s="234"/>
      <c r="L284" s="1245" t="s">
        <v>82</v>
      </c>
      <c r="M284" s="288" t="s">
        <v>1190</v>
      </c>
      <c r="N284" s="291">
        <f>IFERROR(VLOOKUP($D284,'K.Đ-ĐTỬ'!$C$10:$AE$39,14,0),0)</f>
        <v>1</v>
      </c>
      <c r="O284" s="291">
        <f>IFERROR(VLOOKUP($D284,'K.Đ-ĐTỬ'!$C$10:$AE$39,28,0),0)</f>
        <v>1</v>
      </c>
      <c r="P284" s="1186" t="s">
        <v>82</v>
      </c>
      <c r="Q284" s="341" t="str">
        <f t="shared" si="89"/>
        <v>A1</v>
      </c>
      <c r="R284" s="315"/>
      <c r="S284" s="662"/>
      <c r="T284" s="662"/>
      <c r="U284" s="176" t="str">
        <f t="shared" si="90"/>
        <v>A1</v>
      </c>
      <c r="V284" s="177"/>
      <c r="W284" s="330">
        <f>IFERROR(VLOOKUP($D284,'K.Đ-ĐTỬ'!$C$10:$AE$39,15,0),0)</f>
        <v>1</v>
      </c>
      <c r="X284" s="330">
        <f>IFERROR(VLOOKUP($D284,'K.Đ-ĐTỬ'!$C$10:$AE$39,29,0),0)</f>
        <v>1</v>
      </c>
      <c r="Y284" s="89"/>
      <c r="Z284" s="4"/>
      <c r="AA284" s="857"/>
      <c r="AB284" s="777"/>
      <c r="AC284" s="775"/>
      <c r="AD284" s="213"/>
      <c r="AE284" s="60" t="str">
        <f t="shared" si="83"/>
        <v>A1</v>
      </c>
      <c r="AF284" s="60"/>
      <c r="AG284" s="60"/>
      <c r="AH284" s="542"/>
      <c r="AI284" s="542"/>
      <c r="AK284" s="589"/>
      <c r="AL284" s="589"/>
      <c r="AM284" s="589"/>
      <c r="AN284" s="589"/>
      <c r="AO284" s="589"/>
      <c r="AP284" s="589"/>
      <c r="AQ284" s="589"/>
      <c r="AR284" s="589"/>
      <c r="AS284" s="589"/>
      <c r="AT284" s="589"/>
      <c r="AU284" s="589"/>
      <c r="AV284" s="589"/>
      <c r="AW284" s="589"/>
      <c r="AX284" s="589"/>
      <c r="AY284" s="589"/>
      <c r="AZ284" s="589"/>
      <c r="BA284" s="589"/>
      <c r="BB284" s="589"/>
      <c r="BD284" s="60" t="s">
        <v>882</v>
      </c>
      <c r="BE284" s="60" t="s">
        <v>868</v>
      </c>
    </row>
    <row r="285" spans="1:59" s="57" customFormat="1" ht="32.25" customHeight="1" x14ac:dyDescent="0.25">
      <c r="A285" s="63">
        <f>IF(D285="","",SUBTOTAL(3,$D$8:D285))</f>
        <v>242</v>
      </c>
      <c r="B285" s="63" t="s">
        <v>17</v>
      </c>
      <c r="C285" s="79" t="s">
        <v>511</v>
      </c>
      <c r="D285" s="73" t="s">
        <v>120</v>
      </c>
      <c r="E285" s="652"/>
      <c r="F285" s="652"/>
      <c r="G285" s="282" t="str">
        <f t="shared" si="87"/>
        <v>A3</v>
      </c>
      <c r="H285" s="737"/>
      <c r="I285" s="737"/>
      <c r="J285" s="737" t="s">
        <v>978</v>
      </c>
      <c r="K285" s="234"/>
      <c r="L285" s="308" t="s">
        <v>85</v>
      </c>
      <c r="M285" s="288"/>
      <c r="N285" s="291">
        <f>IFERROR(VLOOKUP($D285,'K.Đ-ĐTỬ'!$C$10:$AE$39,14,0),0)</f>
        <v>0</v>
      </c>
      <c r="O285" s="291">
        <f>IFERROR(VLOOKUP($D285,'K.Đ-ĐTỬ'!$C$10:$AE$39,28,0),0)</f>
        <v>2</v>
      </c>
      <c r="P285" s="313" t="str">
        <f t="shared" si="88"/>
        <v>A3</v>
      </c>
      <c r="Q285" s="341" t="str">
        <f t="shared" si="89"/>
        <v>A3</v>
      </c>
      <c r="R285" s="315"/>
      <c r="S285" s="662"/>
      <c r="T285" s="662"/>
      <c r="U285" s="176" t="str">
        <f t="shared" si="90"/>
        <v>A3</v>
      </c>
      <c r="V285" s="177"/>
      <c r="W285" s="330">
        <f>IFERROR(VLOOKUP($D285,'K.Đ-ĐTỬ'!$C$10:$AE$39,15,0),0)</f>
        <v>0</v>
      </c>
      <c r="X285" s="330">
        <f>IFERROR(VLOOKUP($D285,'K.Đ-ĐTỬ'!$C$10:$AE$39,29,0),0)</f>
        <v>2</v>
      </c>
      <c r="Y285" s="89"/>
      <c r="Z285" s="68"/>
      <c r="AA285" s="4"/>
      <c r="AB285" s="242"/>
      <c r="AC285" s="250"/>
      <c r="AD285" s="213"/>
      <c r="AE285" s="60" t="str">
        <f t="shared" si="83"/>
        <v>A3</v>
      </c>
      <c r="AF285" s="60"/>
      <c r="AG285" s="60"/>
      <c r="AH285" s="542"/>
      <c r="AI285" s="542"/>
      <c r="AK285" s="589"/>
      <c r="AL285" s="589"/>
      <c r="AM285" s="589"/>
      <c r="AN285" s="589"/>
      <c r="AO285" s="589"/>
      <c r="AP285" s="589"/>
      <c r="AQ285" s="589"/>
      <c r="AR285" s="589"/>
      <c r="AS285" s="589"/>
      <c r="AT285" s="589"/>
      <c r="AU285" s="589"/>
      <c r="AV285" s="589"/>
      <c r="AW285" s="589"/>
      <c r="AX285" s="589"/>
      <c r="AY285" s="589"/>
      <c r="AZ285" s="589"/>
      <c r="BA285" s="589"/>
      <c r="BB285" s="589"/>
      <c r="BD285" s="60" t="s">
        <v>882</v>
      </c>
      <c r="BE285" s="60" t="s">
        <v>868</v>
      </c>
    </row>
    <row r="286" spans="1:59" s="57" customFormat="1" ht="36.75" customHeight="1" x14ac:dyDescent="0.25">
      <c r="A286" s="63">
        <f>IF(D286="","",SUBTOTAL(3,$D$8:D286))</f>
        <v>243</v>
      </c>
      <c r="B286" s="63" t="s">
        <v>18</v>
      </c>
      <c r="C286" s="79" t="s">
        <v>512</v>
      </c>
      <c r="D286" s="73" t="s">
        <v>121</v>
      </c>
      <c r="E286" s="652"/>
      <c r="F286" s="652"/>
      <c r="G286" s="282" t="str">
        <f t="shared" si="87"/>
        <v>A1</v>
      </c>
      <c r="H286" s="737" t="s">
        <v>960</v>
      </c>
      <c r="I286" s="738" t="s">
        <v>995</v>
      </c>
      <c r="J286" s="737" t="s">
        <v>976</v>
      </c>
      <c r="K286" s="739" t="s">
        <v>1055</v>
      </c>
      <c r="L286" s="308" t="s">
        <v>84</v>
      </c>
      <c r="M286" s="292"/>
      <c r="N286" s="291">
        <f>IFERROR(VLOOKUP($D286,'K.Đ-ĐTỬ'!$C$10:$AE$39,14,0),0)</f>
        <v>2</v>
      </c>
      <c r="O286" s="291">
        <f>IFERROR(VLOOKUP($D286,'K.Đ-ĐTỬ'!$C$10:$AE$39,28,0),0)</f>
        <v>2</v>
      </c>
      <c r="P286" s="313" t="str">
        <f t="shared" si="88"/>
        <v>A2</v>
      </c>
      <c r="Q286" s="341" t="str">
        <f t="shared" si="89"/>
        <v>A2</v>
      </c>
      <c r="R286" s="317"/>
      <c r="S286" s="664"/>
      <c r="T286" s="664"/>
      <c r="U286" s="176" t="str">
        <f t="shared" si="90"/>
        <v>A2</v>
      </c>
      <c r="V286" s="180"/>
      <c r="W286" s="330">
        <f>IFERROR(VLOOKUP($D286,'K.Đ-ĐTỬ'!$C$10:$AE$39,15,0),0)</f>
        <v>2</v>
      </c>
      <c r="X286" s="330">
        <f>IFERROR(VLOOKUP($D286,'K.Đ-ĐTỬ'!$C$10:$AE$39,29,0),0)</f>
        <v>2</v>
      </c>
      <c r="Y286" s="89"/>
      <c r="Z286" s="3"/>
      <c r="AA286" s="3"/>
      <c r="AB286" s="228"/>
      <c r="AC286" s="565"/>
      <c r="AD286" s="213"/>
      <c r="AE286" s="60" t="str">
        <f t="shared" si="83"/>
        <v>A2</v>
      </c>
      <c r="AF286" s="60"/>
      <c r="AG286" s="60"/>
      <c r="AH286" s="542"/>
      <c r="AI286" s="542"/>
      <c r="AK286" s="589"/>
      <c r="AL286" s="589"/>
      <c r="AM286" s="589"/>
      <c r="AN286" s="589"/>
      <c r="AO286" s="589"/>
      <c r="AP286" s="589"/>
      <c r="AQ286" s="589"/>
      <c r="AR286" s="589"/>
      <c r="AS286" s="589"/>
      <c r="AT286" s="589"/>
      <c r="AU286" s="589"/>
      <c r="AV286" s="589"/>
      <c r="AW286" s="589"/>
      <c r="AX286" s="589"/>
      <c r="AY286" s="589"/>
      <c r="AZ286" s="589"/>
      <c r="BA286" s="589"/>
      <c r="BB286" s="589"/>
      <c r="BD286" s="60" t="s">
        <v>882</v>
      </c>
      <c r="BE286" s="60" t="s">
        <v>868</v>
      </c>
    </row>
    <row r="287" spans="1:59" s="57" customFormat="1" ht="33" customHeight="1" x14ac:dyDescent="0.25">
      <c r="A287" s="63">
        <f>IF(D287="","",SUBTOTAL(3,$D$8:D287))</f>
        <v>244</v>
      </c>
      <c r="B287" s="63" t="s">
        <v>21</v>
      </c>
      <c r="C287" s="79" t="s">
        <v>513</v>
      </c>
      <c r="D287" s="73" t="s">
        <v>122</v>
      </c>
      <c r="E287" s="652"/>
      <c r="F287" s="652"/>
      <c r="G287" s="282" t="str">
        <f t="shared" si="87"/>
        <v>A3</v>
      </c>
      <c r="H287" s="737"/>
      <c r="I287" s="737"/>
      <c r="J287" s="737" t="s">
        <v>978</v>
      </c>
      <c r="K287" s="234"/>
      <c r="L287" s="308" t="s">
        <v>85</v>
      </c>
      <c r="M287" s="288"/>
      <c r="N287" s="291">
        <f>IFERROR(VLOOKUP($D287,'K.Đ-ĐTỬ'!$C$10:$AE$39,14,0),0)</f>
        <v>1</v>
      </c>
      <c r="O287" s="291">
        <f>IFERROR(VLOOKUP($D287,'K.Đ-ĐTỬ'!$C$10:$AE$39,28,0),0)</f>
        <v>1</v>
      </c>
      <c r="P287" s="313" t="str">
        <f t="shared" si="88"/>
        <v>A3</v>
      </c>
      <c r="Q287" s="341" t="str">
        <f t="shared" si="89"/>
        <v>A3</v>
      </c>
      <c r="R287" s="319"/>
      <c r="S287" s="672"/>
      <c r="T287" s="672"/>
      <c r="U287" s="176" t="str">
        <f t="shared" si="90"/>
        <v>A3</v>
      </c>
      <c r="V287" s="177"/>
      <c r="W287" s="330">
        <f>IFERROR(VLOOKUP($D287,'K.Đ-ĐTỬ'!$C$10:$AE$39,15,0),0)</f>
        <v>1</v>
      </c>
      <c r="X287" s="330">
        <f>IFERROR(VLOOKUP($D287,'K.Đ-ĐTỬ'!$C$10:$AE$39,29,0),0)</f>
        <v>1</v>
      </c>
      <c r="Y287" s="89"/>
      <c r="Z287" s="4"/>
      <c r="AA287" s="4"/>
      <c r="AB287" s="242"/>
      <c r="AC287" s="250"/>
      <c r="AD287" s="213"/>
      <c r="AE287" s="60" t="str">
        <f t="shared" si="83"/>
        <v>A3</v>
      </c>
      <c r="AF287" s="60"/>
      <c r="AG287" s="60"/>
      <c r="AH287" s="542"/>
      <c r="AI287" s="542"/>
      <c r="AK287" s="589"/>
      <c r="AL287" s="589"/>
      <c r="AM287" s="589"/>
      <c r="AN287" s="589"/>
      <c r="AO287" s="589"/>
      <c r="AP287" s="589"/>
      <c r="AQ287" s="589"/>
      <c r="AR287" s="589"/>
      <c r="AS287" s="589"/>
      <c r="AT287" s="589"/>
      <c r="AU287" s="589"/>
      <c r="AV287" s="589"/>
      <c r="AW287" s="589"/>
      <c r="AX287" s="589"/>
      <c r="AY287" s="589"/>
      <c r="AZ287" s="589"/>
      <c r="BA287" s="589"/>
      <c r="BB287" s="589"/>
      <c r="BD287" s="60" t="s">
        <v>882</v>
      </c>
      <c r="BE287" s="60" t="s">
        <v>868</v>
      </c>
    </row>
    <row r="288" spans="1:59" s="57" customFormat="1" ht="39.75" customHeight="1" x14ac:dyDescent="0.25">
      <c r="A288" s="63">
        <f>IF(D288="","",SUBTOTAL(3,$D$8:D288))</f>
        <v>245</v>
      </c>
      <c r="B288" s="63" t="s">
        <v>22</v>
      </c>
      <c r="C288" s="79" t="s">
        <v>514</v>
      </c>
      <c r="D288" s="73" t="s">
        <v>123</v>
      </c>
      <c r="E288" s="652"/>
      <c r="F288" s="652"/>
      <c r="G288" s="282" t="str">
        <f t="shared" si="87"/>
        <v>A3</v>
      </c>
      <c r="H288" s="737"/>
      <c r="I288" s="737"/>
      <c r="J288" s="737" t="s">
        <v>978</v>
      </c>
      <c r="K288" s="234"/>
      <c r="L288" s="308" t="s">
        <v>85</v>
      </c>
      <c r="M288" s="288"/>
      <c r="N288" s="291">
        <f>IFERROR(VLOOKUP($D288,'K.Đ-ĐTỬ'!$C$10:$AE$39,14,0),0)</f>
        <v>1</v>
      </c>
      <c r="O288" s="291">
        <f>IFERROR(VLOOKUP($D288,'K.Đ-ĐTỬ'!$C$10:$AE$39,28,0),0)</f>
        <v>2</v>
      </c>
      <c r="P288" s="313" t="str">
        <f t="shared" si="88"/>
        <v>A3</v>
      </c>
      <c r="Q288" s="341" t="str">
        <f t="shared" si="89"/>
        <v>A3</v>
      </c>
      <c r="R288" s="315"/>
      <c r="S288" s="672"/>
      <c r="T288" s="672"/>
      <c r="U288" s="176" t="str">
        <f t="shared" si="90"/>
        <v>A3</v>
      </c>
      <c r="V288" s="177"/>
      <c r="W288" s="330">
        <f>IFERROR(VLOOKUP($D288,'K.Đ-ĐTỬ'!$C$10:$AE$39,15,0),0)</f>
        <v>1</v>
      </c>
      <c r="X288" s="330">
        <f>IFERROR(VLOOKUP($D288,'K.Đ-ĐTỬ'!$C$10:$AE$39,29,0),0)</f>
        <v>2</v>
      </c>
      <c r="Y288" s="89"/>
      <c r="Z288" s="859"/>
      <c r="AA288" s="2"/>
      <c r="AB288" s="242"/>
      <c r="AC288" s="250"/>
      <c r="AD288" s="948"/>
      <c r="AE288" s="60" t="str">
        <f t="shared" si="83"/>
        <v>A3</v>
      </c>
      <c r="AF288" s="60"/>
      <c r="AG288" s="60"/>
      <c r="AH288" s="542"/>
      <c r="AI288" s="542"/>
      <c r="AK288" s="589"/>
      <c r="AL288" s="589"/>
      <c r="AM288" s="589"/>
      <c r="AN288" s="589"/>
      <c r="AO288" s="589"/>
      <c r="AP288" s="589"/>
      <c r="AQ288" s="589"/>
      <c r="AR288" s="589"/>
      <c r="AS288" s="589"/>
      <c r="AT288" s="589"/>
      <c r="AU288" s="589"/>
      <c r="AV288" s="589"/>
      <c r="AW288" s="589"/>
      <c r="AX288" s="589"/>
      <c r="AY288" s="589"/>
      <c r="AZ288" s="589"/>
      <c r="BA288" s="589"/>
      <c r="BB288" s="589"/>
      <c r="BD288" s="60" t="s">
        <v>882</v>
      </c>
      <c r="BE288" s="60" t="s">
        <v>868</v>
      </c>
    </row>
    <row r="289" spans="1:57" s="57" customFormat="1" ht="33.75" customHeight="1" x14ac:dyDescent="0.25">
      <c r="A289" s="63">
        <f>IF(D289="","",SUBTOTAL(3,$D$8:D289))</f>
        <v>246</v>
      </c>
      <c r="B289" s="63" t="s">
        <v>23</v>
      </c>
      <c r="C289" s="79" t="s">
        <v>515</v>
      </c>
      <c r="D289" s="73" t="s">
        <v>124</v>
      </c>
      <c r="E289" s="652"/>
      <c r="F289" s="652"/>
      <c r="G289" s="282" t="str">
        <f t="shared" si="87"/>
        <v>A3</v>
      </c>
      <c r="H289" s="737"/>
      <c r="I289" s="737"/>
      <c r="J289" s="737" t="s">
        <v>978</v>
      </c>
      <c r="K289" s="234"/>
      <c r="L289" s="308" t="s">
        <v>85</v>
      </c>
      <c r="M289" s="288"/>
      <c r="N289" s="291">
        <f>IFERROR(VLOOKUP($D289,'K.Đ-ĐTỬ'!$C$10:$AE$39,14,0),0)</f>
        <v>1</v>
      </c>
      <c r="O289" s="291">
        <f>IFERROR(VLOOKUP($D289,'K.Đ-ĐTỬ'!$C$10:$AE$39,28,0),0)</f>
        <v>1</v>
      </c>
      <c r="P289" s="313" t="str">
        <f t="shared" si="88"/>
        <v>A3</v>
      </c>
      <c r="Q289" s="341" t="str">
        <f t="shared" si="89"/>
        <v>A3</v>
      </c>
      <c r="R289" s="319"/>
      <c r="S289" s="672"/>
      <c r="T289" s="672"/>
      <c r="U289" s="176" t="str">
        <f t="shared" si="90"/>
        <v>A3</v>
      </c>
      <c r="V289" s="177"/>
      <c r="W289" s="330">
        <f>IFERROR(VLOOKUP($D289,'K.Đ-ĐTỬ'!$C$10:$AE$39,15,0),0)</f>
        <v>1</v>
      </c>
      <c r="X289" s="330">
        <f>IFERROR(VLOOKUP($D289,'K.Đ-ĐTỬ'!$C$10:$AE$39,29,0),0)</f>
        <v>1</v>
      </c>
      <c r="Y289" s="89"/>
      <c r="Z289" s="68"/>
      <c r="AA289" s="85"/>
      <c r="AB289" s="242"/>
      <c r="AC289" s="250"/>
      <c r="AD289" s="213"/>
      <c r="AE289" s="60" t="str">
        <f t="shared" si="83"/>
        <v>A3</v>
      </c>
      <c r="AF289" s="60"/>
      <c r="AG289" s="60"/>
      <c r="AH289" s="542"/>
      <c r="AI289" s="542"/>
      <c r="AK289" s="589"/>
      <c r="AL289" s="589"/>
      <c r="AM289" s="589"/>
      <c r="AN289" s="589"/>
      <c r="AO289" s="589"/>
      <c r="AP289" s="589"/>
      <c r="AQ289" s="589"/>
      <c r="AR289" s="589"/>
      <c r="AS289" s="589"/>
      <c r="AT289" s="589"/>
      <c r="AU289" s="589"/>
      <c r="AV289" s="589"/>
      <c r="AW289" s="589"/>
      <c r="AX289" s="589"/>
      <c r="AY289" s="589"/>
      <c r="AZ289" s="589"/>
      <c r="BA289" s="589"/>
      <c r="BB289" s="589"/>
      <c r="BD289" s="60" t="s">
        <v>882</v>
      </c>
      <c r="BE289" s="60" t="s">
        <v>868</v>
      </c>
    </row>
    <row r="290" spans="1:57" s="57" customFormat="1" ht="33.75" customHeight="1" x14ac:dyDescent="0.25">
      <c r="A290" s="63">
        <f>IF(D290="","",SUBTOTAL(3,$D$8:D290))</f>
        <v>247</v>
      </c>
      <c r="B290" s="63" t="s">
        <v>24</v>
      </c>
      <c r="C290" s="79" t="s">
        <v>516</v>
      </c>
      <c r="D290" s="73" t="s">
        <v>125</v>
      </c>
      <c r="E290" s="652"/>
      <c r="F290" s="652"/>
      <c r="G290" s="282" t="str">
        <f t="shared" si="87"/>
        <v>A2</v>
      </c>
      <c r="H290" s="737"/>
      <c r="I290" s="738" t="s">
        <v>980</v>
      </c>
      <c r="J290" s="737" t="s">
        <v>981</v>
      </c>
      <c r="K290" s="739" t="s">
        <v>1057</v>
      </c>
      <c r="L290" s="308" t="s">
        <v>85</v>
      </c>
      <c r="M290" s="288"/>
      <c r="N290" s="291">
        <f>IFERROR(VLOOKUP($D290,'K.Đ-ĐTỬ'!$C$10:$AE$39,14,0),0)</f>
        <v>1</v>
      </c>
      <c r="O290" s="291">
        <f>IFERROR(VLOOKUP($D290,'K.Đ-ĐTỬ'!$C$10:$AE$39,28,0),0)</f>
        <v>1</v>
      </c>
      <c r="P290" s="313" t="str">
        <f t="shared" si="88"/>
        <v>A3</v>
      </c>
      <c r="Q290" s="341" t="str">
        <f t="shared" si="89"/>
        <v>A3</v>
      </c>
      <c r="R290" s="319"/>
      <c r="S290" s="672"/>
      <c r="T290" s="672"/>
      <c r="U290" s="176" t="str">
        <f t="shared" si="90"/>
        <v>A3</v>
      </c>
      <c r="V290" s="177"/>
      <c r="W290" s="330">
        <f>IFERROR(VLOOKUP($D290,'K.Đ-ĐTỬ'!$C$10:$AE$39,15,0),0)</f>
        <v>1</v>
      </c>
      <c r="X290" s="330">
        <f>IFERROR(VLOOKUP($D290,'K.Đ-ĐTỬ'!$C$10:$AE$39,29,0),0)</f>
        <v>1</v>
      </c>
      <c r="Y290" s="89"/>
      <c r="Z290" s="4"/>
      <c r="AA290" s="85"/>
      <c r="AB290" s="242"/>
      <c r="AC290" s="337"/>
      <c r="AD290" s="213"/>
      <c r="AE290" s="60" t="str">
        <f t="shared" si="83"/>
        <v>A3</v>
      </c>
      <c r="AF290" s="60"/>
      <c r="AG290" s="60"/>
      <c r="AH290" s="542"/>
      <c r="AI290" s="542"/>
      <c r="AK290" s="589"/>
      <c r="AL290" s="589"/>
      <c r="AM290" s="589"/>
      <c r="AN290" s="589"/>
      <c r="AO290" s="589"/>
      <c r="AP290" s="589"/>
      <c r="AQ290" s="589"/>
      <c r="AR290" s="589"/>
      <c r="AS290" s="589"/>
      <c r="AT290" s="589"/>
      <c r="AU290" s="589"/>
      <c r="AV290" s="589"/>
      <c r="AW290" s="589"/>
      <c r="AX290" s="589"/>
      <c r="AY290" s="589"/>
      <c r="AZ290" s="589"/>
      <c r="BA290" s="589"/>
      <c r="BB290" s="589"/>
      <c r="BD290" s="60" t="s">
        <v>882</v>
      </c>
      <c r="BE290" s="60" t="s">
        <v>868</v>
      </c>
    </row>
    <row r="291" spans="1:57" s="57" customFormat="1" ht="33.75" customHeight="1" x14ac:dyDescent="0.25">
      <c r="A291" s="63">
        <f>IF(D291="","",SUBTOTAL(3,$D$8:D291))</f>
        <v>248</v>
      </c>
      <c r="B291" s="63" t="s">
        <v>25</v>
      </c>
      <c r="C291" s="79" t="s">
        <v>517</v>
      </c>
      <c r="D291" s="73" t="s">
        <v>126</v>
      </c>
      <c r="E291" s="652"/>
      <c r="F291" s="652"/>
      <c r="G291" s="282" t="str">
        <f t="shared" si="87"/>
        <v>A3</v>
      </c>
      <c r="H291" s="737"/>
      <c r="I291" s="737"/>
      <c r="J291" s="737" t="s">
        <v>981</v>
      </c>
      <c r="K291" s="234"/>
      <c r="L291" s="308" t="s">
        <v>85</v>
      </c>
      <c r="M291" s="288"/>
      <c r="N291" s="291">
        <f>IFERROR(VLOOKUP($D291,'K.Đ-ĐTỬ'!$C$10:$AE$39,14,0),0)</f>
        <v>1</v>
      </c>
      <c r="O291" s="291">
        <f>IFERROR(VLOOKUP($D291,'K.Đ-ĐTỬ'!$C$10:$AE$39,28,0),0)</f>
        <v>2</v>
      </c>
      <c r="P291" s="313" t="str">
        <f t="shared" si="88"/>
        <v>A3</v>
      </c>
      <c r="Q291" s="341" t="str">
        <f t="shared" si="89"/>
        <v>A3</v>
      </c>
      <c r="R291" s="319"/>
      <c r="S291" s="672"/>
      <c r="T291" s="672"/>
      <c r="U291" s="176" t="str">
        <f t="shared" si="90"/>
        <v>A3</v>
      </c>
      <c r="V291" s="177"/>
      <c r="W291" s="330">
        <f>IFERROR(VLOOKUP($D291,'K.Đ-ĐTỬ'!$C$10:$AE$39,15,0),0)</f>
        <v>1</v>
      </c>
      <c r="X291" s="330">
        <f>IFERROR(VLOOKUP($D291,'K.Đ-ĐTỬ'!$C$10:$AE$39,29,0),0)</f>
        <v>2</v>
      </c>
      <c r="Y291" s="89"/>
      <c r="Z291" s="4"/>
      <c r="AA291" s="4"/>
      <c r="AB291" s="242"/>
      <c r="AC291" s="250"/>
      <c r="AD291" s="213"/>
      <c r="AE291" s="60" t="str">
        <f t="shared" si="83"/>
        <v>A3</v>
      </c>
      <c r="AF291" s="60"/>
      <c r="AG291" s="60"/>
      <c r="AH291" s="542"/>
      <c r="AI291" s="542"/>
      <c r="AK291" s="589"/>
      <c r="AL291" s="589"/>
      <c r="AM291" s="589"/>
      <c r="AN291" s="589"/>
      <c r="AO291" s="589"/>
      <c r="AP291" s="589"/>
      <c r="AQ291" s="589"/>
      <c r="AR291" s="589"/>
      <c r="AS291" s="589"/>
      <c r="AT291" s="589"/>
      <c r="AU291" s="589"/>
      <c r="AV291" s="589"/>
      <c r="AW291" s="589"/>
      <c r="AX291" s="589"/>
      <c r="AY291" s="589"/>
      <c r="AZ291" s="589"/>
      <c r="BA291" s="589"/>
      <c r="BB291" s="589"/>
      <c r="BD291" s="60" t="s">
        <v>882</v>
      </c>
      <c r="BE291" s="60" t="s">
        <v>868</v>
      </c>
    </row>
    <row r="292" spans="1:57" s="70" customFormat="1" ht="33.75" customHeight="1" x14ac:dyDescent="0.25">
      <c r="A292" s="63">
        <f>IF(D292="","",SUBTOTAL(3,$D$8:D292))</f>
        <v>249</v>
      </c>
      <c r="B292" s="63"/>
      <c r="C292" s="186" t="s">
        <v>774</v>
      </c>
      <c r="D292" s="187" t="s">
        <v>775</v>
      </c>
      <c r="E292" s="652"/>
      <c r="F292" s="652"/>
      <c r="G292" s="282" t="str">
        <f t="shared" si="87"/>
        <v>A1</v>
      </c>
      <c r="H292" s="737" t="s">
        <v>982</v>
      </c>
      <c r="I292" s="737" t="s">
        <v>996</v>
      </c>
      <c r="J292" s="737" t="s">
        <v>983</v>
      </c>
      <c r="K292" s="234"/>
      <c r="L292" s="308" t="s">
        <v>85</v>
      </c>
      <c r="M292" s="288"/>
      <c r="N292" s="291">
        <f>IFERROR(VLOOKUP($D292,'K.Đ-ĐTỬ'!$C$10:$AE$39,14,0),0)</f>
        <v>2</v>
      </c>
      <c r="O292" s="291">
        <f>IFERROR(VLOOKUP($D292,'K.Đ-ĐTỬ'!$C$10:$AE$39,28,0),0)</f>
        <v>1</v>
      </c>
      <c r="P292" s="313" t="str">
        <f t="shared" si="88"/>
        <v>A3</v>
      </c>
      <c r="Q292" s="341" t="str">
        <f t="shared" si="89"/>
        <v>A3</v>
      </c>
      <c r="R292" s="319"/>
      <c r="S292" s="672"/>
      <c r="T292" s="672"/>
      <c r="U292" s="176" t="str">
        <f t="shared" si="90"/>
        <v>A3</v>
      </c>
      <c r="V292" s="180">
        <f>R292</f>
        <v>0</v>
      </c>
      <c r="W292" s="330">
        <f>IFERROR(VLOOKUP($D292,'K.Đ-ĐTỬ'!$C$10:$AE$39,15,0),0)</f>
        <v>2</v>
      </c>
      <c r="X292" s="330">
        <f>IFERROR(VLOOKUP($D292,'K.Đ-ĐTỬ'!$C$10:$AE$39,29,0),0)</f>
        <v>1</v>
      </c>
      <c r="Y292" s="89"/>
      <c r="Z292" s="68"/>
      <c r="AA292" s="4"/>
      <c r="AB292" s="492"/>
      <c r="AC292" s="565"/>
      <c r="AD292" s="213"/>
      <c r="AE292" s="60" t="str">
        <f t="shared" si="83"/>
        <v>A3</v>
      </c>
      <c r="AF292" s="60"/>
      <c r="AG292" s="60"/>
      <c r="BD292" s="60" t="s">
        <v>882</v>
      </c>
      <c r="BE292" s="60" t="s">
        <v>868</v>
      </c>
    </row>
    <row r="293" spans="1:57" s="57" customFormat="1" ht="33.75" customHeight="1" x14ac:dyDescent="0.25">
      <c r="A293" s="63">
        <f>IF(D293="","",SUBTOTAL(3,$D$8:D293))</f>
        <v>250</v>
      </c>
      <c r="B293" s="63" t="s">
        <v>26</v>
      </c>
      <c r="C293" s="79" t="s">
        <v>518</v>
      </c>
      <c r="D293" s="73" t="s">
        <v>127</v>
      </c>
      <c r="E293" s="652"/>
      <c r="F293" s="652"/>
      <c r="G293" s="282" t="str">
        <f t="shared" si="87"/>
        <v>A2</v>
      </c>
      <c r="H293" s="737"/>
      <c r="I293" s="737" t="s">
        <v>964</v>
      </c>
      <c r="J293" s="737" t="s">
        <v>981</v>
      </c>
      <c r="K293" s="234"/>
      <c r="L293" s="308" t="s">
        <v>85</v>
      </c>
      <c r="M293" s="288"/>
      <c r="N293" s="291">
        <f>IFERROR(VLOOKUP($D293,'K.Đ-ĐTỬ'!$C$10:$AE$39,14,0),0)</f>
        <v>1</v>
      </c>
      <c r="O293" s="291">
        <f>IFERROR(VLOOKUP($D293,'K.Đ-ĐTỬ'!$C$10:$AE$39,28,0),0)</f>
        <v>1</v>
      </c>
      <c r="P293" s="313" t="str">
        <f t="shared" si="88"/>
        <v>A3</v>
      </c>
      <c r="Q293" s="341" t="str">
        <f t="shared" si="89"/>
        <v>A3</v>
      </c>
      <c r="R293" s="319"/>
      <c r="S293" s="672"/>
      <c r="T293" s="672"/>
      <c r="U293" s="176" t="str">
        <f t="shared" si="90"/>
        <v>A3</v>
      </c>
      <c r="V293" s="177"/>
      <c r="W293" s="330">
        <f>IFERROR(VLOOKUP($D293,'K.Đ-ĐTỬ'!$C$10:$AE$39,15,0),0)</f>
        <v>1</v>
      </c>
      <c r="X293" s="330">
        <f>IFERROR(VLOOKUP($D293,'K.Đ-ĐTỬ'!$C$10:$AE$39,29,0),0)</f>
        <v>1</v>
      </c>
      <c r="Y293" s="89"/>
      <c r="Z293" s="4"/>
      <c r="AA293" s="4"/>
      <c r="AB293" s="242"/>
      <c r="AC293" s="250"/>
      <c r="AD293" s="213"/>
      <c r="AE293" s="60" t="str">
        <f t="shared" si="83"/>
        <v>A3</v>
      </c>
      <c r="AF293" s="60"/>
      <c r="AG293" s="60"/>
      <c r="AH293" s="542"/>
      <c r="AI293" s="542"/>
      <c r="AK293" s="589"/>
      <c r="AL293" s="589"/>
      <c r="AM293" s="589"/>
      <c r="AN293" s="589"/>
      <c r="AO293" s="589"/>
      <c r="AP293" s="589"/>
      <c r="AQ293" s="589"/>
      <c r="AR293" s="589"/>
      <c r="AS293" s="589"/>
      <c r="AT293" s="589"/>
      <c r="AU293" s="589"/>
      <c r="AV293" s="589"/>
      <c r="AW293" s="589"/>
      <c r="AX293" s="589"/>
      <c r="AY293" s="589"/>
      <c r="AZ293" s="589"/>
      <c r="BA293" s="589"/>
      <c r="BB293" s="589"/>
      <c r="BD293" s="60" t="s">
        <v>882</v>
      </c>
      <c r="BE293" s="60" t="s">
        <v>868</v>
      </c>
    </row>
    <row r="294" spans="1:57" s="57" customFormat="1" ht="33.75" customHeight="1" x14ac:dyDescent="0.25">
      <c r="A294" s="63">
        <f>IF(D294="","",SUBTOTAL(3,$D$8:D294))</f>
        <v>251</v>
      </c>
      <c r="B294" s="63" t="s">
        <v>27</v>
      </c>
      <c r="C294" s="79" t="s">
        <v>519</v>
      </c>
      <c r="D294" s="73" t="s">
        <v>128</v>
      </c>
      <c r="E294" s="652"/>
      <c r="F294" s="652"/>
      <c r="G294" s="282" t="str">
        <f t="shared" si="87"/>
        <v>A3</v>
      </c>
      <c r="H294" s="737"/>
      <c r="I294" s="737"/>
      <c r="J294" s="737" t="s">
        <v>981</v>
      </c>
      <c r="K294" s="234"/>
      <c r="L294" s="483" t="s">
        <v>85</v>
      </c>
      <c r="M294" s="288"/>
      <c r="N294" s="291">
        <f>IFERROR(VLOOKUP($D294,'K.Đ-ĐTỬ'!$C$10:$AE$39,14,0),0)</f>
        <v>1</v>
      </c>
      <c r="O294" s="291">
        <f>IFERROR(VLOOKUP($D294,'K.Đ-ĐTỬ'!$C$10:$AE$39,28,0),0)</f>
        <v>1</v>
      </c>
      <c r="P294" s="313" t="str">
        <f t="shared" si="88"/>
        <v>A3</v>
      </c>
      <c r="Q294" s="341" t="str">
        <f t="shared" si="89"/>
        <v>A3</v>
      </c>
      <c r="R294" s="315"/>
      <c r="S294" s="662"/>
      <c r="T294" s="662"/>
      <c r="U294" s="176" t="str">
        <f t="shared" si="90"/>
        <v>A3</v>
      </c>
      <c r="V294" s="177"/>
      <c r="W294" s="330">
        <f>IFERROR(VLOOKUP($D294,'K.Đ-ĐTỬ'!$C$10:$AE$39,15,0),0)</f>
        <v>1</v>
      </c>
      <c r="X294" s="330">
        <f>IFERROR(VLOOKUP($D294,'K.Đ-ĐTỬ'!$C$10:$AE$39,29,0),0)</f>
        <v>1</v>
      </c>
      <c r="Y294" s="89"/>
      <c r="Z294" s="68"/>
      <c r="AA294" s="4"/>
      <c r="AB294" s="242"/>
      <c r="AC294" s="250"/>
      <c r="AD294" s="213"/>
      <c r="AE294" s="60" t="str">
        <f t="shared" si="83"/>
        <v>A3</v>
      </c>
      <c r="AF294" s="60"/>
      <c r="AG294" s="60"/>
      <c r="AH294" s="542"/>
      <c r="AI294" s="542"/>
      <c r="AK294" s="589"/>
      <c r="AL294" s="589"/>
      <c r="AM294" s="589"/>
      <c r="AN294" s="589"/>
      <c r="AO294" s="589"/>
      <c r="AP294" s="589"/>
      <c r="AQ294" s="589"/>
      <c r="AR294" s="589"/>
      <c r="AS294" s="589"/>
      <c r="AT294" s="589"/>
      <c r="AU294" s="589"/>
      <c r="AV294" s="589"/>
      <c r="AW294" s="589"/>
      <c r="AX294" s="589"/>
      <c r="AY294" s="589"/>
      <c r="AZ294" s="589"/>
      <c r="BA294" s="589"/>
      <c r="BB294" s="589"/>
      <c r="BD294" s="60" t="s">
        <v>882</v>
      </c>
      <c r="BE294" s="60" t="s">
        <v>868</v>
      </c>
    </row>
    <row r="295" spans="1:57" s="57" customFormat="1" ht="33.75" customHeight="1" x14ac:dyDescent="0.25">
      <c r="A295" s="63">
        <f>IF(D295="","",SUBTOTAL(3,$D$8:D295))</f>
        <v>252</v>
      </c>
      <c r="B295" s="63" t="s">
        <v>28</v>
      </c>
      <c r="C295" s="79" t="s">
        <v>520</v>
      </c>
      <c r="D295" s="73" t="s">
        <v>129</v>
      </c>
      <c r="E295" s="686"/>
      <c r="F295" s="686"/>
      <c r="G295" s="282" t="str">
        <f t="shared" si="87"/>
        <v>A2</v>
      </c>
      <c r="H295" s="737"/>
      <c r="I295" s="737" t="s">
        <v>1071</v>
      </c>
      <c r="J295" s="737" t="s">
        <v>981</v>
      </c>
      <c r="K295" s="491" t="s">
        <v>1072</v>
      </c>
      <c r="L295" s="308" t="s">
        <v>85</v>
      </c>
      <c r="M295" s="288"/>
      <c r="N295" s="291">
        <f>IFERROR(VLOOKUP($D295,'K.Đ-ĐTỬ'!$C$10:$AE$39,14,0),0)</f>
        <v>1</v>
      </c>
      <c r="O295" s="291">
        <f>IFERROR(VLOOKUP($D295,'K.Đ-ĐTỬ'!$C$10:$AE$39,28,0),0)</f>
        <v>1</v>
      </c>
      <c r="P295" s="313" t="str">
        <f t="shared" si="88"/>
        <v>A3</v>
      </c>
      <c r="Q295" s="341" t="str">
        <f t="shared" si="89"/>
        <v>A3</v>
      </c>
      <c r="R295" s="315"/>
      <c r="S295" s="662"/>
      <c r="T295" s="662"/>
      <c r="U295" s="176" t="str">
        <f t="shared" si="90"/>
        <v>A3</v>
      </c>
      <c r="V295" s="177"/>
      <c r="W295" s="330">
        <f>IFERROR(VLOOKUP($D295,'K.Đ-ĐTỬ'!$C$10:$AE$39,15,0),0)</f>
        <v>1</v>
      </c>
      <c r="X295" s="330">
        <f>IFERROR(VLOOKUP($D295,'K.Đ-ĐTỬ'!$C$10:$AE$39,29,0),0)</f>
        <v>1</v>
      </c>
      <c r="Y295" s="89"/>
      <c r="Z295" s="4"/>
      <c r="AA295" s="4"/>
      <c r="AB295" s="242"/>
      <c r="AC295" s="250"/>
      <c r="AD295" s="565"/>
      <c r="AE295" s="60" t="str">
        <f t="shared" si="83"/>
        <v>A3</v>
      </c>
      <c r="AF295" s="60"/>
      <c r="AG295" s="60"/>
      <c r="AH295" s="542"/>
      <c r="AI295" s="542"/>
      <c r="AK295" s="589"/>
      <c r="AL295" s="589"/>
      <c r="AM295" s="589"/>
      <c r="AN295" s="589"/>
      <c r="AO295" s="589"/>
      <c r="AP295" s="589"/>
      <c r="AQ295" s="589"/>
      <c r="AR295" s="589"/>
      <c r="AS295" s="589"/>
      <c r="AT295" s="589"/>
      <c r="AU295" s="589"/>
      <c r="AV295" s="589"/>
      <c r="AW295" s="589"/>
      <c r="AX295" s="589"/>
      <c r="AY295" s="589"/>
      <c r="AZ295" s="589"/>
      <c r="BA295" s="589"/>
      <c r="BB295" s="589"/>
      <c r="BD295" s="60" t="s">
        <v>882</v>
      </c>
      <c r="BE295" s="60" t="s">
        <v>868</v>
      </c>
    </row>
    <row r="296" spans="1:57" s="57" customFormat="1" ht="33.75" customHeight="1" x14ac:dyDescent="0.25">
      <c r="A296" s="63">
        <f>IF(D296="","",SUBTOTAL(3,$D$8:D296))</f>
        <v>253</v>
      </c>
      <c r="B296" s="63" t="s">
        <v>29</v>
      </c>
      <c r="C296" s="79" t="s">
        <v>521</v>
      </c>
      <c r="D296" s="73" t="s">
        <v>130</v>
      </c>
      <c r="E296" s="652"/>
      <c r="F296" s="652"/>
      <c r="G296" s="282" t="str">
        <f t="shared" si="87"/>
        <v>A2</v>
      </c>
      <c r="H296" s="737"/>
      <c r="I296" s="737" t="s">
        <v>966</v>
      </c>
      <c r="J296" s="737" t="s">
        <v>983</v>
      </c>
      <c r="K296" s="234"/>
      <c r="L296" s="308" t="s">
        <v>85</v>
      </c>
      <c r="M296" s="288"/>
      <c r="N296" s="291">
        <f>IFERROR(VLOOKUP($D296,'K.Đ-ĐTỬ'!$C$10:$AE$39,14,0),0)</f>
        <v>1</v>
      </c>
      <c r="O296" s="291">
        <f>IFERROR(VLOOKUP($D296,'K.Đ-ĐTỬ'!$C$10:$AE$39,28,0),0)</f>
        <v>2</v>
      </c>
      <c r="P296" s="313" t="str">
        <f t="shared" si="88"/>
        <v>A3</v>
      </c>
      <c r="Q296" s="341" t="str">
        <f t="shared" si="89"/>
        <v>A3</v>
      </c>
      <c r="R296" s="319"/>
      <c r="S296" s="672"/>
      <c r="T296" s="672"/>
      <c r="U296" s="176" t="str">
        <f t="shared" si="90"/>
        <v>A3</v>
      </c>
      <c r="V296" s="177"/>
      <c r="W296" s="330">
        <f>IFERROR(VLOOKUP($D296,'K.Đ-ĐTỬ'!$C$10:$AE$39,15,0),0)</f>
        <v>1</v>
      </c>
      <c r="X296" s="330">
        <f>IFERROR(VLOOKUP($D296,'K.Đ-ĐTỬ'!$C$10:$AE$39,29,0),0)</f>
        <v>2</v>
      </c>
      <c r="Y296" s="89"/>
      <c r="Z296" s="4"/>
      <c r="AA296" s="85"/>
      <c r="AB296" s="242"/>
      <c r="AC296" s="250"/>
      <c r="AD296" s="213"/>
      <c r="AE296" s="60" t="str">
        <f t="shared" si="83"/>
        <v>A3</v>
      </c>
      <c r="AF296" s="60"/>
      <c r="AG296" s="60"/>
      <c r="AH296" s="542"/>
      <c r="AI296" s="542"/>
      <c r="AK296" s="589"/>
      <c r="AL296" s="589"/>
      <c r="AM296" s="589"/>
      <c r="AN296" s="589"/>
      <c r="AO296" s="589"/>
      <c r="AP296" s="589"/>
      <c r="AQ296" s="589"/>
      <c r="AR296" s="589"/>
      <c r="AS296" s="589"/>
      <c r="AT296" s="589"/>
      <c r="AU296" s="589"/>
      <c r="AV296" s="589"/>
      <c r="AW296" s="589"/>
      <c r="AX296" s="589"/>
      <c r="AY296" s="589"/>
      <c r="AZ296" s="589"/>
      <c r="BA296" s="589"/>
      <c r="BB296" s="589"/>
      <c r="BD296" s="60" t="s">
        <v>882</v>
      </c>
      <c r="BE296" s="60" t="s">
        <v>868</v>
      </c>
    </row>
    <row r="297" spans="1:57" s="70" customFormat="1" ht="33.75" customHeight="1" x14ac:dyDescent="0.25">
      <c r="A297" s="63">
        <f>IF(D297="","",SUBTOTAL(3,$D$8:D297))</f>
        <v>254</v>
      </c>
      <c r="B297" s="63" t="s">
        <v>30</v>
      </c>
      <c r="C297" s="79" t="s">
        <v>522</v>
      </c>
      <c r="D297" s="73" t="s">
        <v>131</v>
      </c>
      <c r="E297" s="652"/>
      <c r="F297" s="652"/>
      <c r="G297" s="282" t="str">
        <f t="shared" si="87"/>
        <v>A1</v>
      </c>
      <c r="H297" s="737" t="s">
        <v>960</v>
      </c>
      <c r="I297" s="737" t="s">
        <v>997</v>
      </c>
      <c r="J297" s="737" t="s">
        <v>983</v>
      </c>
      <c r="K297" s="234"/>
      <c r="L297" s="308" t="s">
        <v>82</v>
      </c>
      <c r="M297" s="288"/>
      <c r="N297" s="291">
        <f>IFERROR(VLOOKUP($D297,'K.Đ-ĐTỬ'!$C$10:$AE$39,14,0),0)</f>
        <v>3</v>
      </c>
      <c r="O297" s="291">
        <f>IFERROR(VLOOKUP($D297,'K.Đ-ĐTỬ'!$C$10:$AE$39,28,0),0)</f>
        <v>3</v>
      </c>
      <c r="P297" s="313" t="str">
        <f t="shared" si="88"/>
        <v>A1</v>
      </c>
      <c r="Q297" s="341" t="str">
        <f t="shared" si="89"/>
        <v>A1</v>
      </c>
      <c r="R297" s="319"/>
      <c r="S297" s="672"/>
      <c r="T297" s="672"/>
      <c r="U297" s="176" t="str">
        <f t="shared" si="90"/>
        <v>A1</v>
      </c>
      <c r="V297" s="177"/>
      <c r="W297" s="330">
        <f>IFERROR(VLOOKUP($D297,'K.Đ-ĐTỬ'!$C$10:$AE$39,15,0),0)</f>
        <v>3</v>
      </c>
      <c r="X297" s="330">
        <f>IFERROR(VLOOKUP($D297,'K.Đ-ĐTỬ'!$C$10:$AE$39,29,0),0)</f>
        <v>3</v>
      </c>
      <c r="Y297" s="89"/>
      <c r="Z297" s="857"/>
      <c r="AA297" s="857"/>
      <c r="AB297" s="242"/>
      <c r="AC297" s="836"/>
      <c r="AD297" s="213"/>
      <c r="AE297" s="60" t="str">
        <f t="shared" si="83"/>
        <v>A1</v>
      </c>
      <c r="AF297" s="60"/>
      <c r="AG297" s="60"/>
      <c r="BD297" s="60" t="s">
        <v>882</v>
      </c>
      <c r="BE297" s="60" t="s">
        <v>868</v>
      </c>
    </row>
    <row r="298" spans="1:57" s="57" customFormat="1" ht="36.75" customHeight="1" x14ac:dyDescent="0.25">
      <c r="A298" s="63">
        <f>IF(D298="","",SUBTOTAL(3,$D$8:D298))</f>
        <v>255</v>
      </c>
      <c r="B298" s="63" t="s">
        <v>31</v>
      </c>
      <c r="C298" s="79" t="s">
        <v>523</v>
      </c>
      <c r="D298" s="73" t="s">
        <v>132</v>
      </c>
      <c r="E298" s="652"/>
      <c r="F298" s="652"/>
      <c r="G298" s="282" t="str">
        <f t="shared" si="87"/>
        <v>A2</v>
      </c>
      <c r="H298" s="737"/>
      <c r="I298" s="737" t="s">
        <v>966</v>
      </c>
      <c r="J298" s="737" t="s">
        <v>983</v>
      </c>
      <c r="K298" s="234"/>
      <c r="L298" s="308" t="s">
        <v>85</v>
      </c>
      <c r="M298" s="288"/>
      <c r="N298" s="291">
        <f>IFERROR(VLOOKUP($D298,'K.Đ-ĐTỬ'!$C$10:$AE$39,14,0),0)</f>
        <v>1</v>
      </c>
      <c r="O298" s="291">
        <f>IFERROR(VLOOKUP($D298,'K.Đ-ĐTỬ'!$C$10:$AE$39,28,0),0)</f>
        <v>2</v>
      </c>
      <c r="P298" s="313" t="str">
        <f t="shared" si="88"/>
        <v>A3</v>
      </c>
      <c r="Q298" s="341" t="str">
        <f t="shared" si="89"/>
        <v>A3</v>
      </c>
      <c r="R298" s="319"/>
      <c r="S298" s="672"/>
      <c r="T298" s="672"/>
      <c r="U298" s="176" t="str">
        <f t="shared" si="90"/>
        <v>A3</v>
      </c>
      <c r="V298" s="177"/>
      <c r="W298" s="330">
        <f>IFERROR(VLOOKUP($D298,'K.Đ-ĐTỬ'!$C$10:$AE$39,15,0),0)</f>
        <v>1</v>
      </c>
      <c r="X298" s="330">
        <f>IFERROR(VLOOKUP($D298,'K.Đ-ĐTỬ'!$C$10:$AE$39,29,0),0)</f>
        <v>2</v>
      </c>
      <c r="Y298" s="89"/>
      <c r="Z298" s="857"/>
      <c r="AA298" s="859"/>
      <c r="AB298" s="242"/>
      <c r="AC298" s="836"/>
      <c r="AD298" s="213"/>
      <c r="AE298" s="60" t="str">
        <f t="shared" si="83"/>
        <v>A3</v>
      </c>
      <c r="AF298" s="60"/>
      <c r="AG298" s="60"/>
      <c r="AH298" s="542"/>
      <c r="AI298" s="542"/>
      <c r="AK298" s="589"/>
      <c r="AL298" s="589"/>
      <c r="AM298" s="589"/>
      <c r="AN298" s="589"/>
      <c r="AO298" s="589"/>
      <c r="AP298" s="589"/>
      <c r="AQ298" s="589"/>
      <c r="AR298" s="589"/>
      <c r="AS298" s="589"/>
      <c r="AT298" s="589"/>
      <c r="AU298" s="589"/>
      <c r="AV298" s="589"/>
      <c r="AW298" s="589"/>
      <c r="AX298" s="589"/>
      <c r="AY298" s="589"/>
      <c r="AZ298" s="589"/>
      <c r="BA298" s="589"/>
      <c r="BB298" s="589"/>
      <c r="BD298" s="60" t="s">
        <v>882</v>
      </c>
      <c r="BE298" s="60" t="s">
        <v>868</v>
      </c>
    </row>
    <row r="299" spans="1:57" s="57" customFormat="1" ht="33.75" customHeight="1" x14ac:dyDescent="0.25">
      <c r="A299" s="63">
        <f>IF(D299="","",SUBTOTAL(3,$D$8:D299))</f>
        <v>256</v>
      </c>
      <c r="B299" s="63" t="s">
        <v>32</v>
      </c>
      <c r="C299" s="79" t="s">
        <v>524</v>
      </c>
      <c r="D299" s="73" t="s">
        <v>133</v>
      </c>
      <c r="E299" s="652"/>
      <c r="F299" s="652"/>
      <c r="G299" s="282" t="str">
        <f t="shared" si="87"/>
        <v>A3</v>
      </c>
      <c r="H299" s="737"/>
      <c r="I299" s="737"/>
      <c r="J299" s="737" t="s">
        <v>981</v>
      </c>
      <c r="K299" s="234"/>
      <c r="L299" s="308" t="s">
        <v>83</v>
      </c>
      <c r="M299" s="288"/>
      <c r="N299" s="291">
        <f>IFERROR(VLOOKUP($D299,'K.Đ-ĐTỬ'!$C$10:$AE$39,14,0),0)</f>
        <v>0</v>
      </c>
      <c r="O299" s="291">
        <f>IFERROR(VLOOKUP($D299,'K.Đ-ĐTỬ'!$C$10:$AE$39,28,0),0)</f>
        <v>1</v>
      </c>
      <c r="P299" s="313" t="str">
        <f t="shared" si="88"/>
        <v>A4</v>
      </c>
      <c r="Q299" s="341" t="str">
        <f t="shared" si="89"/>
        <v>A4</v>
      </c>
      <c r="R299" s="315"/>
      <c r="S299" s="662"/>
      <c r="T299" s="662"/>
      <c r="U299" s="176" t="str">
        <f t="shared" si="90"/>
        <v>A4</v>
      </c>
      <c r="V299" s="177"/>
      <c r="W299" s="330">
        <f>IFERROR(VLOOKUP($D299,'K.Đ-ĐTỬ'!$C$10:$AE$39,15,0),0)</f>
        <v>0</v>
      </c>
      <c r="X299" s="330">
        <f>IFERROR(VLOOKUP($D299,'K.Đ-ĐTỬ'!$C$10:$AE$39,29,0),0)</f>
        <v>1</v>
      </c>
      <c r="Y299" s="89"/>
      <c r="Z299" s="842"/>
      <c r="AA299" s="842"/>
      <c r="AB299" s="242"/>
      <c r="AC299" s="836"/>
      <c r="AD299" s="213"/>
      <c r="AE299" s="60" t="str">
        <f t="shared" si="83"/>
        <v>A4</v>
      </c>
      <c r="AF299" s="60"/>
      <c r="AG299" s="60"/>
      <c r="AH299" s="542"/>
      <c r="AI299" s="542"/>
      <c r="AK299" s="589"/>
      <c r="AL299" s="589"/>
      <c r="AM299" s="589"/>
      <c r="AN299" s="589"/>
      <c r="AO299" s="589"/>
      <c r="AP299" s="589"/>
      <c r="AQ299" s="589"/>
      <c r="AR299" s="589"/>
      <c r="AS299" s="589"/>
      <c r="AT299" s="589"/>
      <c r="AU299" s="589"/>
      <c r="AV299" s="589"/>
      <c r="AW299" s="589"/>
      <c r="AX299" s="589"/>
      <c r="AY299" s="589"/>
      <c r="AZ299" s="589"/>
      <c r="BA299" s="589"/>
      <c r="BB299" s="589"/>
      <c r="BD299" s="60" t="s">
        <v>882</v>
      </c>
      <c r="BE299" s="60" t="s">
        <v>868</v>
      </c>
    </row>
    <row r="300" spans="1:57" s="57" customFormat="1" ht="33.75" customHeight="1" x14ac:dyDescent="0.25">
      <c r="A300" s="63">
        <f>IF(D300="","",SUBTOTAL(3,$D$8:D300))</f>
        <v>257</v>
      </c>
      <c r="B300" s="63" t="s">
        <v>33</v>
      </c>
      <c r="C300" s="79" t="s">
        <v>525</v>
      </c>
      <c r="D300" s="73" t="s">
        <v>134</v>
      </c>
      <c r="E300" s="686"/>
      <c r="F300" s="686"/>
      <c r="G300" s="282" t="str">
        <f t="shared" si="87"/>
        <v>A2</v>
      </c>
      <c r="H300" s="737"/>
      <c r="I300" s="737" t="s">
        <v>1071</v>
      </c>
      <c r="J300" s="737" t="s">
        <v>981</v>
      </c>
      <c r="K300" s="491" t="s">
        <v>1072</v>
      </c>
      <c r="L300" s="308" t="s">
        <v>85</v>
      </c>
      <c r="M300" s="288"/>
      <c r="N300" s="291">
        <f>IFERROR(VLOOKUP($D300,'K.Đ-ĐTỬ'!$C$10:$AE$39,14,0),0)</f>
        <v>1</v>
      </c>
      <c r="O300" s="291">
        <f>IFERROR(VLOOKUP($D300,'K.Đ-ĐTỬ'!$C$10:$AE$39,28,0),0)</f>
        <v>1</v>
      </c>
      <c r="P300" s="313" t="str">
        <f t="shared" si="88"/>
        <v>A3</v>
      </c>
      <c r="Q300" s="341" t="str">
        <f t="shared" si="89"/>
        <v>A3</v>
      </c>
      <c r="R300" s="319"/>
      <c r="S300" s="672"/>
      <c r="T300" s="672"/>
      <c r="U300" s="176" t="str">
        <f t="shared" si="90"/>
        <v>A3</v>
      </c>
      <c r="V300" s="177"/>
      <c r="W300" s="330">
        <f>IFERROR(VLOOKUP($D300,'K.Đ-ĐTỬ'!$C$10:$AE$39,15,0),0)</f>
        <v>1</v>
      </c>
      <c r="X300" s="330">
        <f>IFERROR(VLOOKUP($D300,'K.Đ-ĐTỬ'!$C$10:$AE$39,29,0),0)</f>
        <v>1</v>
      </c>
      <c r="Y300" s="89"/>
      <c r="Z300" s="857"/>
      <c r="AA300" s="857"/>
      <c r="AB300" s="242"/>
      <c r="AC300" s="836"/>
      <c r="AD300" s="565"/>
      <c r="AE300" s="60" t="str">
        <f t="shared" si="83"/>
        <v>A3</v>
      </c>
      <c r="AF300" s="60"/>
      <c r="AG300" s="60"/>
      <c r="AH300" s="542"/>
      <c r="AI300" s="542"/>
      <c r="AK300" s="589"/>
      <c r="AL300" s="589"/>
      <c r="AM300" s="589"/>
      <c r="AN300" s="589"/>
      <c r="AO300" s="589"/>
      <c r="AP300" s="589"/>
      <c r="AQ300" s="589"/>
      <c r="AR300" s="589"/>
      <c r="AS300" s="589"/>
      <c r="AT300" s="589"/>
      <c r="AU300" s="589"/>
      <c r="AV300" s="589"/>
      <c r="AW300" s="589"/>
      <c r="AX300" s="589"/>
      <c r="AY300" s="589"/>
      <c r="AZ300" s="589"/>
      <c r="BA300" s="589"/>
      <c r="BB300" s="589"/>
      <c r="BD300" s="60" t="s">
        <v>882</v>
      </c>
      <c r="BE300" s="60" t="s">
        <v>868</v>
      </c>
    </row>
    <row r="301" spans="1:57" s="57" customFormat="1" ht="33.75" customHeight="1" x14ac:dyDescent="0.25">
      <c r="A301" s="63">
        <f>IF(D301="","",SUBTOTAL(3,$D$8:D301))</f>
        <v>258</v>
      </c>
      <c r="B301" s="63" t="s">
        <v>34</v>
      </c>
      <c r="C301" s="79" t="s">
        <v>526</v>
      </c>
      <c r="D301" s="73" t="s">
        <v>135</v>
      </c>
      <c r="E301" s="686"/>
      <c r="F301" s="686"/>
      <c r="G301" s="282" t="str">
        <f t="shared" si="87"/>
        <v>A2</v>
      </c>
      <c r="H301" s="737"/>
      <c r="I301" s="738" t="s">
        <v>984</v>
      </c>
      <c r="J301" s="737" t="s">
        <v>981</v>
      </c>
      <c r="K301" s="739" t="s">
        <v>1055</v>
      </c>
      <c r="L301" s="308" t="s">
        <v>85</v>
      </c>
      <c r="M301" s="288"/>
      <c r="N301" s="291">
        <f>IFERROR(VLOOKUP($D301,'K.Đ-ĐTỬ'!$C$10:$AE$39,14,0),0)</f>
        <v>1</v>
      </c>
      <c r="O301" s="291">
        <f>IFERROR(VLOOKUP($D301,'K.Đ-ĐTỬ'!$C$10:$AE$39,28,0),0)</f>
        <v>1</v>
      </c>
      <c r="P301" s="313" t="str">
        <f t="shared" si="88"/>
        <v>A3</v>
      </c>
      <c r="Q301" s="341" t="str">
        <f t="shared" si="89"/>
        <v>A3</v>
      </c>
      <c r="R301" s="319"/>
      <c r="S301" s="672"/>
      <c r="T301" s="672"/>
      <c r="U301" s="176" t="str">
        <f t="shared" si="90"/>
        <v>A3</v>
      </c>
      <c r="V301" s="177"/>
      <c r="W301" s="330">
        <f>IFERROR(VLOOKUP($D301,'K.Đ-ĐTỬ'!$C$10:$AE$39,15,0),0)</f>
        <v>1</v>
      </c>
      <c r="X301" s="330">
        <f>IFERROR(VLOOKUP($D301,'K.Đ-ĐTỬ'!$C$10:$AE$39,29,0),0)</f>
        <v>1</v>
      </c>
      <c r="Y301" s="89"/>
      <c r="Z301" s="857"/>
      <c r="AA301" s="857"/>
      <c r="AB301" s="242"/>
      <c r="AC301" s="836"/>
      <c r="AD301" s="213"/>
      <c r="AE301" s="60" t="str">
        <f t="shared" si="83"/>
        <v>A3</v>
      </c>
      <c r="AF301" s="60"/>
      <c r="AG301" s="60"/>
      <c r="AH301" s="542"/>
      <c r="AI301" s="542"/>
      <c r="AK301" s="589"/>
      <c r="AL301" s="589"/>
      <c r="AM301" s="589"/>
      <c r="AN301" s="589"/>
      <c r="AO301" s="589"/>
      <c r="AP301" s="589"/>
      <c r="AQ301" s="589"/>
      <c r="AR301" s="589"/>
      <c r="AS301" s="589"/>
      <c r="AT301" s="589"/>
      <c r="AU301" s="589"/>
      <c r="AV301" s="589"/>
      <c r="AW301" s="589"/>
      <c r="AX301" s="589"/>
      <c r="AY301" s="589"/>
      <c r="AZ301" s="589"/>
      <c r="BA301" s="589"/>
      <c r="BB301" s="589"/>
      <c r="BD301" s="60" t="s">
        <v>882</v>
      </c>
      <c r="BE301" s="60" t="s">
        <v>868</v>
      </c>
    </row>
    <row r="302" spans="1:57" s="70" customFormat="1" ht="33.75" customHeight="1" x14ac:dyDescent="0.25">
      <c r="A302" s="63">
        <f>IF(D302="","",SUBTOTAL(3,$D$8:D302))</f>
        <v>259</v>
      </c>
      <c r="B302" s="63"/>
      <c r="C302" s="79" t="s">
        <v>854</v>
      </c>
      <c r="D302" s="585" t="s">
        <v>859</v>
      </c>
      <c r="E302" s="652"/>
      <c r="F302" s="652"/>
      <c r="G302" s="282" t="str">
        <f t="shared" si="87"/>
        <v>A4</v>
      </c>
      <c r="H302" s="737"/>
      <c r="I302" s="737"/>
      <c r="J302" s="737"/>
      <c r="K302" s="234"/>
      <c r="L302" s="483" t="s">
        <v>83</v>
      </c>
      <c r="M302" s="288"/>
      <c r="N302" s="291">
        <f>IFERROR(VLOOKUP($D302,'K.Đ-ĐTỬ'!$C$10:$AE$39,14,0),0)</f>
        <v>1</v>
      </c>
      <c r="O302" s="291">
        <f>IFERROR(VLOOKUP($D302,'K.Đ-ĐTỬ'!$C$10:$AE$39,28,0),0)</f>
        <v>1</v>
      </c>
      <c r="P302" s="313" t="str">
        <f t="shared" si="88"/>
        <v>A4</v>
      </c>
      <c r="Q302" s="341" t="str">
        <f t="shared" si="89"/>
        <v>A4</v>
      </c>
      <c r="R302" s="319"/>
      <c r="S302" s="672"/>
      <c r="T302" s="672"/>
      <c r="U302" s="176" t="str">
        <f>$Q302</f>
        <v>A4</v>
      </c>
      <c r="V302" s="177"/>
      <c r="W302" s="330">
        <f>IFERROR(VLOOKUP($D302,'K.Đ-ĐTỬ'!$C$10:$AE$39,15,0),0)</f>
        <v>1</v>
      </c>
      <c r="X302" s="330">
        <f>IFERROR(VLOOKUP($D302,'K.Đ-ĐTỬ'!$C$10:$AE$39,29,0),0)</f>
        <v>1</v>
      </c>
      <c r="Y302" s="89"/>
      <c r="Z302" s="857"/>
      <c r="AA302" s="857"/>
      <c r="AB302" s="242"/>
      <c r="AC302" s="836"/>
      <c r="AD302" s="213"/>
      <c r="AE302" s="60" t="str">
        <f t="shared" si="83"/>
        <v>A4</v>
      </c>
      <c r="AF302" s="60"/>
      <c r="AG302" s="60"/>
      <c r="BD302" s="60" t="s">
        <v>882</v>
      </c>
      <c r="BE302" s="60" t="s">
        <v>868</v>
      </c>
    </row>
    <row r="303" spans="1:57" s="60" customFormat="1" ht="33.75" customHeight="1" x14ac:dyDescent="0.25">
      <c r="A303" s="63">
        <f>IF(D303="","",SUBTOTAL(3,$D$8:D303))</f>
        <v>260</v>
      </c>
      <c r="B303" s="63" t="s">
        <v>35</v>
      </c>
      <c r="C303" s="79" t="s">
        <v>527</v>
      </c>
      <c r="D303" s="73" t="s">
        <v>136</v>
      </c>
      <c r="E303" s="652"/>
      <c r="F303" s="652"/>
      <c r="G303" s="282" t="str">
        <f t="shared" si="87"/>
        <v>A3</v>
      </c>
      <c r="H303" s="737"/>
      <c r="I303" s="737"/>
      <c r="J303" s="737" t="s">
        <v>981</v>
      </c>
      <c r="K303" s="234"/>
      <c r="L303" s="483" t="s">
        <v>85</v>
      </c>
      <c r="M303" s="288"/>
      <c r="N303" s="291">
        <f>IFERROR(VLOOKUP($D303,'K.Đ-ĐTỬ'!$C$10:$AE$39,14,0),0)</f>
        <v>1</v>
      </c>
      <c r="O303" s="291">
        <f>IFERROR(VLOOKUP($D303,'K.Đ-ĐTỬ'!$C$10:$AE$39,28,0),0)</f>
        <v>1</v>
      </c>
      <c r="P303" s="313" t="str">
        <f t="shared" si="88"/>
        <v>A3</v>
      </c>
      <c r="Q303" s="341" t="str">
        <f t="shared" si="89"/>
        <v>A3</v>
      </c>
      <c r="R303" s="319"/>
      <c r="S303" s="672"/>
      <c r="T303" s="672"/>
      <c r="U303" s="176" t="str">
        <f t="shared" si="90"/>
        <v>A3</v>
      </c>
      <c r="V303" s="177"/>
      <c r="W303" s="330">
        <f>IFERROR(VLOOKUP($D303,'K.Đ-ĐTỬ'!$C$10:$AE$39,15,0),0)</f>
        <v>1</v>
      </c>
      <c r="X303" s="330">
        <f>IFERROR(VLOOKUP($D303,'K.Đ-ĐTỬ'!$C$10:$AE$39,29,0),0)</f>
        <v>1</v>
      </c>
      <c r="Y303" s="89"/>
      <c r="Z303" s="857"/>
      <c r="AA303" s="857"/>
      <c r="AB303" s="228"/>
      <c r="AC303" s="775"/>
      <c r="AD303" s="213"/>
      <c r="AE303" s="60" t="str">
        <f t="shared" si="83"/>
        <v>A3</v>
      </c>
      <c r="BD303" s="60" t="s">
        <v>882</v>
      </c>
      <c r="BE303" s="60" t="s">
        <v>868</v>
      </c>
    </row>
    <row r="304" spans="1:57" s="60" customFormat="1" ht="33.75" customHeight="1" x14ac:dyDescent="0.25">
      <c r="A304" s="63">
        <f>IF(D304="","",SUBTOTAL(3,$D$8:D304))</f>
        <v>261</v>
      </c>
      <c r="B304" s="63" t="s">
        <v>36</v>
      </c>
      <c r="C304" s="79" t="s">
        <v>528</v>
      </c>
      <c r="D304" s="73" t="s">
        <v>137</v>
      </c>
      <c r="E304" s="652"/>
      <c r="F304" s="652"/>
      <c r="G304" s="282" t="str">
        <f t="shared" si="87"/>
        <v>A1</v>
      </c>
      <c r="H304" s="737" t="s">
        <v>982</v>
      </c>
      <c r="I304" s="737" t="s">
        <v>994</v>
      </c>
      <c r="J304" s="737" t="s">
        <v>983</v>
      </c>
      <c r="K304" s="234"/>
      <c r="L304" s="308" t="s">
        <v>84</v>
      </c>
      <c r="M304" s="288"/>
      <c r="N304" s="291">
        <f>IFERROR(VLOOKUP($D304,'K.Đ-ĐTỬ'!$C$10:$AE$39,14,0),0)</f>
        <v>2</v>
      </c>
      <c r="O304" s="291">
        <f>IFERROR(VLOOKUP($D304,'K.Đ-ĐTỬ'!$C$10:$AE$39,28,0),0)</f>
        <v>2</v>
      </c>
      <c r="P304" s="313" t="str">
        <f t="shared" si="88"/>
        <v>A2</v>
      </c>
      <c r="Q304" s="341" t="str">
        <f t="shared" si="89"/>
        <v>A2</v>
      </c>
      <c r="R304" s="317"/>
      <c r="S304" s="664"/>
      <c r="T304" s="664"/>
      <c r="U304" s="176" t="str">
        <f t="shared" si="90"/>
        <v>A2</v>
      </c>
      <c r="V304" s="177"/>
      <c r="W304" s="330">
        <f>IFERROR(VLOOKUP($D304,'K.Đ-ĐTỬ'!$C$10:$AE$39,15,0),0)</f>
        <v>2</v>
      </c>
      <c r="X304" s="330">
        <f>IFERROR(VLOOKUP($D304,'K.Đ-ĐTỬ'!$C$10:$AE$39,29,0),0)</f>
        <v>2</v>
      </c>
      <c r="Y304" s="89"/>
      <c r="Z304" s="859"/>
      <c r="AA304" s="2"/>
      <c r="AB304" s="228"/>
      <c r="AC304" s="775"/>
      <c r="AD304" s="213"/>
      <c r="AE304" s="60" t="str">
        <f t="shared" si="83"/>
        <v>A2</v>
      </c>
      <c r="BD304" s="60" t="s">
        <v>882</v>
      </c>
      <c r="BE304" s="60" t="s">
        <v>868</v>
      </c>
    </row>
    <row r="305" spans="1:59" s="70" customFormat="1" ht="44.25" customHeight="1" x14ac:dyDescent="0.25">
      <c r="A305" s="63">
        <f>IF(D305="","",SUBTOTAL(3,$D$8:D305))</f>
        <v>262</v>
      </c>
      <c r="B305" s="63" t="s">
        <v>37</v>
      </c>
      <c r="C305" s="79" t="s">
        <v>529</v>
      </c>
      <c r="D305" s="73" t="s">
        <v>138</v>
      </c>
      <c r="E305" s="652"/>
      <c r="F305" s="652"/>
      <c r="G305" s="282" t="str">
        <f t="shared" si="87"/>
        <v>A2</v>
      </c>
      <c r="H305" s="737"/>
      <c r="I305" s="737" t="s">
        <v>966</v>
      </c>
      <c r="J305" s="737" t="s">
        <v>1004</v>
      </c>
      <c r="K305" s="234"/>
      <c r="L305" s="1245" t="s">
        <v>82</v>
      </c>
      <c r="M305" s="288" t="s">
        <v>1190</v>
      </c>
      <c r="N305" s="291">
        <f>IFERROR(VLOOKUP($D305,'K.Đ-ĐTỬ'!$C$10:$AE$39,14,0),0)</f>
        <v>2</v>
      </c>
      <c r="O305" s="291">
        <f>IFERROR(VLOOKUP($D305,'K.Đ-ĐTỬ'!$C$10:$AE$39,28,0),0)</f>
        <v>1</v>
      </c>
      <c r="P305" s="1186" t="s">
        <v>82</v>
      </c>
      <c r="Q305" s="341" t="str">
        <f t="shared" si="89"/>
        <v>A1</v>
      </c>
      <c r="R305" s="332"/>
      <c r="S305" s="672"/>
      <c r="T305" s="672"/>
      <c r="U305" s="176" t="str">
        <f t="shared" si="90"/>
        <v>A1</v>
      </c>
      <c r="V305" s="177"/>
      <c r="W305" s="330">
        <f>IFERROR(VLOOKUP($D305,'K.Đ-ĐTỬ'!$C$10:$AE$39,15,0),0)</f>
        <v>2</v>
      </c>
      <c r="X305" s="330">
        <f>IFERROR(VLOOKUP($D305,'K.Đ-ĐTỬ'!$C$10:$AE$39,29,0),0)</f>
        <v>1</v>
      </c>
      <c r="Y305" s="89"/>
      <c r="Z305" s="859"/>
      <c r="AA305" s="857"/>
      <c r="AB305" s="242"/>
      <c r="AC305" s="836"/>
      <c r="AD305" s="213"/>
      <c r="AE305" s="60" t="str">
        <f t="shared" si="83"/>
        <v>A1</v>
      </c>
      <c r="AF305" s="60"/>
      <c r="AG305" s="60"/>
      <c r="AH305" s="607"/>
      <c r="AI305" s="607"/>
      <c r="AJ305" s="607"/>
      <c r="BD305" s="60" t="s">
        <v>882</v>
      </c>
      <c r="BE305" s="60" t="s">
        <v>868</v>
      </c>
    </row>
    <row r="306" spans="1:59" s="57" customFormat="1" ht="30" customHeight="1" x14ac:dyDescent="0.25">
      <c r="A306" s="63">
        <f>IF(D306="","",SUBTOTAL(3,$D$8:D306))</f>
        <v>263</v>
      </c>
      <c r="B306" s="63" t="s">
        <v>38</v>
      </c>
      <c r="C306" s="79" t="s">
        <v>530</v>
      </c>
      <c r="D306" s="73" t="s">
        <v>139</v>
      </c>
      <c r="E306" s="652"/>
      <c r="F306" s="652"/>
      <c r="G306" s="282" t="str">
        <f t="shared" si="87"/>
        <v>A2</v>
      </c>
      <c r="H306" s="737"/>
      <c r="I306" s="738" t="s">
        <v>991</v>
      </c>
      <c r="J306" s="737" t="s">
        <v>983</v>
      </c>
      <c r="K306" s="739" t="s">
        <v>1057</v>
      </c>
      <c r="L306" s="308" t="s">
        <v>85</v>
      </c>
      <c r="M306" s="288"/>
      <c r="N306" s="291">
        <f>IFERROR(VLOOKUP($D306,'K.Đ-ĐTỬ'!$C$10:$AE$39,14,0),0)</f>
        <v>1</v>
      </c>
      <c r="O306" s="291">
        <f>IFERROR(VLOOKUP($D306,'K.Đ-ĐTỬ'!$C$10:$AE$39,28,0),0)</f>
        <v>1</v>
      </c>
      <c r="P306" s="313" t="str">
        <f t="shared" ref="P306" si="91">IF(AND($W306&gt;=2,$X306&gt;=3,H306&lt;&gt;0),"A1",IF(AND($W306&gt;=3,$X306&gt;=1,H306&lt;&gt;0),"A1",IF(AND($W306&gt;=2,$X306&gt;=2,I306&lt;&gt;0),"A2",IF(AND($W306&gt;=3,$X306&gt;=0,I306&lt;&gt;0),"A2",IF(AND(OR($W306&gt;=1,$X306&gt;=2),J306&lt;&gt;0),"A3","A4")))))</f>
        <v>A3</v>
      </c>
      <c r="Q306" s="341" t="str">
        <f t="shared" si="89"/>
        <v>A3</v>
      </c>
      <c r="R306" s="319"/>
      <c r="S306" s="672"/>
      <c r="T306" s="672"/>
      <c r="U306" s="176" t="str">
        <f t="shared" si="90"/>
        <v>A3</v>
      </c>
      <c r="V306" s="177"/>
      <c r="W306" s="330">
        <f>IFERROR(VLOOKUP($D306,'K.Đ-ĐTỬ'!$C$10:$AE$39,15,0),0)</f>
        <v>1</v>
      </c>
      <c r="X306" s="330">
        <f>IFERROR(VLOOKUP($D306,'K.Đ-ĐTỬ'!$C$10:$AE$39,29,0),0)</f>
        <v>1</v>
      </c>
      <c r="Y306" s="89"/>
      <c r="Z306" s="859"/>
      <c r="AA306" s="857"/>
      <c r="AB306" s="228"/>
      <c r="AC306" s="776"/>
      <c r="AD306" s="213"/>
      <c r="AE306" s="60" t="str">
        <f>IF($L306=$P306,$L306,FALSE)</f>
        <v>A3</v>
      </c>
      <c r="AF306" s="60"/>
      <c r="AG306" s="60"/>
      <c r="AH306" s="94"/>
      <c r="AI306" s="94"/>
      <c r="AJ306" s="94"/>
      <c r="AK306" s="589"/>
      <c r="AL306" s="589"/>
      <c r="AM306" s="589"/>
      <c r="AN306" s="589"/>
      <c r="AO306" s="589"/>
      <c r="AP306" s="589"/>
      <c r="AQ306" s="589"/>
      <c r="AR306" s="589"/>
      <c r="AS306" s="589"/>
      <c r="AT306" s="589"/>
      <c r="AU306" s="589"/>
      <c r="AV306" s="589"/>
      <c r="AW306" s="589"/>
      <c r="AX306" s="589"/>
      <c r="AY306" s="589"/>
      <c r="AZ306" s="589"/>
      <c r="BA306" s="589"/>
      <c r="BB306" s="589"/>
      <c r="BD306" s="60" t="s">
        <v>882</v>
      </c>
      <c r="BE306" s="60" t="s">
        <v>868</v>
      </c>
    </row>
    <row r="307" spans="1:59" ht="38.25" customHeight="1" x14ac:dyDescent="0.25">
      <c r="A307" s="62" t="s">
        <v>735</v>
      </c>
      <c r="B307" s="62" t="s">
        <v>734</v>
      </c>
      <c r="C307" s="64" t="s">
        <v>531</v>
      </c>
      <c r="D307" s="62"/>
      <c r="E307" s="652"/>
      <c r="F307" s="652"/>
      <c r="G307" s="280">
        <f>COUNTA($L309:$L317)</f>
        <v>9</v>
      </c>
      <c r="H307" s="234"/>
      <c r="I307" s="234"/>
      <c r="J307" s="234"/>
      <c r="K307" s="234"/>
      <c r="L307" s="500">
        <f>COUNTA($L309:$L317)</f>
        <v>9</v>
      </c>
      <c r="M307" s="286" t="str">
        <f>(COUNTIF($L$309:$L$317,"A1")&amp;"A1")&amp;" + "&amp;(COUNTIF($L$309:$L$317,"A2")&amp;"A2")&amp;" + "&amp;(COUNTIF($L$309:$L$317,"A3")&amp;"A3")&amp;" + "&amp;(COUNTIF($L$309:$L$317,"A4")&amp;"A4")&amp;" + "&amp;(COUNTIF($L$309:$L$317,"B1")&amp;"B1")</f>
        <v>1A1 + 0A2 + 4A3 + 4A4 + 0B1</v>
      </c>
      <c r="N307" s="500"/>
      <c r="O307" s="500"/>
      <c r="P307" s="311">
        <f>COUNTA($Q$309:$Q$317)</f>
        <v>9</v>
      </c>
      <c r="Q307" s="340">
        <f>COUNTA($Q$309:$Q$317)</f>
        <v>9</v>
      </c>
      <c r="R307" s="312" t="str">
        <f>(COUNTIF($Q$309:$Q$317,"A1")&amp;"A1")&amp;" + "&amp;(COUNTIF($Q$309:$Q$317,"A2")&amp;"A2")&amp;" + "&amp;(COUNTIF($Q$309:$Q$317,"A3")&amp;"A3")&amp;" + "&amp;(COUNTIF($Q$309:$Q$317,"A4")&amp;"A4")&amp;" + "&amp;(COUNTIF($Q$309:$Q$317,"B1")&amp;"B1")&amp;" + "&amp;(COUNTIF($Q$309:$Q$317,"B2")&amp;"B2")</f>
        <v>1A1 + 0A2 + 4A3 + 4A4 + 0B1 + 0B2</v>
      </c>
      <c r="S307" s="661"/>
      <c r="T307" s="661"/>
      <c r="U307" s="174">
        <f>COUNTA($U$309:$U$317)</f>
        <v>9</v>
      </c>
      <c r="V307" s="175" t="str">
        <f>(COUNTIF($U$309:$U$317,"A1")&amp;"A1")&amp;" + "&amp;(COUNTIF($U$309:$U$317,"A2")&amp;"A2")&amp;" + "&amp;(COUNTIF($U$309:$U$317,"A3")&amp;"A3")&amp;" + "&amp;(COUNTIF($U$309:$U$317,"A4")&amp;"A4")&amp;" + "&amp;(COUNTIF($U$309:$U$317,"B1")&amp;"B1")&amp;" + "&amp;(COUNTIF($U$309:$U$317,"B2")&amp;"B2")</f>
        <v>1A1 + 0A2 + 4A3 + 4A4 + 0B1 + 0B2</v>
      </c>
      <c r="W307" s="501"/>
      <c r="X307" s="501"/>
      <c r="Y307" s="556"/>
      <c r="Z307" s="862"/>
      <c r="AA307" s="862"/>
      <c r="AB307" s="242"/>
      <c r="AC307" s="1353"/>
      <c r="AD307" s="219"/>
      <c r="AE307" s="60"/>
      <c r="AF307" s="60"/>
      <c r="AG307" s="607"/>
      <c r="AH307" s="608"/>
      <c r="AI307" s="608"/>
      <c r="AK307" s="1327" t="s">
        <v>906</v>
      </c>
      <c r="AL307" s="1327"/>
      <c r="AM307" s="1327"/>
      <c r="AN307" s="1327"/>
      <c r="AO307" s="1327"/>
      <c r="AP307" s="1327"/>
      <c r="AQ307" s="1327"/>
      <c r="AR307" s="1327"/>
      <c r="AS307" s="1327"/>
      <c r="AT307" s="1327"/>
      <c r="AU307" s="1327"/>
      <c r="AV307" s="1327"/>
      <c r="AW307" s="1327"/>
      <c r="AX307" s="1327"/>
      <c r="AY307" s="1327"/>
      <c r="AZ307" s="1327"/>
      <c r="BA307" s="1327"/>
      <c r="BB307" s="1327"/>
      <c r="BF307" s="60">
        <f>COUNTIF($BE309:$BE317,"CBQL")</f>
        <v>1</v>
      </c>
      <c r="BG307" s="60">
        <f>COUNTIF($BE309:$BE317,"GV") + COUNTIF($BE309:$BE317,"NV")</f>
        <v>8</v>
      </c>
    </row>
    <row r="308" spans="1:59" s="57" customFormat="1" ht="30.75" customHeight="1" x14ac:dyDescent="0.25">
      <c r="A308" s="65" t="s">
        <v>45</v>
      </c>
      <c r="B308" s="65" t="s">
        <v>45</v>
      </c>
      <c r="C308" s="66" t="s">
        <v>46</v>
      </c>
      <c r="D308" s="65"/>
      <c r="E308" s="691" t="s">
        <v>949</v>
      </c>
      <c r="F308" s="691" t="s">
        <v>950</v>
      </c>
      <c r="G308" s="280">
        <f>COUNTA($L309:$L317)</f>
        <v>9</v>
      </c>
      <c r="H308" s="234"/>
      <c r="I308" s="234"/>
      <c r="J308" s="234"/>
      <c r="K308" s="234"/>
      <c r="L308" s="500">
        <f>COUNTA($L309:$L317)</f>
        <v>9</v>
      </c>
      <c r="M308" s="286" t="str">
        <f>(COUNTIF($L$309:$L$317,"A1")&amp;"A1")&amp;" + "&amp;(COUNTIF($L$309:$L$317,"A2")&amp;"A2")&amp;" + "&amp;(COUNTIF($L$309:$L$317,"A3")&amp;"A3")&amp;" + "&amp;(COUNTIF($L$309:$L$317,"A4")&amp;"A4")&amp;" + "&amp;(COUNTIF($L$309:$L$317,"B1")&amp;"B1")</f>
        <v>1A1 + 0A2 + 4A3 + 4A4 + 0B1</v>
      </c>
      <c r="N308" s="500"/>
      <c r="O308" s="500"/>
      <c r="P308" s="311">
        <f>COUNTA($Q$309:$Q$317)</f>
        <v>9</v>
      </c>
      <c r="Q308" s="340">
        <f>COUNTA($Q$309:$Q$317)</f>
        <v>9</v>
      </c>
      <c r="R308" s="312" t="str">
        <f>(COUNTIF($Q$309:$Q$317,"A1")&amp;"A1")&amp;" + "&amp;(COUNTIF($Q$309:$Q$317,"A2")&amp;"A2")&amp;" + "&amp;(COUNTIF($Q$309:$Q$317,"A3")&amp;"A3")&amp;" + "&amp;(COUNTIF($Q$309:$Q$317,"A4")&amp;"A4")&amp;" + "&amp;(COUNTIF($Q$309:$Q$317,"B1")&amp;"B1")&amp;" + "&amp;(COUNTIF($Q$309:$Q$317,"B2")&amp;"B2")</f>
        <v>1A1 + 0A2 + 4A3 + 4A4 + 0B1 + 0B2</v>
      </c>
      <c r="S308" s="691" t="s">
        <v>949</v>
      </c>
      <c r="T308" s="691" t="s">
        <v>950</v>
      </c>
      <c r="U308" s="174">
        <f>COUNTA($U$309:$U$317)</f>
        <v>9</v>
      </c>
      <c r="V308" s="175" t="str">
        <f>(COUNTIF($U$310:$U$317,"A1")&amp;"A1")&amp;" + "&amp;(COUNTIF($U$310:$U$317,"A2")&amp;"A2")&amp;" + "&amp;(COUNTIF($U$310:$U$317,"A3")&amp;"A3")&amp;" + "&amp;(COUNTIF($U$310:$U$317,"A4")&amp;"A4")&amp;" + "&amp;(COUNTIF($U$310:$U$317,"B1")&amp;"B1")&amp;" + "&amp;(COUNTIF($U$310:$U$317,"B2")&amp;"B2")</f>
        <v>0A1 + 0A2 + 4A3 + 4A4 + 0B1 + 0B2</v>
      </c>
      <c r="W308" s="501"/>
      <c r="X308" s="501"/>
      <c r="Y308" s="556"/>
      <c r="Z308" s="862"/>
      <c r="AA308" s="862"/>
      <c r="AB308" s="242"/>
      <c r="AC308" s="1354"/>
      <c r="AD308" s="213"/>
      <c r="AE308" s="60"/>
      <c r="AF308" s="60"/>
      <c r="AG308" s="1328" t="s">
        <v>915</v>
      </c>
      <c r="AH308" s="1328"/>
      <c r="AI308" s="1328"/>
      <c r="AJ308" s="59"/>
      <c r="AK308" s="598" t="s">
        <v>928</v>
      </c>
      <c r="AL308" s="598" t="s">
        <v>907</v>
      </c>
      <c r="AM308" s="1329" t="s">
        <v>897</v>
      </c>
      <c r="AN308" s="1329"/>
      <c r="AO308" s="1329" t="s">
        <v>898</v>
      </c>
      <c r="AP308" s="1329"/>
      <c r="AQ308" s="1329" t="s">
        <v>899</v>
      </c>
      <c r="AR308" s="1329"/>
      <c r="AS308" s="1329" t="s">
        <v>900</v>
      </c>
      <c r="AT308" s="1329"/>
      <c r="AU308" s="1329" t="s">
        <v>902</v>
      </c>
      <c r="AV308" s="1329"/>
      <c r="AW308" s="1329" t="s">
        <v>903</v>
      </c>
      <c r="AX308" s="1329"/>
      <c r="AY308" s="1329" t="s">
        <v>904</v>
      </c>
      <c r="AZ308" s="1329"/>
      <c r="BA308" s="1329" t="s">
        <v>905</v>
      </c>
      <c r="BB308" s="1329"/>
      <c r="BD308" s="60"/>
      <c r="BE308" s="60"/>
    </row>
    <row r="309" spans="1:59" s="57" customFormat="1" ht="42.75" customHeight="1" x14ac:dyDescent="0.25">
      <c r="A309" s="63">
        <f>IF(D309="","",SUBTOTAL(3,$D$8:D309))</f>
        <v>264</v>
      </c>
      <c r="B309" s="63" t="s">
        <v>14</v>
      </c>
      <c r="C309" s="265" t="s">
        <v>405</v>
      </c>
      <c r="D309" s="185" t="s">
        <v>674</v>
      </c>
      <c r="E309" s="692">
        <f>COUNTIF($L310:$L317,"A1")</f>
        <v>0</v>
      </c>
      <c r="F309" s="692">
        <f>COUNTIF($L310:$L317,"A2")</f>
        <v>0</v>
      </c>
      <c r="G309" s="282" t="str">
        <f t="shared" ref="G309:G317" si="92">IF($H309&lt;&gt;0,"A1",IF($I309&lt;&gt;0,"A2",IF($J309&lt;&gt;0,"A3","A4")))</f>
        <v>A2</v>
      </c>
      <c r="H309" s="234"/>
      <c r="I309" s="737" t="s">
        <v>1003</v>
      </c>
      <c r="J309" s="737" t="s">
        <v>1006</v>
      </c>
      <c r="K309" s="234"/>
      <c r="L309" s="483" t="s">
        <v>82</v>
      </c>
      <c r="M309" s="288" t="s">
        <v>1191</v>
      </c>
      <c r="N309" s="291">
        <f>IFERROR(VLOOKUP($D309,'K.MAY-TT'!$C$10:$W$18,10,0),0)</f>
        <v>1</v>
      </c>
      <c r="O309" s="291">
        <f>IFERROR(VLOOKUP($D309,'K.MAY-TT'!$C$10:$W$18,20,0),0)</f>
        <v>1</v>
      </c>
      <c r="P309" s="1186" t="s">
        <v>82</v>
      </c>
      <c r="Q309" s="341" t="str">
        <f t="shared" ref="Q309:Q317" si="93">P309</f>
        <v>A1</v>
      </c>
      <c r="R309" s="319"/>
      <c r="S309" s="692">
        <f>COUNTIF($U310:$U317,"A1")</f>
        <v>0</v>
      </c>
      <c r="T309" s="692">
        <f>COUNTIF($U310:$U317,"A2")</f>
        <v>0</v>
      </c>
      <c r="U309" s="176" t="str">
        <f t="shared" ref="U309:U317" si="94">$Q309</f>
        <v>A1</v>
      </c>
      <c r="V309" s="179"/>
      <c r="W309" s="330">
        <f>IFERROR(VLOOKUP($D309,'K.MAY-TT'!$C$10:$W$18,11,0),0)</f>
        <v>1</v>
      </c>
      <c r="X309" s="330">
        <f>IFERROR(VLOOKUP($D309,'K.MAY-TT'!$C$10:$W$18,21,0),0)</f>
        <v>1</v>
      </c>
      <c r="Y309" s="89"/>
      <c r="Z309" s="857"/>
      <c r="AA309" s="857"/>
      <c r="AB309" s="242"/>
      <c r="AC309" s="836"/>
      <c r="AD309" s="213"/>
      <c r="AE309" s="60" t="str">
        <f t="shared" si="83"/>
        <v>A1</v>
      </c>
      <c r="AF309" s="60"/>
      <c r="AG309" s="604" t="s">
        <v>845</v>
      </c>
      <c r="AH309" s="604">
        <v>1</v>
      </c>
      <c r="AI309" s="605">
        <f>AH309/$L307</f>
        <v>0.1111111111111111</v>
      </c>
      <c r="AJ309" s="590"/>
      <c r="AK309" s="594"/>
      <c r="AL309" s="595">
        <f>AL310+AL311</f>
        <v>9</v>
      </c>
      <c r="AM309" s="596" t="s">
        <v>896</v>
      </c>
      <c r="AN309" s="596" t="s">
        <v>844</v>
      </c>
      <c r="AO309" s="596" t="s">
        <v>896</v>
      </c>
      <c r="AP309" s="596" t="s">
        <v>844</v>
      </c>
      <c r="AQ309" s="596" t="s">
        <v>896</v>
      </c>
      <c r="AR309" s="596" t="s">
        <v>844</v>
      </c>
      <c r="AS309" s="596" t="s">
        <v>896</v>
      </c>
      <c r="AT309" s="596" t="s">
        <v>844</v>
      </c>
      <c r="AU309" s="596" t="s">
        <v>896</v>
      </c>
      <c r="AV309" s="596" t="s">
        <v>844</v>
      </c>
      <c r="AW309" s="596" t="s">
        <v>896</v>
      </c>
      <c r="AX309" s="596" t="s">
        <v>844</v>
      </c>
      <c r="AY309" s="596" t="s">
        <v>896</v>
      </c>
      <c r="AZ309" s="596" t="s">
        <v>844</v>
      </c>
      <c r="BA309" s="596" t="s">
        <v>896</v>
      </c>
      <c r="BB309" s="596" t="s">
        <v>844</v>
      </c>
      <c r="BD309" s="60" t="s">
        <v>883</v>
      </c>
      <c r="BE309" s="60" t="s">
        <v>866</v>
      </c>
    </row>
    <row r="310" spans="1:59" s="57" customFormat="1" ht="36.75" customHeight="1" x14ac:dyDescent="0.25">
      <c r="A310" s="63">
        <f>IF(D310="","",SUBTOTAL(3,$D$8:D310))</f>
        <v>265</v>
      </c>
      <c r="B310" s="63" t="s">
        <v>5</v>
      </c>
      <c r="C310" s="265" t="s">
        <v>399</v>
      </c>
      <c r="D310" s="185" t="s">
        <v>668</v>
      </c>
      <c r="E310" s="693">
        <f>E309/$AL$311</f>
        <v>0</v>
      </c>
      <c r="F310" s="693">
        <f>F309/$AL$311</f>
        <v>0</v>
      </c>
      <c r="G310" s="282" t="str">
        <f t="shared" si="92"/>
        <v>A2</v>
      </c>
      <c r="H310" s="234"/>
      <c r="I310" s="737" t="s">
        <v>965</v>
      </c>
      <c r="J310" s="737" t="s">
        <v>1007</v>
      </c>
      <c r="K310" s="234"/>
      <c r="L310" s="483" t="s">
        <v>85</v>
      </c>
      <c r="M310" s="288"/>
      <c r="N310" s="291">
        <f>IFERROR(VLOOKUP($D310,'K.MAY-TT'!$C$10:$W$18,10,0),0)</f>
        <v>1</v>
      </c>
      <c r="O310" s="291">
        <f>IFERROR(VLOOKUP($D310,'K.MAY-TT'!$C$10:$W$18,20,0),0)</f>
        <v>0</v>
      </c>
      <c r="P310" s="313" t="str">
        <f t="shared" ref="P310:P317" si="95">IF(AND($W310&gt;=2,$X310&gt;=3,H310&lt;&gt;0),"A1",IF(AND($W310&gt;=3,$X310&gt;=1,H310&lt;&gt;0),"A1",IF(AND($W310&gt;=2,$X310&gt;=2,I310&lt;&gt;0),"A2",IF(AND($W310&gt;=3,$X310&gt;=0,I310&lt;&gt;0),"A2",IF(AND(OR($W310&gt;=1,$X310&gt;=2),J310&lt;&gt;0),"A3","A4")))))</f>
        <v>A3</v>
      </c>
      <c r="Q310" s="341" t="str">
        <f t="shared" si="93"/>
        <v>A3</v>
      </c>
      <c r="R310" s="315"/>
      <c r="S310" s="693">
        <f>S309/$AL$311</f>
        <v>0</v>
      </c>
      <c r="T310" s="693">
        <f>T309/$AL$311</f>
        <v>0</v>
      </c>
      <c r="U310" s="176" t="str">
        <f t="shared" si="94"/>
        <v>A3</v>
      </c>
      <c r="V310" s="177"/>
      <c r="W310" s="330">
        <f>IFERROR(VLOOKUP($D310,'K.MAY-TT'!$C$10:$W$18,11,0),0)</f>
        <v>1</v>
      </c>
      <c r="X310" s="330">
        <f>IFERROR(VLOOKUP($D310,'K.MAY-TT'!$C$10:$W$18,21,0),0)</f>
        <v>0</v>
      </c>
      <c r="Y310" s="89"/>
      <c r="Z310" s="859"/>
      <c r="AA310" s="858"/>
      <c r="AB310" s="777"/>
      <c r="AC310" s="775"/>
      <c r="AD310" s="588"/>
      <c r="AE310" s="60" t="str">
        <f t="shared" si="83"/>
        <v>A3</v>
      </c>
      <c r="AF310" s="60"/>
      <c r="AG310" s="604" t="s">
        <v>846</v>
      </c>
      <c r="AH310" s="604"/>
      <c r="AI310" s="605">
        <f>AH310/$L307</f>
        <v>0</v>
      </c>
      <c r="AJ310" s="590"/>
      <c r="AK310" s="597" t="s">
        <v>864</v>
      </c>
      <c r="AL310" s="595">
        <f>COUNTIF($BE309:$BE317,"CBQL")</f>
        <v>1</v>
      </c>
      <c r="AM310" s="595">
        <f>COUNTIF($U309:$U309,"A1")</f>
        <v>1</v>
      </c>
      <c r="AN310" s="611">
        <f>AM310/$AL$310</f>
        <v>1</v>
      </c>
      <c r="AO310" s="595">
        <f>COUNTIF($U309:$U309,"A2")</f>
        <v>0</v>
      </c>
      <c r="AP310" s="611">
        <f>AO310/$AL$310</f>
        <v>0</v>
      </c>
      <c r="AQ310" s="595">
        <f>COUNTIF($U309:$U309,"A3")</f>
        <v>0</v>
      </c>
      <c r="AR310" s="611">
        <f>AQ310/$AL$310</f>
        <v>0</v>
      </c>
      <c r="AS310" s="595">
        <f>COUNTIF($U309:$U309,"A4")</f>
        <v>0</v>
      </c>
      <c r="AT310" s="611">
        <f>AS310/$AL$310</f>
        <v>0</v>
      </c>
      <c r="AU310" s="595"/>
      <c r="AV310" s="595"/>
      <c r="AW310" s="595"/>
      <c r="AX310" s="595"/>
      <c r="AY310" s="595"/>
      <c r="AZ310" s="595"/>
      <c r="BA310" s="595"/>
      <c r="BB310" s="595"/>
      <c r="BD310" s="60" t="s">
        <v>883</v>
      </c>
      <c r="BE310" s="60" t="s">
        <v>868</v>
      </c>
    </row>
    <row r="311" spans="1:59" s="57" customFormat="1" ht="33.75" customHeight="1" x14ac:dyDescent="0.25">
      <c r="A311" s="63">
        <f>IF(D311="","",SUBTOTAL(3,$D$8:D311))</f>
        <v>266</v>
      </c>
      <c r="B311" s="63" t="s">
        <v>6</v>
      </c>
      <c r="C311" s="265" t="s">
        <v>400</v>
      </c>
      <c r="D311" s="185" t="s">
        <v>669</v>
      </c>
      <c r="E311" s="652"/>
      <c r="F311" s="652"/>
      <c r="G311" s="282" t="str">
        <f t="shared" si="92"/>
        <v>A2</v>
      </c>
      <c r="H311" s="234"/>
      <c r="I311" s="737" t="s">
        <v>955</v>
      </c>
      <c r="J311" s="737" t="s">
        <v>1007</v>
      </c>
      <c r="K311" s="234"/>
      <c r="L311" s="483" t="s">
        <v>83</v>
      </c>
      <c r="M311" s="288"/>
      <c r="N311" s="291">
        <f>IFERROR(VLOOKUP($D311,'K.MAY-TT'!$C$10:$W$18,10,0),0)</f>
        <v>0</v>
      </c>
      <c r="O311" s="291">
        <f>IFERROR(VLOOKUP($D311,'K.MAY-TT'!$C$10:$W$18,20,0),0)</f>
        <v>0</v>
      </c>
      <c r="P311" s="313" t="str">
        <f t="shared" si="95"/>
        <v>A4</v>
      </c>
      <c r="Q311" s="341" t="str">
        <f t="shared" si="93"/>
        <v>A4</v>
      </c>
      <c r="R311" s="315"/>
      <c r="S311" s="662"/>
      <c r="T311" s="662"/>
      <c r="U311" s="176" t="str">
        <f t="shared" si="94"/>
        <v>A4</v>
      </c>
      <c r="V311" s="177"/>
      <c r="W311" s="330">
        <f>IFERROR(VLOOKUP($D311,'K.MAY-TT'!$C$10:$W$18,11,0),0)</f>
        <v>0</v>
      </c>
      <c r="X311" s="330">
        <f>IFERROR(VLOOKUP($D311,'K.MAY-TT'!$C$10:$W$18,21,0),0)</f>
        <v>0</v>
      </c>
      <c r="Y311" s="89"/>
      <c r="Z311" s="857"/>
      <c r="AA311" s="865"/>
      <c r="AB311" s="242"/>
      <c r="AC311" s="836"/>
      <c r="AD311" s="213"/>
      <c r="AE311" s="60" t="str">
        <f t="shared" si="83"/>
        <v>A4</v>
      </c>
      <c r="AF311" s="60"/>
      <c r="AG311" s="604"/>
      <c r="AH311" s="593">
        <f>AH309+AH310</f>
        <v>1</v>
      </c>
      <c r="AI311" s="606">
        <f>AI309+AI310</f>
        <v>0.1111111111111111</v>
      </c>
      <c r="AJ311" s="590"/>
      <c r="AK311" s="597" t="s">
        <v>865</v>
      </c>
      <c r="AL311" s="595">
        <f>COUNTIF($BE309:$BE317,"GV") + COUNTIF($BE309:$BE317,"NV")</f>
        <v>8</v>
      </c>
      <c r="AM311" s="595">
        <f>COUNTIF($U310:$U317,"A1")</f>
        <v>0</v>
      </c>
      <c r="AN311" s="611">
        <f>AM311/$AL$311</f>
        <v>0</v>
      </c>
      <c r="AO311" s="595">
        <f>COUNTIF($U310:$U317,"A2")</f>
        <v>0</v>
      </c>
      <c r="AP311" s="611">
        <f>AO311/$AL$311</f>
        <v>0</v>
      </c>
      <c r="AQ311" s="595">
        <f>COUNTIF($U310:$U317,"A3")</f>
        <v>4</v>
      </c>
      <c r="AR311" s="611">
        <f>AQ311/$AL$311</f>
        <v>0.5</v>
      </c>
      <c r="AS311" s="595">
        <f>COUNTIF($U310:$U317,"A4")</f>
        <v>4</v>
      </c>
      <c r="AT311" s="611">
        <f>AS311/$AL$311</f>
        <v>0.5</v>
      </c>
      <c r="AU311" s="595"/>
      <c r="AV311" s="595"/>
      <c r="AW311" s="595"/>
      <c r="AX311" s="595"/>
      <c r="AY311" s="595"/>
      <c r="AZ311" s="595"/>
      <c r="BA311" s="595"/>
      <c r="BB311" s="595"/>
      <c r="BD311" s="60" t="s">
        <v>883</v>
      </c>
      <c r="BE311" s="60" t="s">
        <v>868</v>
      </c>
    </row>
    <row r="312" spans="1:59" s="70" customFormat="1" ht="33.75" customHeight="1" x14ac:dyDescent="0.25">
      <c r="A312" s="63">
        <f>IF(D312="","",SUBTOTAL(3,$D$8:D312))</f>
        <v>267</v>
      </c>
      <c r="B312" s="63" t="s">
        <v>10</v>
      </c>
      <c r="C312" s="265" t="s">
        <v>401</v>
      </c>
      <c r="D312" s="185" t="s">
        <v>670</v>
      </c>
      <c r="E312" s="652"/>
      <c r="F312" s="652"/>
      <c r="G312" s="282" t="str">
        <f t="shared" si="92"/>
        <v>A3</v>
      </c>
      <c r="H312" s="234"/>
      <c r="I312" s="737"/>
      <c r="J312" s="737" t="s">
        <v>1006</v>
      </c>
      <c r="K312" s="234"/>
      <c r="L312" s="483" t="s">
        <v>85</v>
      </c>
      <c r="M312" s="288"/>
      <c r="N312" s="291">
        <f>IFERROR(VLOOKUP($D312,'K.MAY-TT'!$C$10:$W$18,10,0),0)</f>
        <v>1</v>
      </c>
      <c r="O312" s="291">
        <f>IFERROR(VLOOKUP($D312,'K.MAY-TT'!$C$10:$W$18,20,0),0)</f>
        <v>1</v>
      </c>
      <c r="P312" s="313" t="str">
        <f t="shared" si="95"/>
        <v>A3</v>
      </c>
      <c r="Q312" s="341" t="str">
        <f t="shared" si="93"/>
        <v>A3</v>
      </c>
      <c r="R312" s="315"/>
      <c r="S312" s="662"/>
      <c r="T312" s="662"/>
      <c r="U312" s="176" t="str">
        <f t="shared" si="94"/>
        <v>A3</v>
      </c>
      <c r="V312" s="177"/>
      <c r="W312" s="330">
        <f>IFERROR(VLOOKUP($D312,'K.MAY-TT'!$C$10:$W$18,11,0),0)</f>
        <v>1</v>
      </c>
      <c r="X312" s="330">
        <f>IFERROR(VLOOKUP($D312,'K.MAY-TT'!$C$10:$W$18,21,0),0)</f>
        <v>1</v>
      </c>
      <c r="Y312" s="89"/>
      <c r="Z312" s="857"/>
      <c r="AA312" s="857"/>
      <c r="AB312" s="242"/>
      <c r="AC312" s="836"/>
      <c r="AD312" s="213"/>
      <c r="AE312" s="60" t="str">
        <f t="shared" si="83"/>
        <v>A3</v>
      </c>
      <c r="AF312" s="60"/>
      <c r="AG312" s="60"/>
      <c r="BD312" s="60" t="s">
        <v>883</v>
      </c>
      <c r="BE312" s="60" t="s">
        <v>868</v>
      </c>
    </row>
    <row r="313" spans="1:59" s="57" customFormat="1" ht="38.25" customHeight="1" x14ac:dyDescent="0.25">
      <c r="A313" s="63">
        <f>IF(D313="","",SUBTOTAL(3,$D$8:D313))</f>
        <v>268</v>
      </c>
      <c r="B313" s="63" t="s">
        <v>11</v>
      </c>
      <c r="C313" s="265" t="s">
        <v>402</v>
      </c>
      <c r="D313" s="185" t="s">
        <v>671</v>
      </c>
      <c r="E313" s="652"/>
      <c r="F313" s="652"/>
      <c r="G313" s="282" t="str">
        <f t="shared" si="92"/>
        <v>A2</v>
      </c>
      <c r="H313" s="234"/>
      <c r="I313" s="737" t="s">
        <v>1005</v>
      </c>
      <c r="J313" s="737" t="s">
        <v>1006</v>
      </c>
      <c r="K313" s="234"/>
      <c r="L313" s="483" t="s">
        <v>83</v>
      </c>
      <c r="M313" s="288"/>
      <c r="N313" s="291">
        <f>IFERROR(VLOOKUP($D313,'K.MAY-TT'!$C$10:$W$18,10,0),0)</f>
        <v>0</v>
      </c>
      <c r="O313" s="291">
        <f>IFERROR(VLOOKUP($D313,'K.MAY-TT'!$C$10:$W$18,20,0),0)</f>
        <v>0</v>
      </c>
      <c r="P313" s="313" t="str">
        <f t="shared" si="95"/>
        <v>A4</v>
      </c>
      <c r="Q313" s="341" t="str">
        <f t="shared" si="93"/>
        <v>A4</v>
      </c>
      <c r="R313" s="315"/>
      <c r="S313" s="662"/>
      <c r="T313" s="662"/>
      <c r="U313" s="176" t="str">
        <f t="shared" si="94"/>
        <v>A4</v>
      </c>
      <c r="V313" s="177"/>
      <c r="W313" s="330">
        <f>IFERROR(VLOOKUP($D313,'K.MAY-TT'!$C$10:$W$18,11,0),0)</f>
        <v>0</v>
      </c>
      <c r="X313" s="330">
        <f>IFERROR(VLOOKUP($D313,'K.MAY-TT'!$C$10:$W$18,21,0),0)</f>
        <v>0</v>
      </c>
      <c r="Y313" s="89"/>
      <c r="Z313" s="857"/>
      <c r="AA313" s="857"/>
      <c r="AB313" s="242"/>
      <c r="AC313" s="836"/>
      <c r="AD313" s="213"/>
      <c r="AE313" s="60" t="str">
        <f t="shared" si="83"/>
        <v>A4</v>
      </c>
      <c r="AF313" s="60"/>
      <c r="AG313" s="60"/>
      <c r="AH313" s="542"/>
      <c r="AI313" s="542"/>
      <c r="AK313" s="589"/>
      <c r="AL313" s="589"/>
      <c r="AM313" s="589"/>
      <c r="AN313" s="589"/>
      <c r="AO313" s="589"/>
      <c r="AP313" s="589"/>
      <c r="AQ313" s="589"/>
      <c r="AR313" s="589"/>
      <c r="AS313" s="589"/>
      <c r="AT313" s="589"/>
      <c r="AU313" s="589"/>
      <c r="AV313" s="589"/>
      <c r="AW313" s="589"/>
      <c r="AX313" s="589"/>
      <c r="AY313" s="589"/>
      <c r="AZ313" s="589"/>
      <c r="BA313" s="589"/>
      <c r="BB313" s="589"/>
      <c r="BD313" s="60" t="s">
        <v>883</v>
      </c>
      <c r="BE313" s="60" t="s">
        <v>868</v>
      </c>
    </row>
    <row r="314" spans="1:59" s="60" customFormat="1" ht="36" customHeight="1" x14ac:dyDescent="0.25">
      <c r="A314" s="63">
        <f>IF(D314="","",SUBTOTAL(3,$D$8:D314))</f>
        <v>269</v>
      </c>
      <c r="B314" s="63" t="s">
        <v>12</v>
      </c>
      <c r="C314" s="265" t="s">
        <v>403</v>
      </c>
      <c r="D314" s="185" t="s">
        <v>672</v>
      </c>
      <c r="E314" s="652"/>
      <c r="F314" s="652"/>
      <c r="G314" s="282" t="str">
        <f t="shared" si="92"/>
        <v>A3</v>
      </c>
      <c r="H314" s="234"/>
      <c r="I314" s="737"/>
      <c r="J314" s="737" t="s">
        <v>1006</v>
      </c>
      <c r="K314" s="234"/>
      <c r="L314" s="483" t="s">
        <v>83</v>
      </c>
      <c r="M314" s="309"/>
      <c r="N314" s="291">
        <f>IFERROR(VLOOKUP($D314,'K.MAY-TT'!$C$10:$W$18,10,0),0)</f>
        <v>0</v>
      </c>
      <c r="O314" s="291">
        <f>IFERROR(VLOOKUP($D314,'K.MAY-TT'!$C$10:$W$18,20,0),0)</f>
        <v>0</v>
      </c>
      <c r="P314" s="313" t="str">
        <f t="shared" si="95"/>
        <v>A4</v>
      </c>
      <c r="Q314" s="341" t="str">
        <f t="shared" si="93"/>
        <v>A4</v>
      </c>
      <c r="R314" s="332"/>
      <c r="S314" s="683"/>
      <c r="T314" s="683"/>
      <c r="U314" s="176" t="str">
        <f t="shared" si="94"/>
        <v>A4</v>
      </c>
      <c r="V314" s="184"/>
      <c r="W314" s="330">
        <f>IFERROR(VLOOKUP($D314,'K.MAY-TT'!$C$10:$W$18,11,0),0)</f>
        <v>0</v>
      </c>
      <c r="X314" s="330">
        <f>IFERROR(VLOOKUP($D314,'K.MAY-TT'!$C$10:$W$18,21,0),0)</f>
        <v>0</v>
      </c>
      <c r="Y314" s="89"/>
      <c r="Z314" s="865"/>
      <c r="AA314" s="865"/>
      <c r="AB314" s="242"/>
      <c r="AC314" s="836"/>
      <c r="AD314" s="213"/>
      <c r="AE314" s="60" t="str">
        <f t="shared" si="83"/>
        <v>A4</v>
      </c>
      <c r="BD314" s="60" t="s">
        <v>883</v>
      </c>
      <c r="BE314" s="60" t="s">
        <v>868</v>
      </c>
    </row>
    <row r="315" spans="1:59" s="60" customFormat="1" ht="36" customHeight="1" x14ac:dyDescent="0.25">
      <c r="A315" s="63">
        <f>IF(D315="","",SUBTOTAL(3,$D$8:D315))</f>
        <v>270</v>
      </c>
      <c r="B315" s="63" t="s">
        <v>13</v>
      </c>
      <c r="C315" s="265" t="s">
        <v>404</v>
      </c>
      <c r="D315" s="185" t="s">
        <v>673</v>
      </c>
      <c r="E315" s="652"/>
      <c r="F315" s="652"/>
      <c r="G315" s="282" t="str">
        <f t="shared" si="92"/>
        <v>A3</v>
      </c>
      <c r="H315" s="234"/>
      <c r="I315" s="737"/>
      <c r="J315" s="737" t="s">
        <v>1006</v>
      </c>
      <c r="K315" s="234"/>
      <c r="L315" s="483" t="s">
        <v>85</v>
      </c>
      <c r="M315" s="309"/>
      <c r="N315" s="291">
        <f>IFERROR(VLOOKUP($D315,'K.MAY-TT'!$C$10:$W$18,10,0),0)</f>
        <v>1</v>
      </c>
      <c r="O315" s="291">
        <f>IFERROR(VLOOKUP($D315,'K.MAY-TT'!$C$10:$W$18,20,0),0)</f>
        <v>1</v>
      </c>
      <c r="P315" s="313" t="str">
        <f t="shared" si="95"/>
        <v>A3</v>
      </c>
      <c r="Q315" s="341" t="str">
        <f t="shared" si="93"/>
        <v>A3</v>
      </c>
      <c r="R315" s="332"/>
      <c r="S315" s="683"/>
      <c r="T315" s="683"/>
      <c r="U315" s="176" t="str">
        <f t="shared" si="94"/>
        <v>A3</v>
      </c>
      <c r="V315" s="177"/>
      <c r="W315" s="330">
        <f>IFERROR(VLOOKUP($D315,'K.MAY-TT'!$C$10:$W$18,11,0),0)</f>
        <v>1</v>
      </c>
      <c r="X315" s="330">
        <f>IFERROR(VLOOKUP($D315,'K.MAY-TT'!$C$10:$W$18,21,0),0)</f>
        <v>1</v>
      </c>
      <c r="Y315" s="89"/>
      <c r="Z315" s="865"/>
      <c r="AA315" s="865"/>
      <c r="AB315" s="242"/>
      <c r="AC315" s="836"/>
      <c r="AD315" s="213"/>
      <c r="AE315" s="60" t="str">
        <f t="shared" si="83"/>
        <v>A3</v>
      </c>
      <c r="BD315" s="60" t="s">
        <v>883</v>
      </c>
      <c r="BE315" s="60" t="s">
        <v>868</v>
      </c>
    </row>
    <row r="316" spans="1:59" s="57" customFormat="1" ht="36" customHeight="1" x14ac:dyDescent="0.25">
      <c r="A316" s="63">
        <f>IF(D316="","",SUBTOTAL(3,$D$8:D316))</f>
        <v>271</v>
      </c>
      <c r="B316" s="63" t="s">
        <v>15</v>
      </c>
      <c r="C316" s="265" t="s">
        <v>406</v>
      </c>
      <c r="D316" s="185" t="s">
        <v>675</v>
      </c>
      <c r="E316" s="652"/>
      <c r="F316" s="652"/>
      <c r="G316" s="282" t="str">
        <f t="shared" si="92"/>
        <v>A2</v>
      </c>
      <c r="H316" s="234"/>
      <c r="I316" s="737" t="s">
        <v>966</v>
      </c>
      <c r="J316" s="737" t="s">
        <v>1006</v>
      </c>
      <c r="K316" s="234"/>
      <c r="L316" s="483" t="s">
        <v>83</v>
      </c>
      <c r="M316" s="309"/>
      <c r="N316" s="291">
        <f>IFERROR(VLOOKUP($D316,'K.MAY-TT'!$C$10:$W$18,10,0),0)</f>
        <v>0</v>
      </c>
      <c r="O316" s="291">
        <f>IFERROR(VLOOKUP($D316,'K.MAY-TT'!$C$10:$W$18,20,0),0)</f>
        <v>0</v>
      </c>
      <c r="P316" s="313" t="str">
        <f t="shared" si="95"/>
        <v>A4</v>
      </c>
      <c r="Q316" s="341" t="str">
        <f t="shared" si="93"/>
        <v>A4</v>
      </c>
      <c r="R316" s="332"/>
      <c r="S316" s="683"/>
      <c r="T316" s="683"/>
      <c r="U316" s="176" t="str">
        <f t="shared" si="94"/>
        <v>A4</v>
      </c>
      <c r="V316" s="184"/>
      <c r="W316" s="330">
        <f>IFERROR(VLOOKUP($D316,'K.MAY-TT'!$C$10:$W$18,11,0),0)</f>
        <v>0</v>
      </c>
      <c r="X316" s="330">
        <f>IFERROR(VLOOKUP($D316,'K.MAY-TT'!$C$10:$W$18,21,0),0)</f>
        <v>0</v>
      </c>
      <c r="Y316" s="89"/>
      <c r="Z316" s="865"/>
      <c r="AA316" s="865"/>
      <c r="AB316" s="242"/>
      <c r="AC316" s="836"/>
      <c r="AD316" s="213"/>
      <c r="AE316" s="60" t="str">
        <f t="shared" si="83"/>
        <v>A4</v>
      </c>
      <c r="AF316" s="60"/>
      <c r="AG316" s="60"/>
      <c r="AH316" s="542"/>
      <c r="AI316" s="542"/>
      <c r="AK316" s="589"/>
      <c r="AL316" s="589"/>
      <c r="AM316" s="589"/>
      <c r="AN316" s="589"/>
      <c r="AO316" s="589"/>
      <c r="AP316" s="589"/>
      <c r="AQ316" s="589"/>
      <c r="AR316" s="589"/>
      <c r="AS316" s="589"/>
      <c r="AT316" s="589"/>
      <c r="AU316" s="589"/>
      <c r="AV316" s="589"/>
      <c r="AW316" s="589"/>
      <c r="AX316" s="589"/>
      <c r="AY316" s="589"/>
      <c r="AZ316" s="589"/>
      <c r="BA316" s="589"/>
      <c r="BB316" s="589"/>
      <c r="BD316" s="60" t="s">
        <v>883</v>
      </c>
      <c r="BE316" s="60" t="s">
        <v>868</v>
      </c>
    </row>
    <row r="317" spans="1:59" s="57" customFormat="1" ht="36" customHeight="1" x14ac:dyDescent="0.25">
      <c r="A317" s="63">
        <f>IF(D317="","",SUBTOTAL(3,$D$8:D317))</f>
        <v>272</v>
      </c>
      <c r="B317" s="63" t="s">
        <v>16</v>
      </c>
      <c r="C317" s="265" t="s">
        <v>407</v>
      </c>
      <c r="D317" s="185" t="s">
        <v>676</v>
      </c>
      <c r="E317" s="652"/>
      <c r="F317" s="652"/>
      <c r="G317" s="282" t="str">
        <f t="shared" si="92"/>
        <v>A2</v>
      </c>
      <c r="H317" s="234"/>
      <c r="I317" s="737" t="s">
        <v>966</v>
      </c>
      <c r="J317" s="737" t="s">
        <v>1006</v>
      </c>
      <c r="K317" s="234"/>
      <c r="L317" s="483" t="s">
        <v>85</v>
      </c>
      <c r="M317" s="309"/>
      <c r="N317" s="291">
        <f>IFERROR(VLOOKUP($D317,'K.MAY-TT'!$C$10:$W$18,10,0),0)</f>
        <v>1</v>
      </c>
      <c r="O317" s="291">
        <f>IFERROR(VLOOKUP($D317,'K.MAY-TT'!$C$10:$W$18,20,0),0)</f>
        <v>0</v>
      </c>
      <c r="P317" s="313" t="str">
        <f t="shared" si="95"/>
        <v>A3</v>
      </c>
      <c r="Q317" s="341" t="str">
        <f t="shared" si="93"/>
        <v>A3</v>
      </c>
      <c r="R317" s="332"/>
      <c r="S317" s="683"/>
      <c r="T317" s="683"/>
      <c r="U317" s="176" t="str">
        <f t="shared" si="94"/>
        <v>A3</v>
      </c>
      <c r="V317" s="184"/>
      <c r="W317" s="330">
        <f>IFERROR(VLOOKUP($D317,'K.MAY-TT'!$C$10:$W$18,11,0),0)</f>
        <v>1</v>
      </c>
      <c r="X317" s="330">
        <f>IFERROR(VLOOKUP($D317,'K.MAY-TT'!$C$10:$W$18,21,0),0)</f>
        <v>0</v>
      </c>
      <c r="Y317" s="89"/>
      <c r="Z317" s="865"/>
      <c r="AA317" s="865"/>
      <c r="AB317" s="242"/>
      <c r="AC317" s="836"/>
      <c r="AD317" s="588"/>
      <c r="AE317" s="60" t="str">
        <f t="shared" si="83"/>
        <v>A3</v>
      </c>
      <c r="AF317" s="60"/>
      <c r="AG317" s="60"/>
      <c r="AH317" s="94"/>
      <c r="AI317" s="94"/>
      <c r="AJ317" s="94"/>
      <c r="AK317" s="589"/>
      <c r="AL317" s="589"/>
      <c r="AM317" s="589"/>
      <c r="AN317" s="589"/>
      <c r="AO317" s="589"/>
      <c r="AP317" s="589"/>
      <c r="AQ317" s="589"/>
      <c r="AR317" s="589"/>
      <c r="AS317" s="589"/>
      <c r="AT317" s="589"/>
      <c r="AU317" s="589"/>
      <c r="AV317" s="589"/>
      <c r="AW317" s="589"/>
      <c r="AX317" s="589"/>
      <c r="AY317" s="589"/>
      <c r="AZ317" s="589"/>
      <c r="BA317" s="589"/>
      <c r="BB317" s="589"/>
      <c r="BD317" s="60" t="s">
        <v>883</v>
      </c>
      <c r="BE317" s="60" t="s">
        <v>868</v>
      </c>
    </row>
    <row r="318" spans="1:59" ht="36.75" customHeight="1" x14ac:dyDescent="0.25">
      <c r="A318" s="62" t="s">
        <v>736</v>
      </c>
      <c r="B318" s="62" t="s">
        <v>735</v>
      </c>
      <c r="C318" s="64" t="s">
        <v>532</v>
      </c>
      <c r="D318" s="62"/>
      <c r="E318" s="652"/>
      <c r="F318" s="652"/>
      <c r="G318" s="280">
        <f>COUNTA($L320:$L328)</f>
        <v>9</v>
      </c>
      <c r="H318" s="234"/>
      <c r="I318" s="234"/>
      <c r="J318" s="234"/>
      <c r="K318" s="234"/>
      <c r="L318" s="500">
        <f>COUNTA($L320:$L328)</f>
        <v>9</v>
      </c>
      <c r="M318" s="286" t="str">
        <f>(COUNTIF($L$320:$L$328,"A1")&amp;"A1")&amp;" + "&amp;(COUNTIF($L$320:$L$328,"A2")&amp;"A2")&amp;" + "&amp;(COUNTIF($L$320:$L$328,"A3")&amp;"A3")&amp;" + "&amp;(COUNTIF($L$320:$L$328,"A4")&amp;"A4")&amp;" + "&amp;(COUNTIF($L$320:$L$328,"B1")&amp;"B1")</f>
        <v>1A1 + 0A2 + 6A3 + 2A4 + 0B1</v>
      </c>
      <c r="N318" s="500"/>
      <c r="O318" s="500"/>
      <c r="P318" s="311">
        <f>COUNTA($Q$320:$Q$328)</f>
        <v>9</v>
      </c>
      <c r="Q318" s="340">
        <f>COUNTA($Q$320:$Q$328)</f>
        <v>9</v>
      </c>
      <c r="R318" s="312" t="str">
        <f>(COUNTIF($Q$320:$Q$328,"A1")&amp;"A1")&amp;" + "&amp;(COUNTIF($Q$320:$Q$328,"A2")&amp;"A2")&amp;" + "&amp;(COUNTIF($Q$320:$Q$328,"A3")&amp;"A3")&amp;" + "&amp;(COUNTIF($Q$320:$Q$328,"A4")&amp;"A4")&amp;" + "&amp;(COUNTIF($Q$320:$Q$328,"B1")&amp;"B1")</f>
        <v>1A1 + 0A2 + 7A3 + 1A4 + 0B1</v>
      </c>
      <c r="S318" s="661"/>
      <c r="T318" s="661"/>
      <c r="U318" s="174">
        <f>COUNTA($U$320:$U$328)</f>
        <v>9</v>
      </c>
      <c r="V318" s="175" t="str">
        <f>(COUNTIF($U$320:$U$328,"A1")&amp;"A1")&amp;" + "&amp;(COUNTIF($U$320:$U$328,"A2")&amp;"A2")&amp;" + "&amp;(COUNTIF($U$320:$U$328,"A3")&amp;"A3")&amp;" + "&amp;(COUNTIF($U$320:$U$328,"A4")&amp;"A4")&amp;" + "&amp;(COUNTIF($U$320:$U$328,"B1")&amp;"B1")</f>
        <v>1A1 + 0A2 + 7A3 + 1A4 + 0B1</v>
      </c>
      <c r="W318" s="501"/>
      <c r="X318" s="501"/>
      <c r="Y318" s="556"/>
      <c r="Z318" s="862"/>
      <c r="AA318" s="862"/>
      <c r="AB318" s="242"/>
      <c r="AC318" s="338"/>
      <c r="AD318" s="219"/>
      <c r="AE318" s="60"/>
      <c r="AF318" s="60"/>
      <c r="AG318" s="607"/>
      <c r="AH318" s="608"/>
      <c r="AI318" s="608"/>
      <c r="AK318" s="1327" t="s">
        <v>906</v>
      </c>
      <c r="AL318" s="1327"/>
      <c r="AM318" s="1327"/>
      <c r="AN318" s="1327"/>
      <c r="AO318" s="1327"/>
      <c r="AP318" s="1327"/>
      <c r="AQ318" s="1327"/>
      <c r="AR318" s="1327"/>
      <c r="AS318" s="1327"/>
      <c r="AT318" s="1327"/>
      <c r="AU318" s="1327"/>
      <c r="AV318" s="1327"/>
      <c r="AW318" s="1327"/>
      <c r="AX318" s="1327"/>
      <c r="AY318" s="1327"/>
      <c r="AZ318" s="1327"/>
      <c r="BA318" s="1327"/>
      <c r="BB318" s="1327"/>
      <c r="BF318" s="60">
        <f>COUNTIF($BE320:$BE328,"CBQL")</f>
        <v>2</v>
      </c>
      <c r="BG318" s="60">
        <f>COUNTIF($BE320:$BE328,"GV") + COUNTIF($BE320:$BE328,"NV")</f>
        <v>7</v>
      </c>
    </row>
    <row r="319" spans="1:59" s="57" customFormat="1" ht="33" customHeight="1" x14ac:dyDescent="0.25">
      <c r="A319" s="65" t="s">
        <v>45</v>
      </c>
      <c r="B319" s="65" t="s">
        <v>45</v>
      </c>
      <c r="C319" s="66" t="s">
        <v>46</v>
      </c>
      <c r="D319" s="65"/>
      <c r="E319" s="691" t="s">
        <v>949</v>
      </c>
      <c r="F319" s="691" t="s">
        <v>950</v>
      </c>
      <c r="G319" s="280">
        <f>COUNTA($L320:$L328)</f>
        <v>9</v>
      </c>
      <c r="H319" s="234"/>
      <c r="I319" s="234"/>
      <c r="J319" s="234"/>
      <c r="K319" s="234"/>
      <c r="L319" s="500">
        <f>COUNTA($L320:$L328)</f>
        <v>9</v>
      </c>
      <c r="M319" s="286" t="str">
        <f>(COUNTIF($L$320:$L$328,"A1")&amp;"A1")&amp;" + "&amp;(COUNTIF($L$320:$L$328,"A2")&amp;"A2")&amp;" + "&amp;(COUNTIF($L$320:$L$328,"A3")&amp;"A3")&amp;" + "&amp;(COUNTIF($L$320:$L$328,"A4")&amp;"A4")&amp;" + "&amp;(COUNTIF($L$320:$L$328,"B1")&amp;"B1")</f>
        <v>1A1 + 0A2 + 6A3 + 2A4 + 0B1</v>
      </c>
      <c r="N319" s="500"/>
      <c r="O319" s="500"/>
      <c r="P319" s="311">
        <f>COUNTA($Q$320:$Q$328)</f>
        <v>9</v>
      </c>
      <c r="Q319" s="340">
        <f>COUNTA($Q$320:$Q$328)</f>
        <v>9</v>
      </c>
      <c r="R319" s="312" t="str">
        <f>(COUNTIF($Q$320:$Q$328,"A1")&amp;"A1")&amp;" + "&amp;(COUNTIF($Q$320:$Q$328,"A2")&amp;"A2")&amp;" + "&amp;(COUNTIF($Q$320:$Q$328,"A3")&amp;"A3")&amp;" + "&amp;(COUNTIF($Q$320:$Q$328,"A4")&amp;"A4")&amp;" + "&amp;(COUNTIF($Q$320:$Q$328,"B1")&amp;"B1")</f>
        <v>1A1 + 0A2 + 7A3 + 1A4 + 0B1</v>
      </c>
      <c r="S319" s="691" t="s">
        <v>949</v>
      </c>
      <c r="T319" s="691" t="s">
        <v>950</v>
      </c>
      <c r="U319" s="174">
        <f>COUNTA($U$320:$U$328)</f>
        <v>9</v>
      </c>
      <c r="V319" s="175" t="str">
        <f>(COUNTIF($U$320:$U$328,"A1")&amp;"A1")&amp;" + "&amp;(COUNTIF($U$320:$U$328,"A2")&amp;"A2")&amp;" + "&amp;(COUNTIF($U$320:$U$328,"A3")&amp;"A3")&amp;" + "&amp;(COUNTIF($U$320:$U$328,"A4")&amp;"A4")&amp;" + "&amp;(COUNTIF($U$320:$U$328,"B1")&amp;"B1")</f>
        <v>1A1 + 0A2 + 7A3 + 1A4 + 0B1</v>
      </c>
      <c r="W319" s="501"/>
      <c r="X319" s="501"/>
      <c r="Y319" s="556"/>
      <c r="Z319" s="862"/>
      <c r="AA319" s="862"/>
      <c r="AB319" s="242"/>
      <c r="AC319" s="836"/>
      <c r="AD319" s="213"/>
      <c r="AE319" s="60"/>
      <c r="AF319" s="60"/>
      <c r="AG319" s="1328" t="s">
        <v>915</v>
      </c>
      <c r="AH319" s="1328"/>
      <c r="AI319" s="1328"/>
      <c r="AJ319" s="59"/>
      <c r="AK319" s="598" t="s">
        <v>929</v>
      </c>
      <c r="AL319" s="598" t="s">
        <v>907</v>
      </c>
      <c r="AM319" s="1329" t="s">
        <v>897</v>
      </c>
      <c r="AN319" s="1329"/>
      <c r="AO319" s="1329" t="s">
        <v>898</v>
      </c>
      <c r="AP319" s="1329"/>
      <c r="AQ319" s="1329" t="s">
        <v>899</v>
      </c>
      <c r="AR319" s="1329"/>
      <c r="AS319" s="1329" t="s">
        <v>900</v>
      </c>
      <c r="AT319" s="1329"/>
      <c r="AU319" s="1329" t="s">
        <v>902</v>
      </c>
      <c r="AV319" s="1329"/>
      <c r="AW319" s="1329" t="s">
        <v>903</v>
      </c>
      <c r="AX319" s="1329"/>
      <c r="AY319" s="1329" t="s">
        <v>904</v>
      </c>
      <c r="AZ319" s="1329"/>
      <c r="BA319" s="1329" t="s">
        <v>905</v>
      </c>
      <c r="BB319" s="1329"/>
      <c r="BD319" s="60"/>
      <c r="BE319" s="60"/>
    </row>
    <row r="320" spans="1:59" s="78" customFormat="1" ht="46.5" customHeight="1" x14ac:dyDescent="0.25">
      <c r="A320" s="63">
        <f>IF(D320="","",SUBTOTAL(3,$D$8:D320))</f>
        <v>273</v>
      </c>
      <c r="B320" s="63" t="s">
        <v>5</v>
      </c>
      <c r="C320" s="71" t="s">
        <v>408</v>
      </c>
      <c r="D320" s="92" t="s">
        <v>533</v>
      </c>
      <c r="E320" s="692">
        <f>COUNTIF($L322:$L328,"A1")</f>
        <v>0</v>
      </c>
      <c r="F320" s="692">
        <f>COUNTIF($L322:$L328,"A2")</f>
        <v>0</v>
      </c>
      <c r="G320" s="282" t="str">
        <f t="shared" ref="G320:G328" si="96">IF($H320&lt;&gt;0,"A1",IF($I320&lt;&gt;0,"A2",IF($J320&lt;&gt;0,"A3","A4")))</f>
        <v>A1</v>
      </c>
      <c r="H320" s="737" t="s">
        <v>961</v>
      </c>
      <c r="I320" s="737" t="s">
        <v>1008</v>
      </c>
      <c r="J320" s="737" t="s">
        <v>1006</v>
      </c>
      <c r="K320" s="234"/>
      <c r="L320" s="483" t="s">
        <v>82</v>
      </c>
      <c r="M320" s="1139" t="s">
        <v>1164</v>
      </c>
      <c r="N320" s="291">
        <f>IFERROR(VLOOKUP($D320,'K.NHIỆT-LẠNH'!$C$10:$W$18,10,0),0)</f>
        <v>2</v>
      </c>
      <c r="O320" s="291">
        <f>IFERROR(VLOOKUP($D320,'K.NHIỆT-LẠNH'!$C$10:$W$18,20,0),0)</f>
        <v>1</v>
      </c>
      <c r="P320" s="1186" t="s">
        <v>82</v>
      </c>
      <c r="Q320" s="341" t="str">
        <f t="shared" ref="Q320:Q328" si="97">P320</f>
        <v>A1</v>
      </c>
      <c r="R320" s="319"/>
      <c r="S320" s="692">
        <f>COUNTIF($U322:$U328,"A1")</f>
        <v>0</v>
      </c>
      <c r="T320" s="692">
        <f>COUNTIF($U322:$U328,"A2")</f>
        <v>0</v>
      </c>
      <c r="U320" s="176" t="str">
        <f t="shared" ref="U320:U328" si="98">$Q320</f>
        <v>A1</v>
      </c>
      <c r="V320" s="179"/>
      <c r="W320" s="330">
        <f>IFERROR(VLOOKUP($D320,'K.NHIỆT-LẠNH'!$C$10:$W$18,11,0),0)</f>
        <v>2</v>
      </c>
      <c r="X320" s="330">
        <f>IFERROR(VLOOKUP($D320,'K.NHIỆT-LẠNH'!$C$10:$W$18,21,0),0)</f>
        <v>1</v>
      </c>
      <c r="Y320" s="92"/>
      <c r="Z320" s="857"/>
      <c r="AA320" s="859"/>
      <c r="AB320" s="242"/>
      <c r="AC320" s="836"/>
      <c r="AD320" s="213"/>
      <c r="AE320" s="60" t="str">
        <f t="shared" si="83"/>
        <v>A1</v>
      </c>
      <c r="AF320" s="60"/>
      <c r="AG320" s="604" t="s">
        <v>845</v>
      </c>
      <c r="AH320" s="604"/>
      <c r="AI320" s="605">
        <f>AH320/$L318</f>
        <v>0</v>
      </c>
      <c r="AJ320" s="590"/>
      <c r="AK320" s="594"/>
      <c r="AL320" s="595">
        <f>AL321+AL322</f>
        <v>9</v>
      </c>
      <c r="AM320" s="596" t="s">
        <v>896</v>
      </c>
      <c r="AN320" s="596" t="s">
        <v>844</v>
      </c>
      <c r="AO320" s="596" t="s">
        <v>896</v>
      </c>
      <c r="AP320" s="596" t="s">
        <v>844</v>
      </c>
      <c r="AQ320" s="596" t="s">
        <v>896</v>
      </c>
      <c r="AR320" s="596" t="s">
        <v>844</v>
      </c>
      <c r="AS320" s="596" t="s">
        <v>896</v>
      </c>
      <c r="AT320" s="596" t="s">
        <v>844</v>
      </c>
      <c r="AU320" s="596" t="s">
        <v>896</v>
      </c>
      <c r="AV320" s="596" t="s">
        <v>844</v>
      </c>
      <c r="AW320" s="596" t="s">
        <v>896</v>
      </c>
      <c r="AX320" s="596" t="s">
        <v>844</v>
      </c>
      <c r="AY320" s="596" t="s">
        <v>896</v>
      </c>
      <c r="AZ320" s="596" t="s">
        <v>844</v>
      </c>
      <c r="BA320" s="596" t="s">
        <v>896</v>
      </c>
      <c r="BB320" s="596" t="s">
        <v>844</v>
      </c>
      <c r="BD320" s="60" t="s">
        <v>884</v>
      </c>
      <c r="BE320" s="60" t="s">
        <v>866</v>
      </c>
    </row>
    <row r="321" spans="1:59" s="78" customFormat="1" ht="47.25" customHeight="1" x14ac:dyDescent="0.25">
      <c r="A321" s="63">
        <f>IF(D321="","",SUBTOTAL(3,$D$8:D321))</f>
        <v>274</v>
      </c>
      <c r="B321" s="63" t="s">
        <v>6</v>
      </c>
      <c r="C321" s="71" t="s">
        <v>409</v>
      </c>
      <c r="D321" s="92" t="s">
        <v>534</v>
      </c>
      <c r="E321" s="693">
        <f>E320/$AL$322</f>
        <v>0</v>
      </c>
      <c r="F321" s="693">
        <f>F320/$AL$322</f>
        <v>0</v>
      </c>
      <c r="G321" s="282" t="str">
        <f t="shared" si="96"/>
        <v>A2</v>
      </c>
      <c r="H321" s="234"/>
      <c r="I321" s="737" t="s">
        <v>1059</v>
      </c>
      <c r="J321" s="737" t="s">
        <v>1006</v>
      </c>
      <c r="K321" s="739" t="s">
        <v>1058</v>
      </c>
      <c r="L321" s="483" t="s">
        <v>85</v>
      </c>
      <c r="M321" s="1279" t="s">
        <v>1150</v>
      </c>
      <c r="N321" s="291">
        <f>IFERROR(VLOOKUP($D321,'P.TTGD-CTSV'!$C$10:$AE$24,14,0),0)</f>
        <v>0</v>
      </c>
      <c r="O321" s="291">
        <f>IFERROR(VLOOKUP($D321,'P.TTGD-CTSV'!$C$10:$AE$24,28,0),0)</f>
        <v>0</v>
      </c>
      <c r="P321" s="313" t="str">
        <f t="shared" ref="P321" si="99">IF(AND($W321&gt;=2,$X321&gt;=3,H321&lt;&gt;0),"A1",IF(AND($W321&gt;=3,$X321&gt;=1,H321&lt;&gt;0),"A1",IF(AND($W321&gt;=2,$X321&gt;=2,I321&lt;&gt;0),"A2",IF(AND($W321&gt;=3,$X321&gt;=0,I321&lt;&gt;0),"A2",IF(AND(OR($W321&gt;=1,$X321&gt;=2),J321&lt;&gt;0),"A3","A4")))))</f>
        <v>A3</v>
      </c>
      <c r="Q321" s="1196" t="s">
        <v>83</v>
      </c>
      <c r="R321" s="347"/>
      <c r="S321" s="693">
        <f>S320/$AL$322</f>
        <v>0</v>
      </c>
      <c r="T321" s="693">
        <f>T320/$AL$322</f>
        <v>0</v>
      </c>
      <c r="U321" s="176" t="str">
        <f t="shared" si="98"/>
        <v>A4</v>
      </c>
      <c r="V321" s="179"/>
      <c r="W321" s="330">
        <f>IFERROR(VLOOKUP($D321,'K.NHIỆT-LẠNH'!$C$10:$W$18,11,0),0)</f>
        <v>1</v>
      </c>
      <c r="X321" s="330">
        <f>IFERROR(VLOOKUP($D321,'K.NHIỆT-LẠNH'!$C$10:$W$18,21,0),0)</f>
        <v>0</v>
      </c>
      <c r="Y321" s="92"/>
      <c r="Z321" s="857"/>
      <c r="AA321" s="857"/>
      <c r="AB321" s="242"/>
      <c r="AC321" s="836"/>
      <c r="AD321" s="494"/>
      <c r="AE321" s="60" t="str">
        <f t="shared" si="83"/>
        <v>A3</v>
      </c>
      <c r="AF321" s="60"/>
      <c r="AG321" s="604" t="s">
        <v>846</v>
      </c>
      <c r="AH321" s="604"/>
      <c r="AI321" s="605">
        <f>AH321/$L318</f>
        <v>0</v>
      </c>
      <c r="AJ321" s="590"/>
      <c r="AK321" s="597" t="s">
        <v>864</v>
      </c>
      <c r="AL321" s="595">
        <f>COUNTIF($BE320:$BE328,"CBQL")</f>
        <v>2</v>
      </c>
      <c r="AM321" s="595">
        <f>COUNTIF($U320:$U321,"A1")</f>
        <v>1</v>
      </c>
      <c r="AN321" s="611">
        <f>AM321/$AL$321</f>
        <v>0.5</v>
      </c>
      <c r="AO321" s="595">
        <f>COUNTIF($U320:$U321,"A2")</f>
        <v>0</v>
      </c>
      <c r="AP321" s="611">
        <f>AO321/$AL$321</f>
        <v>0</v>
      </c>
      <c r="AQ321" s="595">
        <f>COUNTIF($U320:$U321,"A3")</f>
        <v>0</v>
      </c>
      <c r="AR321" s="611">
        <f>AQ321/$AL$321</f>
        <v>0</v>
      </c>
      <c r="AS321" s="595">
        <f>COUNTIF($U320:$U321,"A4")</f>
        <v>1</v>
      </c>
      <c r="AT321" s="611">
        <f>AS321/$AL$321</f>
        <v>0.5</v>
      </c>
      <c r="AU321" s="595"/>
      <c r="AV321" s="595"/>
      <c r="AW321" s="595"/>
      <c r="AX321" s="595"/>
      <c r="AY321" s="595"/>
      <c r="AZ321" s="595"/>
      <c r="BA321" s="595"/>
      <c r="BB321" s="595"/>
      <c r="BD321" s="60" t="s">
        <v>884</v>
      </c>
      <c r="BE321" s="60" t="s">
        <v>866</v>
      </c>
    </row>
    <row r="322" spans="1:59" s="78" customFormat="1" ht="32.25" customHeight="1" x14ac:dyDescent="0.25">
      <c r="A322" s="63">
        <f>IF(D322="","",SUBTOTAL(3,$D$8:D322))</f>
        <v>275</v>
      </c>
      <c r="B322" s="63" t="s">
        <v>10</v>
      </c>
      <c r="C322" s="71" t="s">
        <v>410</v>
      </c>
      <c r="D322" s="173" t="s">
        <v>772</v>
      </c>
      <c r="E322" s="652"/>
      <c r="F322" s="652"/>
      <c r="G322" s="282" t="str">
        <f t="shared" si="96"/>
        <v>A2</v>
      </c>
      <c r="H322" s="234"/>
      <c r="I322" s="737" t="s">
        <v>1005</v>
      </c>
      <c r="J322" s="234" t="s">
        <v>1010</v>
      </c>
      <c r="K322" s="234"/>
      <c r="L322" s="483" t="s">
        <v>85</v>
      </c>
      <c r="M322" s="288"/>
      <c r="N322" s="291">
        <f>IFERROR(VLOOKUP($D322,'K.NHIỆT-LẠNH'!$C$10:$W$18,10,0),0)</f>
        <v>1</v>
      </c>
      <c r="O322" s="291">
        <f>IFERROR(VLOOKUP($D322,'K.NHIỆT-LẠNH'!$C$10:$W$18,20,0),0)</f>
        <v>2</v>
      </c>
      <c r="P322" s="313" t="str">
        <f t="shared" ref="P322:P328" si="100">IF(AND($W322&gt;=2,$X322&gt;=3,H322&lt;&gt;0),"A1",IF(AND($W322&gt;=3,$X322&gt;=1,H322&lt;&gt;0),"A1",IF(AND($W322&gt;=2,$X322&gt;=2,I322&lt;&gt;0),"A2",IF(AND($W322&gt;=3,$X322&gt;=0,I322&lt;&gt;0),"A2",IF(AND(OR($W322&gt;=1,$X322&gt;=2),J322&lt;&gt;0),"A3","A4")))))</f>
        <v>A3</v>
      </c>
      <c r="Q322" s="341" t="str">
        <f t="shared" si="97"/>
        <v>A3</v>
      </c>
      <c r="R322" s="315"/>
      <c r="S322" s="662"/>
      <c r="T322" s="662"/>
      <c r="U322" s="176" t="str">
        <f t="shared" si="98"/>
        <v>A3</v>
      </c>
      <c r="V322" s="177"/>
      <c r="W322" s="330">
        <f>IFERROR(VLOOKUP($D322,'K.NHIỆT-LẠNH'!$C$10:$W$18,11,0),0)</f>
        <v>1</v>
      </c>
      <c r="X322" s="330">
        <f>IFERROR(VLOOKUP($D322,'K.NHIỆT-LẠNH'!$C$10:$W$18,21,0),0)</f>
        <v>2</v>
      </c>
      <c r="Y322" s="92"/>
      <c r="Z322" s="857"/>
      <c r="AA322" s="857"/>
      <c r="AB322" s="242"/>
      <c r="AC322" s="836"/>
      <c r="AD322" s="227"/>
      <c r="AE322" s="60" t="str">
        <f t="shared" si="83"/>
        <v>A3</v>
      </c>
      <c r="AF322" s="60"/>
      <c r="AG322" s="604"/>
      <c r="AH322" s="593">
        <f>AH320+AH321</f>
        <v>0</v>
      </c>
      <c r="AI322" s="606">
        <f>AI320+AI321</f>
        <v>0</v>
      </c>
      <c r="AJ322" s="590"/>
      <c r="AK322" s="597" t="s">
        <v>865</v>
      </c>
      <c r="AL322" s="595">
        <f>COUNTIF($BE320:$BE328,"GV") + COUNTIF($BE320:$BE328,"NV")</f>
        <v>7</v>
      </c>
      <c r="AM322" s="595">
        <f>COUNTIF($U322:$U328,"A1")</f>
        <v>0</v>
      </c>
      <c r="AN322" s="611">
        <f>AM322/$AL$322</f>
        <v>0</v>
      </c>
      <c r="AO322" s="595">
        <f>COUNTIF($U322:$U328,"A2")</f>
        <v>0</v>
      </c>
      <c r="AP322" s="611">
        <f>AO322/$AL$322</f>
        <v>0</v>
      </c>
      <c r="AQ322" s="595">
        <f>COUNTIF($U322:$U328,"A3")</f>
        <v>7</v>
      </c>
      <c r="AR322" s="611">
        <f>AQ322/$AL$322</f>
        <v>1</v>
      </c>
      <c r="AS322" s="595">
        <f>COUNTIF($U322:$U328,"A4")</f>
        <v>0</v>
      </c>
      <c r="AT322" s="611">
        <f>AS322/$AL$322</f>
        <v>0</v>
      </c>
      <c r="AU322" s="595"/>
      <c r="AV322" s="595"/>
      <c r="AW322" s="595"/>
      <c r="AX322" s="595"/>
      <c r="AY322" s="595"/>
      <c r="AZ322" s="595"/>
      <c r="BA322" s="595"/>
      <c r="BB322" s="595"/>
      <c r="BD322" s="60" t="s">
        <v>884</v>
      </c>
      <c r="BE322" s="60" t="s">
        <v>868</v>
      </c>
    </row>
    <row r="323" spans="1:59" s="78" customFormat="1" ht="32.25" customHeight="1" x14ac:dyDescent="0.25">
      <c r="A323" s="63">
        <f>IF(D323="","",SUBTOTAL(3,$D$8:D323))</f>
        <v>276</v>
      </c>
      <c r="B323" s="63" t="s">
        <v>13</v>
      </c>
      <c r="C323" s="71" t="s">
        <v>413</v>
      </c>
      <c r="D323" s="92" t="s">
        <v>537</v>
      </c>
      <c r="E323" s="652"/>
      <c r="F323" s="652"/>
      <c r="G323" s="282" t="str">
        <f t="shared" si="96"/>
        <v>A1</v>
      </c>
      <c r="H323" s="737" t="s">
        <v>961</v>
      </c>
      <c r="I323" s="737" t="s">
        <v>1009</v>
      </c>
      <c r="J323" s="737" t="s">
        <v>1006</v>
      </c>
      <c r="K323" s="234"/>
      <c r="L323" s="483" t="s">
        <v>85</v>
      </c>
      <c r="M323" s="288"/>
      <c r="N323" s="291">
        <f>IFERROR(VLOOKUP($D323,'K.NHIỆT-LẠNH'!$C$10:$W$18,10,0),0)</f>
        <v>2</v>
      </c>
      <c r="O323" s="291">
        <f>IFERROR(VLOOKUP($D323,'K.NHIỆT-LẠNH'!$C$10:$W$18,20,0),0)</f>
        <v>1</v>
      </c>
      <c r="P323" s="313" t="str">
        <f t="shared" si="100"/>
        <v>A3</v>
      </c>
      <c r="Q323" s="341" t="str">
        <f t="shared" si="97"/>
        <v>A3</v>
      </c>
      <c r="R323" s="315"/>
      <c r="S323" s="662"/>
      <c r="T323" s="662"/>
      <c r="U323" s="176" t="str">
        <f>$Q323</f>
        <v>A3</v>
      </c>
      <c r="V323" s="177"/>
      <c r="W323" s="330">
        <f>IFERROR(VLOOKUP($D323,'K.NHIỆT-LẠNH'!$C$10:$W$18,11,0),0)</f>
        <v>2</v>
      </c>
      <c r="X323" s="330">
        <f>IFERROR(VLOOKUP($D323,'K.NHIỆT-LẠNH'!$C$10:$W$18,21,0),0)</f>
        <v>1</v>
      </c>
      <c r="Y323" s="92"/>
      <c r="Z323" s="857"/>
      <c r="AA323" s="857"/>
      <c r="AB323" s="777"/>
      <c r="AC323" s="775"/>
      <c r="AD323" s="213"/>
      <c r="AE323" s="60" t="str">
        <f t="shared" si="83"/>
        <v>A3</v>
      </c>
      <c r="AF323" s="60"/>
      <c r="AG323" s="60"/>
      <c r="BD323" s="60" t="s">
        <v>884</v>
      </c>
      <c r="BE323" s="60" t="s">
        <v>868</v>
      </c>
    </row>
    <row r="324" spans="1:59" s="78" customFormat="1" ht="35.25" customHeight="1" x14ac:dyDescent="0.25">
      <c r="A324" s="63">
        <f>IF(D324="","",SUBTOTAL(3,$D$8:D324))</f>
        <v>277</v>
      </c>
      <c r="B324" s="63" t="s">
        <v>14</v>
      </c>
      <c r="C324" s="71" t="s">
        <v>414</v>
      </c>
      <c r="D324" s="92" t="s">
        <v>538</v>
      </c>
      <c r="E324" s="652"/>
      <c r="F324" s="652"/>
      <c r="G324" s="282" t="str">
        <f t="shared" si="96"/>
        <v>A1</v>
      </c>
      <c r="H324" s="737" t="s">
        <v>961</v>
      </c>
      <c r="I324" s="737" t="s">
        <v>959</v>
      </c>
      <c r="J324" s="234" t="s">
        <v>1010</v>
      </c>
      <c r="K324" s="234"/>
      <c r="L324" s="483" t="s">
        <v>85</v>
      </c>
      <c r="M324" s="288"/>
      <c r="N324" s="291">
        <f>IFERROR(VLOOKUP($D324,'K.NHIỆT-LẠNH'!$C$10:$W$18,10,0),0)</f>
        <v>1</v>
      </c>
      <c r="O324" s="291">
        <f>IFERROR(VLOOKUP($D324,'K.NHIỆT-LẠNH'!$C$10:$W$18,20,0),0)</f>
        <v>1</v>
      </c>
      <c r="P324" s="313" t="str">
        <f t="shared" si="100"/>
        <v>A3</v>
      </c>
      <c r="Q324" s="341" t="str">
        <f t="shared" si="97"/>
        <v>A3</v>
      </c>
      <c r="R324" s="347"/>
      <c r="S324" s="668"/>
      <c r="T324" s="668"/>
      <c r="U324" s="176" t="str">
        <f>$Q324</f>
        <v>A3</v>
      </c>
      <c r="V324" s="179">
        <f>R324</f>
        <v>0</v>
      </c>
      <c r="W324" s="330">
        <f>IFERROR(VLOOKUP($D324,'K.NHIỆT-LẠNH'!$C$10:$W$18,11,0),0)</f>
        <v>1</v>
      </c>
      <c r="X324" s="330">
        <f>IFERROR(VLOOKUP($D324,'K.NHIỆT-LẠNH'!$C$10:$W$18,21,0),0)</f>
        <v>1</v>
      </c>
      <c r="Y324" s="92"/>
      <c r="Z324" s="861"/>
      <c r="AA324" s="858"/>
      <c r="AB324" s="777"/>
      <c r="AC324" s="775"/>
      <c r="AD324" s="213"/>
      <c r="AE324" s="60" t="str">
        <f t="shared" si="83"/>
        <v>A3</v>
      </c>
      <c r="AF324" s="60"/>
      <c r="AG324" s="60"/>
      <c r="BD324" s="60" t="s">
        <v>884</v>
      </c>
      <c r="BE324" s="60" t="s">
        <v>868</v>
      </c>
    </row>
    <row r="325" spans="1:59" s="78" customFormat="1" ht="49.5" customHeight="1" x14ac:dyDescent="0.25">
      <c r="A325" s="63">
        <f>IF(D325="","",SUBTOTAL(3,$D$8:D325))</f>
        <v>278</v>
      </c>
      <c r="B325" s="63" t="s">
        <v>11</v>
      </c>
      <c r="C325" s="71" t="s">
        <v>411</v>
      </c>
      <c r="D325" s="92" t="s">
        <v>535</v>
      </c>
      <c r="E325" s="652"/>
      <c r="F325" s="652"/>
      <c r="G325" s="282" t="str">
        <f t="shared" si="96"/>
        <v>A4</v>
      </c>
      <c r="H325" s="234"/>
      <c r="I325" s="234"/>
      <c r="J325" s="234"/>
      <c r="K325" s="234"/>
      <c r="L325" s="483" t="s">
        <v>83</v>
      </c>
      <c r="M325" s="288"/>
      <c r="N325" s="291">
        <f>IFERROR(VLOOKUP($D325,'K.NHIỆT-LẠNH'!$C$10:$W$18,10,0),0)</f>
        <v>1</v>
      </c>
      <c r="O325" s="291">
        <f>IFERROR(VLOOKUP($D325,'K.NHIỆT-LẠNH'!$C$10:$W$18,20,0),0)</f>
        <v>0</v>
      </c>
      <c r="P325" s="313" t="str">
        <f t="shared" si="100"/>
        <v>A4</v>
      </c>
      <c r="Q325" s="1196" t="s">
        <v>85</v>
      </c>
      <c r="R325" s="315"/>
      <c r="S325" s="662"/>
      <c r="T325" s="662"/>
      <c r="U325" s="176" t="str">
        <f t="shared" si="98"/>
        <v>A3</v>
      </c>
      <c r="V325" s="177"/>
      <c r="W325" s="330">
        <f>IFERROR(VLOOKUP($D325,'K.NHIỆT-LẠNH'!$C$10:$W$18,11,0),0)</f>
        <v>1</v>
      </c>
      <c r="X325" s="330">
        <f>IFERROR(VLOOKUP($D325,'K.NHIỆT-LẠNH'!$C$10:$W$18,21,0),0)</f>
        <v>0</v>
      </c>
      <c r="Y325" s="92"/>
      <c r="Z325" s="842"/>
      <c r="AA325" s="857"/>
      <c r="AB325" s="773" t="s">
        <v>85</v>
      </c>
      <c r="AC325" s="774" t="s">
        <v>1165</v>
      </c>
      <c r="AD325" s="227"/>
      <c r="AE325" s="60" t="str">
        <f t="shared" si="83"/>
        <v>A4</v>
      </c>
      <c r="AF325" s="60"/>
      <c r="AG325" s="60"/>
      <c r="BD325" s="60" t="s">
        <v>884</v>
      </c>
      <c r="BE325" s="60" t="s">
        <v>868</v>
      </c>
    </row>
    <row r="326" spans="1:59" s="78" customFormat="1" ht="49.5" customHeight="1" x14ac:dyDescent="0.25">
      <c r="A326" s="63">
        <f>IF(D326="","",SUBTOTAL(3,$D$8:D326))</f>
        <v>279</v>
      </c>
      <c r="B326" s="63" t="s">
        <v>12</v>
      </c>
      <c r="C326" s="71" t="s">
        <v>412</v>
      </c>
      <c r="D326" s="92" t="s">
        <v>536</v>
      </c>
      <c r="E326" s="652"/>
      <c r="F326" s="652"/>
      <c r="G326" s="282" t="str">
        <f t="shared" si="96"/>
        <v>A4</v>
      </c>
      <c r="H326" s="234"/>
      <c r="I326" s="234"/>
      <c r="J326" s="234"/>
      <c r="K326" s="234"/>
      <c r="L326" s="483" t="s">
        <v>83</v>
      </c>
      <c r="M326" s="288"/>
      <c r="N326" s="291">
        <f>IFERROR(VLOOKUP($D326,'K.NHIỆT-LẠNH'!$C$10:$W$18,10,0),0)</f>
        <v>1</v>
      </c>
      <c r="O326" s="291">
        <f>IFERROR(VLOOKUP($D326,'K.NHIỆT-LẠNH'!$C$10:$W$18,20,0),0)</f>
        <v>0</v>
      </c>
      <c r="P326" s="313" t="str">
        <f t="shared" si="100"/>
        <v>A4</v>
      </c>
      <c r="Q326" s="1196" t="s">
        <v>85</v>
      </c>
      <c r="R326" s="315"/>
      <c r="S326" s="662"/>
      <c r="T326" s="662"/>
      <c r="U326" s="176" t="str">
        <f t="shared" si="98"/>
        <v>A3</v>
      </c>
      <c r="V326" s="177"/>
      <c r="W326" s="330">
        <f>IFERROR(VLOOKUP($D326,'K.NHIỆT-LẠNH'!$C$10:$W$18,11,0),0)</f>
        <v>1</v>
      </c>
      <c r="X326" s="330">
        <f>IFERROR(VLOOKUP($D326,'K.NHIỆT-LẠNH'!$C$10:$W$18,21,0),0)</f>
        <v>0</v>
      </c>
      <c r="Y326" s="92"/>
      <c r="Z326" s="857"/>
      <c r="AA326" s="859"/>
      <c r="AB326" s="773" t="s">
        <v>85</v>
      </c>
      <c r="AC326" s="774" t="s">
        <v>1165</v>
      </c>
      <c r="AD326" s="588"/>
      <c r="AE326" s="60" t="str">
        <f t="shared" si="83"/>
        <v>A4</v>
      </c>
      <c r="AF326" s="60"/>
      <c r="AG326" s="60"/>
      <c r="BD326" s="60" t="s">
        <v>884</v>
      </c>
      <c r="BE326" s="60" t="s">
        <v>868</v>
      </c>
    </row>
    <row r="327" spans="1:59" s="78" customFormat="1" ht="33.75" customHeight="1" x14ac:dyDescent="0.25">
      <c r="A327" s="63">
        <f>IF(D327="","",SUBTOTAL(3,$D$8:D327))</f>
        <v>280</v>
      </c>
      <c r="B327" s="63" t="s">
        <v>15</v>
      </c>
      <c r="C327" s="71" t="s">
        <v>415</v>
      </c>
      <c r="D327" s="92" t="s">
        <v>539</v>
      </c>
      <c r="E327" s="652"/>
      <c r="F327" s="652"/>
      <c r="G327" s="282" t="str">
        <f t="shared" si="96"/>
        <v>A1</v>
      </c>
      <c r="H327" s="737" t="s">
        <v>961</v>
      </c>
      <c r="I327" s="737" t="s">
        <v>959</v>
      </c>
      <c r="J327" s="234" t="s">
        <v>1010</v>
      </c>
      <c r="K327" s="234"/>
      <c r="L327" s="483" t="s">
        <v>85</v>
      </c>
      <c r="M327" s="288"/>
      <c r="N327" s="291">
        <f>IFERROR(VLOOKUP($D327,'K.NHIỆT-LẠNH'!$C$10:$W$18,10,0),0)</f>
        <v>1</v>
      </c>
      <c r="O327" s="291">
        <f>IFERROR(VLOOKUP($D327,'K.NHIỆT-LẠNH'!$C$10:$W$18,20,0),0)</f>
        <v>0</v>
      </c>
      <c r="P327" s="313" t="str">
        <f t="shared" si="100"/>
        <v>A3</v>
      </c>
      <c r="Q327" s="341" t="str">
        <f t="shared" si="97"/>
        <v>A3</v>
      </c>
      <c r="R327" s="320"/>
      <c r="S327" s="669"/>
      <c r="T327" s="669"/>
      <c r="U327" s="176" t="str">
        <f t="shared" si="98"/>
        <v>A3</v>
      </c>
      <c r="V327" s="177"/>
      <c r="W327" s="330">
        <f>IFERROR(VLOOKUP($D327,'K.NHIỆT-LẠNH'!$C$10:$W$18,11,0),0)</f>
        <v>1</v>
      </c>
      <c r="X327" s="330">
        <f>IFERROR(VLOOKUP($D327,'K.NHIỆT-LẠNH'!$C$10:$W$18,21,0),0)</f>
        <v>0</v>
      </c>
      <c r="Y327" s="92"/>
      <c r="Z327" s="857"/>
      <c r="AA327" s="859"/>
      <c r="AB327" s="228"/>
      <c r="AC327" s="775"/>
      <c r="AD327" s="494"/>
      <c r="AE327" s="60" t="str">
        <f t="shared" si="83"/>
        <v>A3</v>
      </c>
      <c r="AF327" s="60"/>
      <c r="AG327" s="60"/>
      <c r="BD327" s="60" t="s">
        <v>884</v>
      </c>
      <c r="BE327" s="60" t="s">
        <v>868</v>
      </c>
    </row>
    <row r="328" spans="1:59" s="78" customFormat="1" ht="30" customHeight="1" x14ac:dyDescent="0.25">
      <c r="A328" s="63">
        <f>IF(D328="","",SUBTOTAL(3,$D$8:D328))</f>
        <v>281</v>
      </c>
      <c r="B328" s="63" t="s">
        <v>16</v>
      </c>
      <c r="C328" s="71" t="s">
        <v>717</v>
      </c>
      <c r="D328" s="92" t="s">
        <v>718</v>
      </c>
      <c r="E328" s="652"/>
      <c r="F328" s="652"/>
      <c r="G328" s="282" t="str">
        <f t="shared" si="96"/>
        <v>A2</v>
      </c>
      <c r="H328" s="234"/>
      <c r="I328" s="737" t="s">
        <v>965</v>
      </c>
      <c r="J328" s="737" t="s">
        <v>1007</v>
      </c>
      <c r="K328" s="234"/>
      <c r="L328" s="483" t="s">
        <v>85</v>
      </c>
      <c r="M328" s="288"/>
      <c r="N328" s="291">
        <f>IFERROR(VLOOKUP($D328,'K.NHIỆT-LẠNH'!$C$10:$W$18,10,0),0)</f>
        <v>1</v>
      </c>
      <c r="O328" s="291">
        <f>IFERROR(VLOOKUP($D328,'K.NHIỆT-LẠNH'!$C$10:$W$18,20,0),0)</f>
        <v>0</v>
      </c>
      <c r="P328" s="313" t="str">
        <f t="shared" si="100"/>
        <v>A3</v>
      </c>
      <c r="Q328" s="341" t="str">
        <f t="shared" si="97"/>
        <v>A3</v>
      </c>
      <c r="R328" s="319"/>
      <c r="S328" s="672"/>
      <c r="T328" s="672"/>
      <c r="U328" s="176" t="str">
        <f t="shared" si="98"/>
        <v>A3</v>
      </c>
      <c r="V328" s="177"/>
      <c r="W328" s="330">
        <f>IFERROR(VLOOKUP($D328,'K.NHIỆT-LẠNH'!$C$10:$W$18,11,0),0)</f>
        <v>1</v>
      </c>
      <c r="X328" s="330">
        <f>IFERROR(VLOOKUP($D328,'K.NHIỆT-LẠNH'!$C$10:$W$18,21,0),0)</f>
        <v>0</v>
      </c>
      <c r="Y328" s="92"/>
      <c r="Z328" s="857"/>
      <c r="AA328" s="857"/>
      <c r="AB328" s="773"/>
      <c r="AC328" s="774"/>
      <c r="AD328" s="213"/>
      <c r="AE328" s="60" t="str">
        <f t="shared" si="83"/>
        <v>A3</v>
      </c>
      <c r="AF328" s="60"/>
      <c r="AG328" s="60"/>
      <c r="AH328" s="612"/>
      <c r="AI328" s="612"/>
      <c r="AJ328" s="612"/>
      <c r="AK328" s="612"/>
      <c r="BD328" s="60" t="s">
        <v>884</v>
      </c>
      <c r="BE328" s="60" t="s">
        <v>868</v>
      </c>
    </row>
    <row r="329" spans="1:59" ht="60" customHeight="1" x14ac:dyDescent="0.25">
      <c r="A329" s="62" t="s">
        <v>737</v>
      </c>
      <c r="B329" s="62" t="s">
        <v>736</v>
      </c>
      <c r="C329" s="64" t="s">
        <v>60</v>
      </c>
      <c r="D329" s="62"/>
      <c r="E329" s="652"/>
      <c r="F329" s="652"/>
      <c r="G329" s="280">
        <f>COUNTA($L331:$L348)</f>
        <v>18</v>
      </c>
      <c r="H329" s="234"/>
      <c r="I329" s="234"/>
      <c r="J329" s="234"/>
      <c r="K329" s="234"/>
      <c r="L329" s="500">
        <f>COUNTA($L331:$L348)</f>
        <v>18</v>
      </c>
      <c r="M329" s="286" t="str">
        <f>(COUNTIF($L$331:$L$348,"A1")&amp;"A1")&amp;" + "&amp;(COUNTIF($L$331:$L$348,"A2")&amp;"A2")&amp;" + "&amp;(COUNTIF($L$331:$L$348,"A3")&amp;"A3")&amp;" + "&amp;(COUNTIF($L$331:$L$348,"A4")&amp;"A4")&amp;" + "&amp;(COUNTIF($L$331:$L$348,"B1")&amp;"B1")&amp;" + "&amp;(COUNTIF($L$331:$L$348,"B2")&amp;"B2")&amp;" + "&amp;(COUNTIF($L$331:$L$348,"A DN")&amp;"A DN")</f>
        <v>0A1 + 6A2 + 4A3 + 7A4 + 0B1 + 0B2 + 1A DN</v>
      </c>
      <c r="N329" s="500"/>
      <c r="O329" s="500"/>
      <c r="P329" s="311">
        <f>COUNTA($Q331:$Q348)</f>
        <v>18</v>
      </c>
      <c r="Q329" s="340">
        <f>COUNTA($Q331:$Q348)</f>
        <v>18</v>
      </c>
      <c r="R329" s="312" t="str">
        <f>(COUNTIF($Q$331:$Q$348,"A1")&amp;"A1")&amp;" + "&amp;(COUNTIF($Q$331:$Q$348,"A2")&amp;"A2")&amp;" + "&amp;(COUNTIF($Q$331:$Q$348,"A3")&amp;"A3")&amp;" + "&amp;(COUNTIF($Q$331:$Q$348,"A4")&amp;"A4")&amp;" + "&amp;(COUNTIF($Q$331:$Q$348,"B1")&amp;" B1")&amp;" + "&amp;(COUNTIF($Q$331:$Q$348,"B2")&amp;" B2")&amp;" + "&amp;(COUNTIF($Q$331:$Q$348,"A DN")&amp;" A DN")</f>
        <v>3A1 + 1A2 + 8A3 + 5A4 + 0 B1 + 0 B2 + 1 A DN</v>
      </c>
      <c r="S329" s="661"/>
      <c r="T329" s="661"/>
      <c r="U329" s="174">
        <f>COUNTA($U$331:$U$348)</f>
        <v>18</v>
      </c>
      <c r="V329" s="175" t="str">
        <f>(COUNTIF($U$331:$U$348,"A1")&amp;"A1")&amp;" + "&amp;(COUNTIF($U$331:$U$348,"A2")&amp;"A2")&amp;" + "&amp;(COUNTIF($U$331:$U$348,"A3")&amp;"A3")&amp;" + "&amp;(COUNTIF($U$331:$U$348,"A4")&amp;"A4")&amp;" + "&amp;(COUNTIF($U$331:$U$348,"A DN")&amp;"A DN")&amp;" + "&amp;(COUNTIF($U$331:$U$348,"B1")&amp;" B1")&amp;" + "&amp;(COUNTIF($U$331:$U$348,"B2")&amp;" B2")</f>
        <v>3A1 + 1A2 + 8A3 + 5A4 + 1A DN + 0 B1 + 0 B2</v>
      </c>
      <c r="W329" s="501"/>
      <c r="X329" s="501"/>
      <c r="Y329" s="556"/>
      <c r="Z329" s="95"/>
      <c r="AA329" s="95"/>
      <c r="AB329" s="242"/>
      <c r="AC329" s="1364"/>
      <c r="AD329" s="219"/>
      <c r="AE329" s="60"/>
      <c r="AF329" s="60"/>
      <c r="AG329" s="607"/>
      <c r="AH329" s="608"/>
      <c r="AI329" s="608"/>
      <c r="AK329" s="1327" t="s">
        <v>906</v>
      </c>
      <c r="AL329" s="1327"/>
      <c r="AM329" s="1327"/>
      <c r="AN329" s="1327"/>
      <c r="AO329" s="1327"/>
      <c r="AP329" s="1327"/>
      <c r="AQ329" s="1327"/>
      <c r="AR329" s="1327"/>
      <c r="AS329" s="1327"/>
      <c r="AT329" s="1327"/>
      <c r="AU329" s="1327"/>
      <c r="AV329" s="1327"/>
      <c r="AW329" s="1327"/>
      <c r="AX329" s="1327"/>
      <c r="AY329" s="1327"/>
      <c r="AZ329" s="1327"/>
      <c r="BA329" s="1327"/>
      <c r="BB329" s="1327"/>
      <c r="BF329" s="60">
        <f>COUNTIF($BE331:$BE348,"CBQL")</f>
        <v>2</v>
      </c>
      <c r="BG329" s="60">
        <f>COUNTIF($BE331:$BE348,"GV") + COUNTIF($BE331:$BE348,"NV")</f>
        <v>16</v>
      </c>
    </row>
    <row r="330" spans="1:59" s="57" customFormat="1" ht="54" customHeight="1" x14ac:dyDescent="0.25">
      <c r="A330" s="65" t="s">
        <v>45</v>
      </c>
      <c r="B330" s="65" t="s">
        <v>45</v>
      </c>
      <c r="C330" s="66" t="s">
        <v>46</v>
      </c>
      <c r="D330" s="65"/>
      <c r="E330" s="652"/>
      <c r="F330" s="652"/>
      <c r="G330" s="280">
        <f>COUNTA($L331:$L348)</f>
        <v>18</v>
      </c>
      <c r="H330" s="234"/>
      <c r="I330" s="234"/>
      <c r="J330" s="234"/>
      <c r="K330" s="234"/>
      <c r="L330" s="500">
        <f>COUNTA($L331:$L348)</f>
        <v>18</v>
      </c>
      <c r="M330" s="286" t="str">
        <f>(COUNTIF($L$331:$L$348,"A1")&amp;"A1")&amp;" + "&amp;(COUNTIF($L$331:$L$348,"A2")&amp;"A2")&amp;" + "&amp;(COUNTIF($L$331:$L$348,"A3")&amp;"A3")&amp;" + "&amp;(COUNTIF($L$331:$L$348,"A4")&amp;"A4")&amp;" + "&amp;(COUNTIF($L$331:$L$348,"B1")&amp;"B1")&amp;" + "&amp;(COUNTIF($L$331:$L$348,"B2")&amp;"B2")&amp;" + "&amp;(COUNTIF($L$331:$L$348,"A DN")&amp;"A DN")</f>
        <v>0A1 + 6A2 + 4A3 + 7A4 + 0B1 + 0B2 + 1A DN</v>
      </c>
      <c r="N330" s="500"/>
      <c r="O330" s="500"/>
      <c r="P330" s="311">
        <f>COUNTA($Q331:$Q348)</f>
        <v>18</v>
      </c>
      <c r="Q330" s="340">
        <f>COUNTA($Q331:$Q348)</f>
        <v>18</v>
      </c>
      <c r="R330" s="312" t="str">
        <f>(COUNTIF($Q$331:$Q$348,"A1")&amp;"A1")&amp;" + "&amp;(COUNTIF($Q$331:$Q$348,"A2")&amp;"A2")&amp;" + "&amp;(COUNTIF($Q$331:$Q$348,"A3")&amp;"A3")&amp;" + "&amp;(COUNTIF($Q$331:$Q$348,"A4")&amp;"A4")&amp;" + "&amp;(COUNTIF($Q$331:$Q$348,"B1")&amp;" B1")&amp;" + "&amp;(COUNTIF($Q$331:$Q$348,"B2")&amp;" B2")&amp;" + "&amp;(COUNTIF($Q$331:$Q$348,"A DN")&amp;" A DN")</f>
        <v>3A1 + 1A2 + 8A3 + 5A4 + 0 B1 + 0 B2 + 1 A DN</v>
      </c>
      <c r="S330" s="661"/>
      <c r="T330" s="661"/>
      <c r="U330" s="174">
        <f>COUNTA($U$331:$U$348)</f>
        <v>18</v>
      </c>
      <c r="V330" s="175" t="str">
        <f>(COUNTIF($U$331:$U$348,"A1")&amp;"A1")&amp;" + "&amp;(COUNTIF($U$331:$U$348,"A2")&amp;"A2")&amp;" + "&amp;(COUNTIF($U$331:$U$348,"A3")&amp;"A3")&amp;" + "&amp;(COUNTIF($U$331:$U$348,"A4")&amp;"A4")&amp;" + "&amp;(COUNTIF($U$331:$U$348,"A DN")&amp;"A DN")&amp;" + "&amp;(COUNTIF($U$331:$U$348,"B1")&amp;" B1")&amp;" + "&amp;(COUNTIF($U$331:$U$348,"B2")&amp;" B2")</f>
        <v>3A1 + 1A2 + 8A3 + 5A4 + 1A DN + 0 B1 + 0 B2</v>
      </c>
      <c r="W330" s="501"/>
      <c r="X330" s="501"/>
      <c r="Y330" s="556"/>
      <c r="Z330" s="95"/>
      <c r="AA330" s="95"/>
      <c r="AB330" s="242"/>
      <c r="AC330" s="1365"/>
      <c r="AD330" s="219"/>
      <c r="AE330" s="60"/>
      <c r="AF330" s="60"/>
      <c r="AG330" s="1328" t="s">
        <v>915</v>
      </c>
      <c r="AH330" s="1328"/>
      <c r="AI330" s="1328"/>
      <c r="AJ330" s="59"/>
      <c r="AK330" s="598" t="s">
        <v>930</v>
      </c>
      <c r="AL330" s="598" t="s">
        <v>907</v>
      </c>
      <c r="AM330" s="1329" t="s">
        <v>897</v>
      </c>
      <c r="AN330" s="1329"/>
      <c r="AO330" s="1329" t="s">
        <v>898</v>
      </c>
      <c r="AP330" s="1329"/>
      <c r="AQ330" s="1329" t="s">
        <v>899</v>
      </c>
      <c r="AR330" s="1329"/>
      <c r="AS330" s="1329" t="s">
        <v>900</v>
      </c>
      <c r="AT330" s="1329"/>
      <c r="AU330" s="1329" t="s">
        <v>902</v>
      </c>
      <c r="AV330" s="1329"/>
      <c r="AW330" s="1329" t="s">
        <v>903</v>
      </c>
      <c r="AX330" s="1329"/>
      <c r="AY330" s="1329" t="s">
        <v>904</v>
      </c>
      <c r="AZ330" s="1329"/>
      <c r="BA330" s="1329" t="s">
        <v>905</v>
      </c>
      <c r="BB330" s="1329"/>
      <c r="BD330" s="60"/>
      <c r="BE330" s="60"/>
    </row>
    <row r="331" spans="1:59" s="57" customFormat="1" ht="43.5" customHeight="1" x14ac:dyDescent="0.25">
      <c r="A331" s="63">
        <f>IF(D331="","",SUBTOTAL(3,$D$8:D331))</f>
        <v>282</v>
      </c>
      <c r="B331" s="63" t="s">
        <v>10</v>
      </c>
      <c r="C331" s="71" t="s">
        <v>165</v>
      </c>
      <c r="D331" s="89" t="s">
        <v>108</v>
      </c>
      <c r="E331" s="691" t="s">
        <v>949</v>
      </c>
      <c r="F331" s="691" t="s">
        <v>950</v>
      </c>
      <c r="G331" s="282" t="str">
        <f t="shared" ref="G331:G346" si="101">IF($H331&lt;&gt;0,"A1",IF($I331&lt;&gt;0,"A2",IF($J331&lt;&gt;0,"A3","A4")))</f>
        <v>A2</v>
      </c>
      <c r="H331" s="234"/>
      <c r="I331" s="737" t="s">
        <v>965</v>
      </c>
      <c r="J331" s="737" t="s">
        <v>1007</v>
      </c>
      <c r="K331" s="234"/>
      <c r="L331" s="298" t="s">
        <v>84</v>
      </c>
      <c r="M331" s="295" t="s">
        <v>1198</v>
      </c>
      <c r="N331" s="293">
        <f>IFERROR(VLOOKUP($D331,'K.KINH TẾ'!$C$10:$AC$27,12,0),0)</f>
        <v>3</v>
      </c>
      <c r="O331" s="293">
        <f>IFERROR(VLOOKUP($D331,'K.KINH TẾ'!$C$10:$AC$27,26,0),0)</f>
        <v>5</v>
      </c>
      <c r="P331" s="1186" t="s">
        <v>82</v>
      </c>
      <c r="Q331" s="341" t="str">
        <f t="shared" ref="Q331:Q343" si="102">P331</f>
        <v>A1</v>
      </c>
      <c r="R331" s="319"/>
      <c r="S331" s="691" t="s">
        <v>949</v>
      </c>
      <c r="T331" s="691" t="s">
        <v>950</v>
      </c>
      <c r="U331" s="176" t="str">
        <f>$Q331</f>
        <v>A1</v>
      </c>
      <c r="V331" s="179"/>
      <c r="W331" s="330">
        <f>IFERROR(VLOOKUP($D331,'K.KINH TẾ'!$C$10:$AC$27,13,0),0)</f>
        <v>1</v>
      </c>
      <c r="X331" s="330">
        <f>IFERROR(VLOOKUP($D331,'K.KINH TẾ'!$C$10:$AC$27,27,0),0)</f>
        <v>2</v>
      </c>
      <c r="Y331" s="333">
        <v>1</v>
      </c>
      <c r="Z331" s="857"/>
      <c r="AA331" s="850"/>
      <c r="AB331" s="228"/>
      <c r="AC331" s="565"/>
      <c r="AD331" s="213"/>
      <c r="AE331" s="60" t="b">
        <f>IF($L331=$P331,$L331,FALSE)</f>
        <v>0</v>
      </c>
      <c r="AF331" s="60"/>
      <c r="AG331" s="604" t="s">
        <v>845</v>
      </c>
      <c r="AH331" s="604">
        <v>10</v>
      </c>
      <c r="AI331" s="605">
        <f>AH331/$L329</f>
        <v>0.55555555555555558</v>
      </c>
      <c r="AJ331" s="590"/>
      <c r="AK331" s="594"/>
      <c r="AL331" s="595">
        <f>AL332+AL333</f>
        <v>18</v>
      </c>
      <c r="AM331" s="596" t="s">
        <v>896</v>
      </c>
      <c r="AN331" s="596" t="s">
        <v>844</v>
      </c>
      <c r="AO331" s="596" t="s">
        <v>896</v>
      </c>
      <c r="AP331" s="596" t="s">
        <v>844</v>
      </c>
      <c r="AQ331" s="596" t="s">
        <v>896</v>
      </c>
      <c r="AR331" s="596" t="s">
        <v>844</v>
      </c>
      <c r="AS331" s="596" t="s">
        <v>896</v>
      </c>
      <c r="AT331" s="596" t="s">
        <v>844</v>
      </c>
      <c r="AU331" s="596" t="s">
        <v>896</v>
      </c>
      <c r="AV331" s="596" t="s">
        <v>844</v>
      </c>
      <c r="AW331" s="596" t="s">
        <v>896</v>
      </c>
      <c r="AX331" s="596" t="s">
        <v>844</v>
      </c>
      <c r="AY331" s="596" t="s">
        <v>896</v>
      </c>
      <c r="AZ331" s="596" t="s">
        <v>844</v>
      </c>
      <c r="BA331" s="596" t="s">
        <v>896</v>
      </c>
      <c r="BB331" s="596" t="s">
        <v>844</v>
      </c>
      <c r="BD331" s="60" t="s">
        <v>885</v>
      </c>
      <c r="BE331" s="60" t="s">
        <v>866</v>
      </c>
    </row>
    <row r="332" spans="1:59" s="70" customFormat="1" ht="72" customHeight="1" x14ac:dyDescent="0.25">
      <c r="A332" s="63">
        <f>IF(D332="","",SUBTOTAL(3,$D$8:D332))</f>
        <v>283</v>
      </c>
      <c r="B332" s="63" t="s">
        <v>12</v>
      </c>
      <c r="C332" s="71" t="s">
        <v>543</v>
      </c>
      <c r="D332" s="92" t="s">
        <v>419</v>
      </c>
      <c r="E332" s="692">
        <f>COUNTIF($L333:$L348,"A1")</f>
        <v>0</v>
      </c>
      <c r="F332" s="692">
        <f>COUNTIF($L333:$L348,"A2")</f>
        <v>4</v>
      </c>
      <c r="G332" s="282" t="str">
        <f t="shared" si="101"/>
        <v>A2</v>
      </c>
      <c r="H332" s="234"/>
      <c r="I332" s="737" t="s">
        <v>965</v>
      </c>
      <c r="J332" s="737" t="s">
        <v>1007</v>
      </c>
      <c r="K332" s="234"/>
      <c r="L332" s="298" t="s">
        <v>84</v>
      </c>
      <c r="M332" s="295" t="s">
        <v>1199</v>
      </c>
      <c r="N332" s="293">
        <f>IFERROR(VLOOKUP($D332,'K.KINH TẾ'!$C$10:$AC$27,12,0),0)</f>
        <v>3</v>
      </c>
      <c r="O332" s="293">
        <f>IFERROR(VLOOKUP($D332,'K.KINH TẾ'!$C$10:$AC$27,26,0),0)</f>
        <v>5</v>
      </c>
      <c r="P332" s="1186" t="str">
        <f t="shared" ref="P332:P340" si="103">IF(AND($W332&gt;=2,$X332&gt;=3,H332&lt;&gt;0),"A1",IF(AND($W332&gt;=3,$X332&gt;=1,H332&lt;&gt;0),"A1",IF(AND($W332&gt;=2,$X332&gt;=2,I332&lt;&gt;0),"A2",IF(AND($W332&gt;=3,$X332&gt;=0,I332&lt;&gt;0),"A2",IF(AND(OR($W332&gt;=1,$X332&gt;=2),J332&lt;&gt;0),"A3","A4")))))</f>
        <v>A3</v>
      </c>
      <c r="Q332" s="1196" t="s">
        <v>82</v>
      </c>
      <c r="R332" s="315"/>
      <c r="S332" s="692">
        <f>COUNTIF($U333:$U348,"A1")</f>
        <v>1</v>
      </c>
      <c r="T332" s="692">
        <f>COUNTIF($U333:$U348,"A2")</f>
        <v>1</v>
      </c>
      <c r="U332" s="176" t="str">
        <f>$Q332</f>
        <v>A1</v>
      </c>
      <c r="V332" s="179"/>
      <c r="W332" s="330">
        <f>IFERROR(VLOOKUP($D332,'K.KINH TẾ'!$C$10:$AC$27,13,0),0)</f>
        <v>1</v>
      </c>
      <c r="X332" s="330">
        <f>IFERROR(VLOOKUP($D332,'K.KINH TẾ'!$C$10:$AC$27,27,0),0)</f>
        <v>2</v>
      </c>
      <c r="Y332" s="92"/>
      <c r="Z332" s="857"/>
      <c r="AA332" s="850"/>
      <c r="AB332" s="773" t="s">
        <v>82</v>
      </c>
      <c r="AC332" s="1024" t="s">
        <v>1167</v>
      </c>
      <c r="AD332" s="213"/>
      <c r="AE332" s="60" t="b">
        <f>IF($L332=$P332,$L332,FALSE)</f>
        <v>0</v>
      </c>
      <c r="AF332" s="60"/>
      <c r="AG332" s="604" t="s">
        <v>846</v>
      </c>
      <c r="AH332" s="604"/>
      <c r="AI332" s="605">
        <f>AH332/$L329</f>
        <v>0</v>
      </c>
      <c r="AJ332" s="590"/>
      <c r="AK332" s="597" t="s">
        <v>864</v>
      </c>
      <c r="AL332" s="595">
        <f>COUNTIF($BE331:$BE348,"CBQL")</f>
        <v>2</v>
      </c>
      <c r="AM332" s="595">
        <f>COUNTIF($U331:$U332,"A1")</f>
        <v>2</v>
      </c>
      <c r="AN332" s="611">
        <f>AM332/$AL$332</f>
        <v>1</v>
      </c>
      <c r="AO332" s="595">
        <f>COUNTIF($U331:$U332,"A2")</f>
        <v>0</v>
      </c>
      <c r="AP332" s="611">
        <f>AO332/$AL$332</f>
        <v>0</v>
      </c>
      <c r="AQ332" s="595">
        <f>COUNTIF($U331:$U332,"A3")</f>
        <v>0</v>
      </c>
      <c r="AR332" s="611">
        <f>AQ332/$AL$332</f>
        <v>0</v>
      </c>
      <c r="AS332" s="595">
        <f>COUNTIF($U331:$U332,"A4")</f>
        <v>0</v>
      </c>
      <c r="AT332" s="611">
        <f>AS332/$AL$332</f>
        <v>0</v>
      </c>
      <c r="AU332" s="595">
        <f>COUNTIF($U331:$U332,"B1")</f>
        <v>0</v>
      </c>
      <c r="AV332" s="611">
        <f>AU332/$AL$332</f>
        <v>0</v>
      </c>
      <c r="AW332" s="595">
        <f>COUNTIF($U331:$U332,"B2")</f>
        <v>0</v>
      </c>
      <c r="AX332" s="611">
        <f>AW332/$AL$332</f>
        <v>0</v>
      </c>
      <c r="AY332" s="595">
        <f>COUNTIF($U331:$U332,"C1")</f>
        <v>0</v>
      </c>
      <c r="AZ332" s="611">
        <f>AY332/$AL$331</f>
        <v>0</v>
      </c>
      <c r="BA332" s="595">
        <f>COUNTIF($U331:$U332,"C2")</f>
        <v>0</v>
      </c>
      <c r="BB332" s="611">
        <f>BA332/$AL$331</f>
        <v>0</v>
      </c>
      <c r="BD332" s="60" t="s">
        <v>885</v>
      </c>
      <c r="BE332" s="60" t="s">
        <v>866</v>
      </c>
    </row>
    <row r="333" spans="1:59" s="70" customFormat="1" ht="35.25" customHeight="1" x14ac:dyDescent="0.25">
      <c r="A333" s="63">
        <f>IF(D333="","",SUBTOTAL(3,$D$8:D333))</f>
        <v>284</v>
      </c>
      <c r="B333" s="63" t="s">
        <v>21</v>
      </c>
      <c r="C333" s="71" t="s">
        <v>550</v>
      </c>
      <c r="D333" s="89" t="s">
        <v>426</v>
      </c>
      <c r="E333" s="693">
        <f>E332/$AL$333</f>
        <v>0</v>
      </c>
      <c r="F333" s="693">
        <f>F332/$AL$333</f>
        <v>0.25</v>
      </c>
      <c r="G333" s="282" t="str">
        <f t="shared" si="101"/>
        <v>A2</v>
      </c>
      <c r="H333" s="234"/>
      <c r="I333" s="737" t="s">
        <v>965</v>
      </c>
      <c r="J333" s="737" t="s">
        <v>1007</v>
      </c>
      <c r="K333" s="234"/>
      <c r="L333" s="483" t="s">
        <v>85</v>
      </c>
      <c r="M333" s="292"/>
      <c r="N333" s="293">
        <f>IFERROR(VLOOKUP($D333,'K.KINH TẾ'!$C$10:$AC$27,12,0),0)</f>
        <v>1</v>
      </c>
      <c r="O333" s="293">
        <f>IFERROR(VLOOKUP($D333,'K.KINH TẾ'!$C$10:$AC$27,26,0),0)</f>
        <v>2</v>
      </c>
      <c r="P333" s="313" t="str">
        <f t="shared" si="103"/>
        <v>A3</v>
      </c>
      <c r="Q333" s="341" t="str">
        <f t="shared" ref="Q333:Q338" si="104">P333</f>
        <v>A3</v>
      </c>
      <c r="R333" s="315"/>
      <c r="S333" s="693">
        <f>S332/$AL$333</f>
        <v>6.25E-2</v>
      </c>
      <c r="T333" s="693">
        <f>T332/$AL$333</f>
        <v>6.25E-2</v>
      </c>
      <c r="U333" s="176" t="str">
        <f>$Q333</f>
        <v>A3</v>
      </c>
      <c r="V333" s="179"/>
      <c r="W333" s="330">
        <f>IFERROR(VLOOKUP($D333,'K.KINH TẾ'!$C$10:$AC$27,13,0),0)</f>
        <v>1</v>
      </c>
      <c r="X333" s="330">
        <f>IFERROR(VLOOKUP($D333,'K.KINH TẾ'!$C$10:$AC$27,27,0),0)</f>
        <v>1</v>
      </c>
      <c r="Y333" s="89"/>
      <c r="Z333" s="3"/>
      <c r="AA333" s="3"/>
      <c r="AB333" s="228"/>
      <c r="AC333" s="1024"/>
      <c r="AD333" s="213"/>
      <c r="AE333" s="60" t="str">
        <f>IF($L333=$P333,$L333,FALSE)</f>
        <v>A3</v>
      </c>
      <c r="AF333" s="60"/>
      <c r="AG333" s="604"/>
      <c r="AH333" s="593">
        <f>AH331+AH332</f>
        <v>10</v>
      </c>
      <c r="AI333" s="606">
        <f>AI331+AI332</f>
        <v>0.55555555555555558</v>
      </c>
      <c r="AJ333" s="590"/>
      <c r="AK333" s="597" t="s">
        <v>865</v>
      </c>
      <c r="AL333" s="595">
        <f>COUNTIF($BE331:$BE348,"GV") + COUNTIF($BE331:$BE348,"NV")</f>
        <v>16</v>
      </c>
      <c r="AM333" s="595">
        <f>COUNTIF($U333:$U348,"A1")</f>
        <v>1</v>
      </c>
      <c r="AN333" s="611">
        <f>AM333/$AL$333</f>
        <v>6.25E-2</v>
      </c>
      <c r="AO333" s="595">
        <f>COUNTIF($U333:$U348,"A2")</f>
        <v>1</v>
      </c>
      <c r="AP333" s="611">
        <f>AO333/$AL$333</f>
        <v>6.25E-2</v>
      </c>
      <c r="AQ333" s="595">
        <f>COUNTIF($U333:$U348,"A3")</f>
        <v>8</v>
      </c>
      <c r="AR333" s="611">
        <f>AQ333/$AL$333</f>
        <v>0.5</v>
      </c>
      <c r="AS333" s="595">
        <f>COUNTIF($U333:$U348,"A4")</f>
        <v>5</v>
      </c>
      <c r="AT333" s="611">
        <f>AS333/$AL$333</f>
        <v>0.3125</v>
      </c>
      <c r="AU333" s="595">
        <f>COUNTIF($U333:$U348,"B1")</f>
        <v>0</v>
      </c>
      <c r="AV333" s="611">
        <f>AU333/$AL$333</f>
        <v>0</v>
      </c>
      <c r="AW333" s="595">
        <f>COUNTIF($U333:$U348,"B2")</f>
        <v>0</v>
      </c>
      <c r="AX333" s="611">
        <f>AW333/$AL$333</f>
        <v>0</v>
      </c>
      <c r="AY333" s="595">
        <f>COUNTIF($U333:$U348,"C1")</f>
        <v>0</v>
      </c>
      <c r="AZ333" s="611">
        <f>AY333/$AL$331</f>
        <v>0</v>
      </c>
      <c r="BA333" s="595">
        <f>COUNTIF($U333:$U348,"C2")</f>
        <v>0</v>
      </c>
      <c r="BB333" s="611">
        <f>BA333/$AL$331</f>
        <v>0</v>
      </c>
      <c r="BD333" s="60" t="s">
        <v>885</v>
      </c>
      <c r="BE333" s="60" t="s">
        <v>868</v>
      </c>
    </row>
    <row r="334" spans="1:59" s="57" customFormat="1" ht="35.25" customHeight="1" x14ac:dyDescent="0.25">
      <c r="A334" s="63">
        <f>IF(D334="","",SUBTOTAL(3,$D$8:D334))</f>
        <v>285</v>
      </c>
      <c r="B334" s="63"/>
      <c r="C334" s="71" t="s">
        <v>767</v>
      </c>
      <c r="D334" s="89" t="s">
        <v>768</v>
      </c>
      <c r="E334" s="686"/>
      <c r="F334" s="686"/>
      <c r="G334" s="282" t="str">
        <f t="shared" si="101"/>
        <v>A2</v>
      </c>
      <c r="H334" s="234"/>
      <c r="I334" s="737" t="s">
        <v>965</v>
      </c>
      <c r="J334" s="737" t="s">
        <v>1007</v>
      </c>
      <c r="K334" s="239"/>
      <c r="L334" s="483" t="s">
        <v>84</v>
      </c>
      <c r="M334" s="297"/>
      <c r="N334" s="293">
        <f>IFERROR(VLOOKUP($D334,'K.KINH TẾ'!$C$10:$AC$27,12,0),0)</f>
        <v>4</v>
      </c>
      <c r="O334" s="293">
        <f>IFERROR(VLOOKUP($D334,'K.KINH TẾ'!$C$10:$AC$27,26,0),0)</f>
        <v>3</v>
      </c>
      <c r="P334" s="313" t="str">
        <f t="shared" si="103"/>
        <v>A2</v>
      </c>
      <c r="Q334" s="1196" t="s">
        <v>82</v>
      </c>
      <c r="R334" s="315"/>
      <c r="S334" s="675"/>
      <c r="T334" s="675"/>
      <c r="U334" s="176" t="str">
        <f t="shared" ref="U334:U336" si="105">$Q334</f>
        <v>A1</v>
      </c>
      <c r="V334" s="179"/>
      <c r="W334" s="330">
        <f>IFERROR(VLOOKUP($D334,'K.KINH TẾ'!$C$10:$AC$27,13,0),0)</f>
        <v>2</v>
      </c>
      <c r="X334" s="330">
        <f>IFERROR(VLOOKUP($D334,'K.KINH TẾ'!$C$10:$AC$27,27,0),0)</f>
        <v>2</v>
      </c>
      <c r="Y334" s="89"/>
      <c r="Z334" s="2"/>
      <c r="AA334" s="2"/>
      <c r="AB334" s="773" t="s">
        <v>82</v>
      </c>
      <c r="AC334" s="1024" t="s">
        <v>1168</v>
      </c>
      <c r="AD334" s="213"/>
      <c r="AE334" s="60" t="str">
        <f t="shared" ref="AE334:AE391" si="106">IF($L334=$P334,$L334,FALSE)</f>
        <v>A2</v>
      </c>
      <c r="AF334" s="60"/>
      <c r="AG334" s="60"/>
      <c r="AH334" s="542"/>
      <c r="AI334" s="542"/>
      <c r="AK334" s="589"/>
      <c r="AL334" s="589"/>
      <c r="AM334" s="589"/>
      <c r="AN334" s="589"/>
      <c r="AO334" s="589"/>
      <c r="AP334" s="589"/>
      <c r="AQ334" s="589"/>
      <c r="AR334" s="589"/>
      <c r="AS334" s="589"/>
      <c r="AT334" s="589"/>
      <c r="AU334" s="589"/>
      <c r="AV334" s="589"/>
      <c r="AW334" s="589"/>
      <c r="AX334" s="589"/>
      <c r="AY334" s="589"/>
      <c r="AZ334" s="589"/>
      <c r="BA334" s="589"/>
      <c r="BB334" s="589"/>
      <c r="BD334" s="60" t="s">
        <v>885</v>
      </c>
      <c r="BE334" s="60" t="s">
        <v>868</v>
      </c>
    </row>
    <row r="335" spans="1:59" s="70" customFormat="1" ht="35.25" customHeight="1" x14ac:dyDescent="0.25">
      <c r="A335" s="63">
        <f>IF(D335="","",SUBTOTAL(3,$D$8:D335))</f>
        <v>286</v>
      </c>
      <c r="B335" s="63" t="s">
        <v>16</v>
      </c>
      <c r="C335" s="71" t="s">
        <v>547</v>
      </c>
      <c r="D335" s="92" t="s">
        <v>423</v>
      </c>
      <c r="E335" s="652"/>
      <c r="F335" s="652"/>
      <c r="G335" s="282" t="str">
        <f t="shared" si="101"/>
        <v>A2</v>
      </c>
      <c r="H335" s="234"/>
      <c r="I335" s="737" t="s">
        <v>965</v>
      </c>
      <c r="J335" s="737" t="s">
        <v>1007</v>
      </c>
      <c r="K335" s="234"/>
      <c r="L335" s="483" t="s">
        <v>84</v>
      </c>
      <c r="M335" s="295"/>
      <c r="N335" s="293">
        <f>IFERROR(VLOOKUP($D335,'K.KINH TẾ'!$C$10:$AC$27,12,0),0)</f>
        <v>2</v>
      </c>
      <c r="O335" s="293">
        <f>IFERROR(VLOOKUP($D335,'K.KINH TẾ'!$C$10:$AC$27,26,0),0)</f>
        <v>3</v>
      </c>
      <c r="P335" s="313" t="str">
        <f t="shared" si="103"/>
        <v>A3</v>
      </c>
      <c r="Q335" s="341" t="str">
        <f t="shared" si="104"/>
        <v>A3</v>
      </c>
      <c r="R335" s="325"/>
      <c r="S335" s="671"/>
      <c r="T335" s="671"/>
      <c r="U335" s="176" t="str">
        <f t="shared" si="105"/>
        <v>A3</v>
      </c>
      <c r="V335" s="179"/>
      <c r="W335" s="330">
        <f>IFERROR(VLOOKUP($D335,'K.KINH TẾ'!$C$10:$AC$27,13,0),0)</f>
        <v>0</v>
      </c>
      <c r="X335" s="330">
        <f>IFERROR(VLOOKUP($D335,'K.KINH TẾ'!$C$10:$AC$27,27,0),0)</f>
        <v>2</v>
      </c>
      <c r="Y335" s="92"/>
      <c r="Z335" s="3"/>
      <c r="AA335" s="4"/>
      <c r="AB335" s="228"/>
      <c r="AC335" s="1024"/>
      <c r="AD335" s="588"/>
      <c r="AE335" s="60" t="b">
        <f>IF($L335=$P335,$L335,FALSE)</f>
        <v>0</v>
      </c>
      <c r="AF335" s="60"/>
      <c r="AG335" s="60"/>
      <c r="BD335" s="60" t="s">
        <v>885</v>
      </c>
      <c r="BE335" s="60" t="s">
        <v>868</v>
      </c>
    </row>
    <row r="336" spans="1:59" s="70" customFormat="1" ht="35.25" customHeight="1" x14ac:dyDescent="0.25">
      <c r="A336" s="63">
        <f>IF(D336="","",SUBTOTAL(3,$D$8:D336))</f>
        <v>287</v>
      </c>
      <c r="B336" s="63" t="s">
        <v>6</v>
      </c>
      <c r="C336" s="71" t="s">
        <v>541</v>
      </c>
      <c r="D336" s="89" t="s">
        <v>417</v>
      </c>
      <c r="E336" s="652"/>
      <c r="F336" s="652"/>
      <c r="G336" s="282" t="str">
        <f t="shared" si="101"/>
        <v>A3</v>
      </c>
      <c r="H336" s="234"/>
      <c r="I336" s="234"/>
      <c r="J336" s="737" t="s">
        <v>1006</v>
      </c>
      <c r="K336" s="234"/>
      <c r="L336" s="483" t="s">
        <v>85</v>
      </c>
      <c r="M336" s="292"/>
      <c r="N336" s="293">
        <f>IFERROR(VLOOKUP($D336,'K.KINH TẾ'!$C$10:$AC$27,12,0),0)</f>
        <v>1</v>
      </c>
      <c r="O336" s="293">
        <f>IFERROR(VLOOKUP($D336,'K.KINH TẾ'!$C$10:$AC$27,26,0),0)</f>
        <v>2</v>
      </c>
      <c r="P336" s="313" t="str">
        <f t="shared" si="103"/>
        <v>A3</v>
      </c>
      <c r="Q336" s="341" t="str">
        <f t="shared" si="104"/>
        <v>A3</v>
      </c>
      <c r="R336" s="319"/>
      <c r="S336" s="672"/>
      <c r="T336" s="672"/>
      <c r="U336" s="176" t="str">
        <f t="shared" si="105"/>
        <v>A3</v>
      </c>
      <c r="V336" s="180"/>
      <c r="W336" s="330">
        <f>IFERROR(VLOOKUP($D336,'K.KINH TẾ'!$C$10:$AC$27,13,0),0)</f>
        <v>0</v>
      </c>
      <c r="X336" s="330">
        <f>IFERROR(VLOOKUP($D336,'K.KINH TẾ'!$C$10:$AC$27,27,0),0)</f>
        <v>2</v>
      </c>
      <c r="Y336" s="89"/>
      <c r="Z336" s="857"/>
      <c r="AA336" s="850"/>
      <c r="AB336" s="228"/>
      <c r="AC336" s="1024"/>
      <c r="AD336" s="588"/>
      <c r="AE336" s="60" t="str">
        <f t="shared" si="106"/>
        <v>A3</v>
      </c>
      <c r="AF336" s="60"/>
      <c r="AG336" s="60"/>
      <c r="BD336" s="60" t="s">
        <v>885</v>
      </c>
      <c r="BE336" s="60" t="s">
        <v>868</v>
      </c>
    </row>
    <row r="337" spans="1:59" s="70" customFormat="1" ht="35.25" customHeight="1" x14ac:dyDescent="0.25">
      <c r="A337" s="63">
        <f>IF(D337="","",SUBTOTAL(3,$D$8:D337))</f>
        <v>288</v>
      </c>
      <c r="B337" s="63" t="s">
        <v>10</v>
      </c>
      <c r="C337" s="71" t="s">
        <v>542</v>
      </c>
      <c r="D337" s="92" t="s">
        <v>418</v>
      </c>
      <c r="E337" s="652"/>
      <c r="F337" s="652"/>
      <c r="G337" s="282" t="str">
        <f t="shared" si="101"/>
        <v>A3</v>
      </c>
      <c r="H337" s="234"/>
      <c r="I337" s="234"/>
      <c r="J337" s="737" t="s">
        <v>1006</v>
      </c>
      <c r="K337" s="234"/>
      <c r="L337" s="483" t="s">
        <v>83</v>
      </c>
      <c r="M337" s="295"/>
      <c r="N337" s="293">
        <f>IFERROR(VLOOKUP($D337,'K.KINH TẾ'!$C$10:$AC$27,12,0),0)</f>
        <v>0</v>
      </c>
      <c r="O337" s="293">
        <f>IFERROR(VLOOKUP($D337,'K.KINH TẾ'!$C$10:$AC$27,26,0),0)</f>
        <v>1</v>
      </c>
      <c r="P337" s="313" t="str">
        <f t="shared" si="103"/>
        <v>A4</v>
      </c>
      <c r="Q337" s="341" t="str">
        <f t="shared" si="104"/>
        <v>A4</v>
      </c>
      <c r="R337" s="325"/>
      <c r="S337" s="671"/>
      <c r="T337" s="671"/>
      <c r="U337" s="176" t="str">
        <f t="shared" ref="U337:U346" si="107">$Q337</f>
        <v>A4</v>
      </c>
      <c r="V337" s="179"/>
      <c r="W337" s="330">
        <f>IFERROR(VLOOKUP($D337,'K.KINH TẾ'!$C$10:$AC$27,13,0),0)</f>
        <v>0</v>
      </c>
      <c r="X337" s="330">
        <f>IFERROR(VLOOKUP($D337,'K.KINH TẾ'!$C$10:$AC$27,27,0),0)</f>
        <v>1</v>
      </c>
      <c r="Y337" s="92"/>
      <c r="Z337" s="2"/>
      <c r="AA337" s="2"/>
      <c r="AB337" s="228"/>
      <c r="AC337" s="565"/>
      <c r="AD337" s="588"/>
      <c r="AE337" s="60" t="str">
        <f t="shared" si="106"/>
        <v>A4</v>
      </c>
      <c r="AF337" s="60"/>
      <c r="AG337" s="60"/>
      <c r="BD337" s="60" t="s">
        <v>885</v>
      </c>
      <c r="BE337" s="60" t="s">
        <v>868</v>
      </c>
    </row>
    <row r="338" spans="1:59" s="78" customFormat="1" ht="35.25" customHeight="1" x14ac:dyDescent="0.25">
      <c r="A338" s="63">
        <f>IF(D338="","",SUBTOTAL(3,$D$8:D338))</f>
        <v>289</v>
      </c>
      <c r="B338" s="63" t="s">
        <v>12</v>
      </c>
      <c r="C338" s="10" t="s">
        <v>450</v>
      </c>
      <c r="D338" s="185" t="s">
        <v>614</v>
      </c>
      <c r="E338" s="686"/>
      <c r="F338" s="686"/>
      <c r="G338" s="282" t="str">
        <f t="shared" si="101"/>
        <v>A2</v>
      </c>
      <c r="H338" s="234"/>
      <c r="I338" s="737" t="s">
        <v>966</v>
      </c>
      <c r="J338" s="737" t="s">
        <v>954</v>
      </c>
      <c r="K338" s="239"/>
      <c r="L338" s="483" t="s">
        <v>84</v>
      </c>
      <c r="M338" s="295"/>
      <c r="N338" s="293">
        <f>IFERROR(VLOOKUP($D338,'K.KINH TẾ'!$C$10:$AC$27,12,0),0)</f>
        <v>2</v>
      </c>
      <c r="O338" s="293">
        <f>IFERROR(VLOOKUP($D338,'K.KINH TẾ'!$C$10:$AC$27,26,0),0)</f>
        <v>3</v>
      </c>
      <c r="P338" s="313" t="str">
        <f t="shared" si="103"/>
        <v>A3</v>
      </c>
      <c r="Q338" s="341" t="str">
        <f t="shared" si="104"/>
        <v>A3</v>
      </c>
      <c r="R338" s="315"/>
      <c r="S338" s="672"/>
      <c r="T338" s="672"/>
      <c r="U338" s="176" t="str">
        <f>$Q338</f>
        <v>A3</v>
      </c>
      <c r="V338" s="179"/>
      <c r="W338" s="330">
        <f>IFERROR(VLOOKUP($D338,'K.KINH TẾ'!$C$10:$AC$27,13,0),0)</f>
        <v>0</v>
      </c>
      <c r="X338" s="330">
        <f>IFERROR(VLOOKUP($D338,'K.KINH TẾ'!$C$10:$AC$27,27,0),0)</f>
        <v>2</v>
      </c>
      <c r="Y338" s="333">
        <v>1</v>
      </c>
      <c r="Z338" s="2"/>
      <c r="AA338" s="2"/>
      <c r="AB338" s="228"/>
      <c r="AC338" s="1024"/>
      <c r="AD338" s="213"/>
      <c r="AE338" s="60" t="b">
        <f>IF($L338=$P338,$L338,FALSE)</f>
        <v>0</v>
      </c>
      <c r="AF338" s="60"/>
      <c r="AG338" s="60"/>
      <c r="BD338" s="60" t="s">
        <v>885</v>
      </c>
      <c r="BE338" s="60" t="s">
        <v>868</v>
      </c>
    </row>
    <row r="339" spans="1:59" s="78" customFormat="1" ht="73.5" customHeight="1" x14ac:dyDescent="0.25">
      <c r="A339" s="63">
        <f>IF(D339="","",SUBTOTAL(3,$D$8:D339))</f>
        <v>290</v>
      </c>
      <c r="B339" s="63"/>
      <c r="C339" s="10" t="s">
        <v>856</v>
      </c>
      <c r="D339" s="185" t="s">
        <v>863</v>
      </c>
      <c r="E339" s="686"/>
      <c r="F339" s="686"/>
      <c r="G339" s="282" t="str">
        <f t="shared" si="101"/>
        <v>A4</v>
      </c>
      <c r="H339" s="234"/>
      <c r="I339" s="234"/>
      <c r="J339" s="234"/>
      <c r="K339" s="755" t="s">
        <v>1063</v>
      </c>
      <c r="L339" s="483" t="s">
        <v>83</v>
      </c>
      <c r="M339" s="295"/>
      <c r="N339" s="293">
        <f>IFERROR(VLOOKUP($D339,'K.KINH TẾ'!$C$10:$AC$27,12,0),0)</f>
        <v>1</v>
      </c>
      <c r="O339" s="293">
        <f>IFERROR(VLOOKUP($D339,'K.KINH TẾ'!$C$10:$AC$27,26,0),0)</f>
        <v>1</v>
      </c>
      <c r="P339" s="313" t="str">
        <f t="shared" si="103"/>
        <v>A4</v>
      </c>
      <c r="Q339" s="1196" t="s">
        <v>85</v>
      </c>
      <c r="R339" s="315"/>
      <c r="S339" s="672"/>
      <c r="T339" s="672"/>
      <c r="U339" s="176" t="str">
        <f>$Q339</f>
        <v>A3</v>
      </c>
      <c r="V339" s="179"/>
      <c r="W339" s="330">
        <f>IFERROR(VLOOKUP($D339,'K.KINH TẾ'!$C$10:$AC$27,13,0),0)</f>
        <v>1</v>
      </c>
      <c r="X339" s="330">
        <f>IFERROR(VLOOKUP($D339,'K.KINH TẾ'!$C$10:$AC$27,27,0),0)</f>
        <v>1</v>
      </c>
      <c r="Y339" s="333"/>
      <c r="Z339" s="68"/>
      <c r="AA339" s="2"/>
      <c r="AB339" s="228" t="s">
        <v>85</v>
      </c>
      <c r="AC339" s="1024" t="s">
        <v>1170</v>
      </c>
      <c r="AD339" s="213"/>
      <c r="AE339" s="60" t="str">
        <f t="shared" ref="AE339:AE340" si="108">IF($L339=$P339,$L339,FALSE)</f>
        <v>A4</v>
      </c>
      <c r="AF339" s="60"/>
      <c r="AG339" s="60"/>
      <c r="BD339" s="60" t="s">
        <v>885</v>
      </c>
      <c r="BE339" s="60" t="s">
        <v>868</v>
      </c>
    </row>
    <row r="340" spans="1:59" s="78" customFormat="1" ht="70.5" customHeight="1" x14ac:dyDescent="0.25">
      <c r="A340" s="63">
        <f>IF(D340="","",SUBTOTAL(3,$D$8:D340))</f>
        <v>291</v>
      </c>
      <c r="B340" s="63"/>
      <c r="C340" s="10" t="s">
        <v>855</v>
      </c>
      <c r="D340" s="185" t="s">
        <v>862</v>
      </c>
      <c r="E340" s="686"/>
      <c r="F340" s="686"/>
      <c r="G340" s="282" t="str">
        <f t="shared" si="101"/>
        <v>A4</v>
      </c>
      <c r="H340" s="234"/>
      <c r="I340" s="234"/>
      <c r="J340" s="234"/>
      <c r="K340" s="239"/>
      <c r="L340" s="483" t="s">
        <v>83</v>
      </c>
      <c r="M340" s="295"/>
      <c r="N340" s="293">
        <f>IFERROR(VLOOKUP($D340,'K.KINH TẾ'!$C$10:$AC$27,12,0),0)</f>
        <v>3</v>
      </c>
      <c r="O340" s="293">
        <f>IFERROR(VLOOKUP($D340,'K.KINH TẾ'!$C$10:$AC$27,26,0),0)</f>
        <v>2</v>
      </c>
      <c r="P340" s="313" t="str">
        <f t="shared" si="103"/>
        <v>A4</v>
      </c>
      <c r="Q340" s="1196" t="s">
        <v>85</v>
      </c>
      <c r="R340" s="315"/>
      <c r="S340" s="672"/>
      <c r="T340" s="672"/>
      <c r="U340" s="176" t="str">
        <f>$Q340</f>
        <v>A3</v>
      </c>
      <c r="V340" s="179"/>
      <c r="W340" s="330">
        <f>IFERROR(VLOOKUP($D340,'K.KINH TẾ'!$C$10:$AC$27,13,0),0)</f>
        <v>1</v>
      </c>
      <c r="X340" s="330">
        <f>IFERROR(VLOOKUP($D340,'K.KINH TẾ'!$C$10:$AC$27,27,0),0)</f>
        <v>2</v>
      </c>
      <c r="Y340" s="333"/>
      <c r="Z340" s="2"/>
      <c r="AA340" s="2"/>
      <c r="AB340" s="228" t="s">
        <v>85</v>
      </c>
      <c r="AC340" s="1024" t="s">
        <v>1169</v>
      </c>
      <c r="AD340" s="213"/>
      <c r="AE340" s="60" t="str">
        <f t="shared" si="108"/>
        <v>A4</v>
      </c>
      <c r="AF340" s="60"/>
      <c r="AG340" s="60"/>
      <c r="BD340" s="60" t="s">
        <v>885</v>
      </c>
      <c r="BE340" s="60" t="s">
        <v>868</v>
      </c>
    </row>
    <row r="341" spans="1:59" s="70" customFormat="1" ht="62.25" customHeight="1" x14ac:dyDescent="0.25">
      <c r="A341" s="63">
        <f>IF(D341="","",SUBTOTAL(3,$D$8:D341))</f>
        <v>292</v>
      </c>
      <c r="B341" s="63"/>
      <c r="C341" s="71" t="s">
        <v>769</v>
      </c>
      <c r="D341" s="89" t="s">
        <v>770</v>
      </c>
      <c r="E341" s="652"/>
      <c r="F341" s="652"/>
      <c r="G341" s="282" t="str">
        <f t="shared" si="101"/>
        <v>A2</v>
      </c>
      <c r="H341" s="234"/>
      <c r="I341" s="737" t="s">
        <v>966</v>
      </c>
      <c r="J341" s="737" t="s">
        <v>1007</v>
      </c>
      <c r="K341" s="234"/>
      <c r="L341" s="483" t="s">
        <v>20</v>
      </c>
      <c r="M341" s="290" t="s">
        <v>1077</v>
      </c>
      <c r="N341" s="293">
        <f>IFERROR(VLOOKUP($D341,'K.KINH TẾ'!$C$10:$AC$27,12,0),0)</f>
        <v>0</v>
      </c>
      <c r="O341" s="293">
        <f>IFERROR(VLOOKUP($D341,'K.KINH TẾ'!$C$10:$AC$27,26,0),0)</f>
        <v>0</v>
      </c>
      <c r="P341" s="313" t="s">
        <v>20</v>
      </c>
      <c r="Q341" s="341" t="str">
        <f t="shared" si="102"/>
        <v>A DN</v>
      </c>
      <c r="R341" s="868" t="str">
        <f>M341</f>
        <v>Đi học nước ngoài từ ngày 01/3/2023</v>
      </c>
      <c r="S341" s="672"/>
      <c r="T341" s="672"/>
      <c r="U341" s="176" t="str">
        <f t="shared" si="107"/>
        <v>A DN</v>
      </c>
      <c r="V341" s="867" t="s">
        <v>1077</v>
      </c>
      <c r="W341" s="330">
        <f>IFERROR(VLOOKUP($D341,'K.KINH TẾ'!$C$10:$AC$27,13,0),0)</f>
        <v>0</v>
      </c>
      <c r="X341" s="330">
        <f>IFERROR(VLOOKUP($D341,'K.KINH TẾ'!$C$10:$AC$27,27,0),0)</f>
        <v>0</v>
      </c>
      <c r="Y341" s="89"/>
      <c r="Z341" s="857"/>
      <c r="AA341" s="850"/>
      <c r="AB341" s="777"/>
      <c r="AC341" s="337"/>
      <c r="AD341" s="588"/>
      <c r="AE341" s="60" t="str">
        <f t="shared" si="106"/>
        <v>A DN</v>
      </c>
      <c r="AF341" s="60"/>
      <c r="AG341" s="60"/>
      <c r="BD341" s="60" t="s">
        <v>885</v>
      </c>
      <c r="BE341" s="60" t="s">
        <v>868</v>
      </c>
    </row>
    <row r="342" spans="1:59" s="57" customFormat="1" ht="35.25" customHeight="1" x14ac:dyDescent="0.25">
      <c r="A342" s="63">
        <f>IF(D342="","",SUBTOTAL(3,$D$8:D342))</f>
        <v>293</v>
      </c>
      <c r="B342" s="63" t="s">
        <v>13</v>
      </c>
      <c r="C342" s="71" t="s">
        <v>544</v>
      </c>
      <c r="D342" s="89" t="s">
        <v>420</v>
      </c>
      <c r="E342" s="652"/>
      <c r="F342" s="652"/>
      <c r="G342" s="282" t="str">
        <f t="shared" si="101"/>
        <v>A2</v>
      </c>
      <c r="H342" s="234"/>
      <c r="I342" s="737" t="s">
        <v>966</v>
      </c>
      <c r="J342" s="737" t="s">
        <v>1006</v>
      </c>
      <c r="K342" s="234"/>
      <c r="L342" s="483" t="s">
        <v>85</v>
      </c>
      <c r="M342" s="295"/>
      <c r="N342" s="293">
        <f>IFERROR(VLOOKUP($D342,'K.KINH TẾ'!$C$10:$AC$27,12,0),0)</f>
        <v>1</v>
      </c>
      <c r="O342" s="293">
        <f>IFERROR(VLOOKUP($D342,'K.KINH TẾ'!$C$10:$AC$27,26,0),0)</f>
        <v>3</v>
      </c>
      <c r="P342" s="313" t="str">
        <f t="shared" ref="P342" si="109">IF(AND($W342&gt;=2,$X342&gt;=3,H342&lt;&gt;0),"A1",IF(AND($W342&gt;=3,$X342&gt;=1,H342&lt;&gt;0),"A1",IF(AND($W342&gt;=2,$X342&gt;=2,I342&lt;&gt;0),"A2",IF(AND($W342&gt;=3,$X342&gt;=0,I342&lt;&gt;0),"A2",IF(AND(OR($W342&gt;=1,$X342&gt;=2),J342&lt;&gt;0),"A3","A4")))))</f>
        <v>A3</v>
      </c>
      <c r="Q342" s="341" t="str">
        <f t="shared" si="102"/>
        <v>A3</v>
      </c>
      <c r="R342" s="347"/>
      <c r="S342" s="668"/>
      <c r="T342" s="668"/>
      <c r="U342" s="176" t="str">
        <f t="shared" si="107"/>
        <v>A3</v>
      </c>
      <c r="V342" s="179">
        <f>R342</f>
        <v>0</v>
      </c>
      <c r="W342" s="330">
        <f>IFERROR(VLOOKUP($D342,'K.KINH TẾ'!$C$10:$AC$27,13,0),0)</f>
        <v>2</v>
      </c>
      <c r="X342" s="330">
        <f>IFERROR(VLOOKUP($D342,'K.KINH TẾ'!$C$10:$AC$27,27,0),0)</f>
        <v>1</v>
      </c>
      <c r="Y342" s="89"/>
      <c r="Z342" s="859"/>
      <c r="AA342" s="2"/>
      <c r="AB342" s="777"/>
      <c r="AC342" s="337"/>
      <c r="AD342" s="588"/>
      <c r="AE342" s="60" t="str">
        <f t="shared" si="106"/>
        <v>A3</v>
      </c>
      <c r="AF342" s="60"/>
      <c r="AG342" s="60"/>
      <c r="AH342" s="542"/>
      <c r="AI342" s="542"/>
      <c r="AK342" s="589"/>
      <c r="AL342" s="589"/>
      <c r="AM342" s="589"/>
      <c r="AN342" s="589"/>
      <c r="AO342" s="589"/>
      <c r="AP342" s="589"/>
      <c r="AQ342" s="589"/>
      <c r="AR342" s="589"/>
      <c r="AS342" s="589"/>
      <c r="AT342" s="589"/>
      <c r="AU342" s="589"/>
      <c r="AV342" s="589"/>
      <c r="AW342" s="589"/>
      <c r="AX342" s="589"/>
      <c r="AY342" s="589"/>
      <c r="AZ342" s="589"/>
      <c r="BA342" s="589"/>
      <c r="BB342" s="589"/>
      <c r="BD342" s="60" t="s">
        <v>885</v>
      </c>
      <c r="BE342" s="60" t="s">
        <v>868</v>
      </c>
    </row>
    <row r="343" spans="1:59" s="57" customFormat="1" ht="69.75" customHeight="1" x14ac:dyDescent="0.25">
      <c r="A343" s="63">
        <f>IF(D343="","",SUBTOTAL(3,$D$8:D343))</f>
        <v>294</v>
      </c>
      <c r="B343" s="63" t="s">
        <v>14</v>
      </c>
      <c r="C343" s="71" t="s">
        <v>545</v>
      </c>
      <c r="D343" s="89" t="s">
        <v>421</v>
      </c>
      <c r="E343" s="652"/>
      <c r="F343" s="652"/>
      <c r="G343" s="282" t="str">
        <f t="shared" si="101"/>
        <v>A4</v>
      </c>
      <c r="H343" s="234"/>
      <c r="I343" s="234"/>
      <c r="J343" s="234"/>
      <c r="K343" s="234"/>
      <c r="L343" s="483" t="s">
        <v>83</v>
      </c>
      <c r="M343" s="295"/>
      <c r="N343" s="293">
        <f>IFERROR(VLOOKUP($D343,'K.KINH TẾ'!$C$10:$AC$27,12,0),0)</f>
        <v>1</v>
      </c>
      <c r="O343" s="293">
        <f>IFERROR(VLOOKUP($D343,'K.KINH TẾ'!$C$10:$AC$27,26,0),0)</f>
        <v>2</v>
      </c>
      <c r="P343" s="313" t="str">
        <f t="shared" ref="P343:P346" si="110">IF(AND($W343&gt;=2,$X343&gt;=3,H343&lt;&gt;0),"A1",IF(AND($W343&gt;=3,$X343&gt;=1,H343&lt;&gt;0),"A1",IF(AND($W343&gt;=2,$X343&gt;=2,I343&lt;&gt;0),"A2",IF(AND($W343&gt;=3,$X343&gt;=0,I343&lt;&gt;0),"A2",IF(AND(OR($W343&gt;=1,$X343&gt;=2),J343&lt;&gt;0),"A3","A4")))))</f>
        <v>A4</v>
      </c>
      <c r="Q343" s="341" t="str">
        <f t="shared" si="102"/>
        <v>A4</v>
      </c>
      <c r="R343" s="315"/>
      <c r="S343" s="683"/>
      <c r="T343" s="683"/>
      <c r="U343" s="176" t="str">
        <f t="shared" si="107"/>
        <v>A4</v>
      </c>
      <c r="V343" s="179"/>
      <c r="W343" s="330">
        <f>IFERROR(VLOOKUP($D343,'K.KINH TẾ'!$C$10:$AC$27,13,0),0)</f>
        <v>0</v>
      </c>
      <c r="X343" s="330">
        <f>IFERROR(VLOOKUP($D343,'K.KINH TẾ'!$C$10:$AC$27,27,0),0)</f>
        <v>1</v>
      </c>
      <c r="Y343" s="89"/>
      <c r="Z343" s="859"/>
      <c r="AA343" s="2"/>
      <c r="AB343" s="228" t="s">
        <v>85</v>
      </c>
      <c r="AC343" s="1024" t="s">
        <v>1169</v>
      </c>
      <c r="AD343" s="213"/>
      <c r="AE343" s="60" t="str">
        <f t="shared" si="106"/>
        <v>A4</v>
      </c>
      <c r="AF343" s="60"/>
      <c r="AG343" s="60"/>
      <c r="AH343" s="542"/>
      <c r="AI343" s="542"/>
      <c r="AK343" s="589"/>
      <c r="AL343" s="589"/>
      <c r="AM343" s="589"/>
      <c r="AN343" s="589"/>
      <c r="AO343" s="589"/>
      <c r="AP343" s="589"/>
      <c r="AQ343" s="589"/>
      <c r="AR343" s="589"/>
      <c r="AS343" s="589"/>
      <c r="AT343" s="589"/>
      <c r="AU343" s="589"/>
      <c r="AV343" s="589"/>
      <c r="AW343" s="589"/>
      <c r="AX343" s="589"/>
      <c r="AY343" s="589"/>
      <c r="AZ343" s="589"/>
      <c r="BA343" s="589"/>
      <c r="BB343" s="589"/>
      <c r="BD343" s="60" t="s">
        <v>885</v>
      </c>
      <c r="BE343" s="60" t="s">
        <v>868</v>
      </c>
    </row>
    <row r="344" spans="1:59" s="70" customFormat="1" ht="36.75" customHeight="1" x14ac:dyDescent="0.25">
      <c r="A344" s="63">
        <f>IF(D344="","",SUBTOTAL(3,$D$8:D344))</f>
        <v>295</v>
      </c>
      <c r="B344" s="63" t="s">
        <v>15</v>
      </c>
      <c r="C344" s="71" t="s">
        <v>546</v>
      </c>
      <c r="D344" s="89" t="s">
        <v>422</v>
      </c>
      <c r="E344" s="652"/>
      <c r="F344" s="652"/>
      <c r="G344" s="282" t="str">
        <f t="shared" si="101"/>
        <v>A2</v>
      </c>
      <c r="H344" s="234"/>
      <c r="I344" s="737" t="s">
        <v>965</v>
      </c>
      <c r="J344" s="737" t="s">
        <v>1007</v>
      </c>
      <c r="K344" s="234"/>
      <c r="L344" s="483" t="s">
        <v>85</v>
      </c>
      <c r="M344" s="292"/>
      <c r="N344" s="293">
        <f>IFERROR(VLOOKUP($D344,'K.KINH TẾ'!$C$10:$AC$27,12,0),0)</f>
        <v>0</v>
      </c>
      <c r="O344" s="293">
        <f>IFERROR(VLOOKUP($D344,'K.KINH TẾ'!$C$10:$AC$27,26,0),0)</f>
        <v>3</v>
      </c>
      <c r="P344" s="313" t="str">
        <f t="shared" si="110"/>
        <v>A4</v>
      </c>
      <c r="Q344" s="341" t="str">
        <f t="shared" ref="Q344:Q347" si="111">P344</f>
        <v>A4</v>
      </c>
      <c r="R344" s="315"/>
      <c r="S344" s="672"/>
      <c r="T344" s="672"/>
      <c r="U344" s="176" t="str">
        <f t="shared" si="107"/>
        <v>A4</v>
      </c>
      <c r="V344" s="180"/>
      <c r="W344" s="330">
        <f>IFERROR(VLOOKUP($D344,'K.KINH TẾ'!$C$10:$AC$27,13,0),0)</f>
        <v>0</v>
      </c>
      <c r="X344" s="330">
        <f>IFERROR(VLOOKUP($D344,'K.KINH TẾ'!$C$10:$AC$27,27,0),0)</f>
        <v>1</v>
      </c>
      <c r="Y344" s="89"/>
      <c r="Z344" s="857"/>
      <c r="AA344" s="850"/>
      <c r="AB344" s="228"/>
      <c r="AC344" s="565"/>
      <c r="AD344" s="588"/>
      <c r="AE344" s="60" t="b">
        <f t="shared" si="106"/>
        <v>0</v>
      </c>
      <c r="AF344" s="60"/>
      <c r="AG344" s="60"/>
      <c r="BD344" s="60" t="s">
        <v>885</v>
      </c>
      <c r="BE344" s="60" t="s">
        <v>868</v>
      </c>
    </row>
    <row r="345" spans="1:59" s="70" customFormat="1" ht="46.5" customHeight="1" x14ac:dyDescent="0.25">
      <c r="A345" s="63">
        <f>IF(D345="","",SUBTOTAL(3,$D$8:D345))</f>
        <v>296</v>
      </c>
      <c r="B345" s="63" t="s">
        <v>17</v>
      </c>
      <c r="C345" s="71" t="s">
        <v>548</v>
      </c>
      <c r="D345" s="92" t="s">
        <v>424</v>
      </c>
      <c r="E345" s="652"/>
      <c r="F345" s="652"/>
      <c r="G345" s="282" t="str">
        <f t="shared" si="101"/>
        <v>A2</v>
      </c>
      <c r="H345" s="234"/>
      <c r="I345" s="737" t="s">
        <v>965</v>
      </c>
      <c r="J345" s="737" t="s">
        <v>1007</v>
      </c>
      <c r="K345" s="234"/>
      <c r="L345" s="483" t="s">
        <v>84</v>
      </c>
      <c r="M345" s="288"/>
      <c r="N345" s="293">
        <f>IFERROR(VLOOKUP($D345,'K.KINH TẾ'!$C$10:$AC$27,12,0),0)</f>
        <v>4</v>
      </c>
      <c r="O345" s="293">
        <f>IFERROR(VLOOKUP($D345,'K.KINH TẾ'!$C$10:$AC$27,26,0),0)</f>
        <v>2</v>
      </c>
      <c r="P345" s="313" t="str">
        <f t="shared" si="110"/>
        <v>A2</v>
      </c>
      <c r="Q345" s="341" t="str">
        <f t="shared" si="111"/>
        <v>A2</v>
      </c>
      <c r="R345" s="315"/>
      <c r="S345" s="685"/>
      <c r="T345" s="685"/>
      <c r="U345" s="176" t="str">
        <f t="shared" si="107"/>
        <v>A2</v>
      </c>
      <c r="V345" s="179"/>
      <c r="W345" s="330">
        <f>IFERROR(VLOOKUP($D345,'K.KINH TẾ'!$C$10:$AC$27,13,0),0)</f>
        <v>4</v>
      </c>
      <c r="X345" s="330">
        <f>IFERROR(VLOOKUP($D345,'K.KINH TẾ'!$C$10:$AC$27,27,0),0)</f>
        <v>1</v>
      </c>
      <c r="Y345" s="92"/>
      <c r="Z345" s="859"/>
      <c r="AA345" s="857"/>
      <c r="AB345" s="778"/>
      <c r="AC345" s="1024"/>
      <c r="AD345" s="213"/>
      <c r="AE345" s="60" t="str">
        <f t="shared" si="106"/>
        <v>A2</v>
      </c>
      <c r="AF345" s="60"/>
      <c r="AG345" s="60"/>
      <c r="BD345" s="60" t="s">
        <v>885</v>
      </c>
      <c r="BE345" s="60" t="s">
        <v>868</v>
      </c>
    </row>
    <row r="346" spans="1:59" s="70" customFormat="1" ht="38.25" customHeight="1" x14ac:dyDescent="0.25">
      <c r="A346" s="63">
        <f>IF(D346="","",SUBTOTAL(3,$D$8:D346))</f>
        <v>297</v>
      </c>
      <c r="B346" s="63" t="s">
        <v>19</v>
      </c>
      <c r="C346" s="71" t="s">
        <v>549</v>
      </c>
      <c r="D346" s="92" t="s">
        <v>425</v>
      </c>
      <c r="E346" s="652"/>
      <c r="F346" s="652"/>
      <c r="G346" s="282" t="str">
        <f t="shared" si="101"/>
        <v>A2</v>
      </c>
      <c r="H346" s="234"/>
      <c r="I346" s="737" t="s">
        <v>965</v>
      </c>
      <c r="J346" s="737" t="s">
        <v>1007</v>
      </c>
      <c r="K346" s="234"/>
      <c r="L346" s="483" t="s">
        <v>83</v>
      </c>
      <c r="M346" s="295"/>
      <c r="N346" s="293">
        <f>IFERROR(VLOOKUP($D346,'K.KINH TẾ'!$C$10:$AC$27,12,0),0)</f>
        <v>0</v>
      </c>
      <c r="O346" s="293">
        <f>IFERROR(VLOOKUP($D346,'K.KINH TẾ'!$C$10:$AC$27,26,0),0)</f>
        <v>1</v>
      </c>
      <c r="P346" s="313" t="str">
        <f t="shared" si="110"/>
        <v>A4</v>
      </c>
      <c r="Q346" s="341" t="str">
        <f t="shared" si="111"/>
        <v>A4</v>
      </c>
      <c r="R346" s="325"/>
      <c r="S346" s="671"/>
      <c r="T346" s="671"/>
      <c r="U346" s="176" t="str">
        <f t="shared" si="107"/>
        <v>A4</v>
      </c>
      <c r="V346" s="179"/>
      <c r="W346" s="330">
        <f>IFERROR(VLOOKUP($D346,'K.KINH TẾ'!$C$10:$AC$27,13,0),0)</f>
        <v>0</v>
      </c>
      <c r="X346" s="330">
        <f>IFERROR(VLOOKUP($D346,'K.KINH TẾ'!$C$10:$AC$27,27,0),0)</f>
        <v>1</v>
      </c>
      <c r="Y346" s="92"/>
      <c r="Z346" s="842"/>
      <c r="AA346" s="842"/>
      <c r="AB346" s="228"/>
      <c r="AC346" s="565"/>
      <c r="AD346" s="588"/>
      <c r="AE346" s="60" t="str">
        <f t="shared" si="106"/>
        <v>A4</v>
      </c>
      <c r="AF346" s="60"/>
      <c r="AG346" s="60"/>
      <c r="BD346" s="60" t="s">
        <v>885</v>
      </c>
      <c r="BE346" s="60" t="s">
        <v>868</v>
      </c>
    </row>
    <row r="347" spans="1:59" s="78" customFormat="1" ht="72" customHeight="1" x14ac:dyDescent="0.25">
      <c r="A347" s="63">
        <f>IF(D347="","",SUBTOTAL(3,$D$8:D347))</f>
        <v>298</v>
      </c>
      <c r="B347" s="63"/>
      <c r="C347" s="364" t="s">
        <v>1129</v>
      </c>
      <c r="D347" s="454" t="s">
        <v>1130</v>
      </c>
      <c r="E347" s="686"/>
      <c r="F347" s="686"/>
      <c r="G347" s="282" t="str">
        <f>IF($H347&lt;&gt;0,"A1",IF($I347&lt;&gt;0,"A2",IF($J347&lt;&gt;0,"A3","A4")))</f>
        <v>A4</v>
      </c>
      <c r="H347" s="234"/>
      <c r="I347" s="234"/>
      <c r="J347" s="234"/>
      <c r="K347" s="239"/>
      <c r="L347" s="483" t="s">
        <v>83</v>
      </c>
      <c r="M347" s="295"/>
      <c r="N347" s="293">
        <f>IFERROR(VLOOKUP($D347,'K.KINH TẾ'!$C$10:$AC$27,12,0),0)</f>
        <v>1</v>
      </c>
      <c r="O347" s="293">
        <f>IFERROR(VLOOKUP($D347,'K.KINH TẾ'!$C$10:$AC$27,26,0),0)</f>
        <v>1</v>
      </c>
      <c r="P347" s="313" t="str">
        <f>IF(AND($W347&gt;=2,$X347&gt;=3,H347&lt;&gt;0),"A1",IF(AND($W347&gt;=3,$X347&gt;=1,H347&lt;&gt;0),"A1",IF(AND($W347&gt;=2,$X347&gt;=2,I347&lt;&gt;0),"A2",IF(AND($W347&gt;=3,$X347&gt;=0,I347&lt;&gt;0),"A2",IF(AND(OR($W347&gt;=1,$X347&gt;=2),J347&lt;&gt;0),"A3","A4")))))</f>
        <v>A4</v>
      </c>
      <c r="Q347" s="341" t="str">
        <f t="shared" si="111"/>
        <v>A4</v>
      </c>
      <c r="R347" s="315"/>
      <c r="S347" s="680"/>
      <c r="T347" s="680"/>
      <c r="U347" s="176" t="str">
        <f>$Q347</f>
        <v>A4</v>
      </c>
      <c r="V347" s="179"/>
      <c r="W347" s="330">
        <f>IFERROR(VLOOKUP($D347,'K.KINH TẾ'!$C$10:$AC$27,13,0),0)</f>
        <v>0</v>
      </c>
      <c r="X347" s="330">
        <f>IFERROR(VLOOKUP($D347,'K.KINH TẾ'!$C$10:$AC$27,27,0),0)</f>
        <v>1</v>
      </c>
      <c r="Y347" s="333"/>
      <c r="Z347" s="859"/>
      <c r="AA347" s="858"/>
      <c r="AB347" s="778" t="s">
        <v>85</v>
      </c>
      <c r="AC347" s="1024" t="s">
        <v>1166</v>
      </c>
      <c r="AD347" s="213"/>
      <c r="AE347" s="60" t="str">
        <f>IF($L347=$P347,$L347,FALSE)</f>
        <v>A4</v>
      </c>
      <c r="AF347" s="60"/>
      <c r="AG347" s="60"/>
      <c r="BD347" s="60" t="s">
        <v>885</v>
      </c>
      <c r="BE347" s="60" t="s">
        <v>868</v>
      </c>
    </row>
    <row r="348" spans="1:59" s="78" customFormat="1" ht="73.5" customHeight="1" x14ac:dyDescent="0.25">
      <c r="A348" s="63">
        <f>IF(D348="","",SUBTOTAL(3,$D$8:D348))</f>
        <v>299</v>
      </c>
      <c r="B348" s="63"/>
      <c r="C348" s="538" t="s">
        <v>815</v>
      </c>
      <c r="D348" s="454" t="s">
        <v>816</v>
      </c>
      <c r="E348" s="686"/>
      <c r="F348" s="686"/>
      <c r="G348" s="282" t="str">
        <f>IF($H348&lt;&gt;0,"A1",IF($I348&lt;&gt;0,"A2",IF($J348&lt;&gt;0,"A3","A4")))</f>
        <v>A4</v>
      </c>
      <c r="H348" s="234"/>
      <c r="I348" s="234"/>
      <c r="J348" s="234"/>
      <c r="K348" s="239"/>
      <c r="L348" s="483" t="s">
        <v>83</v>
      </c>
      <c r="M348" s="295"/>
      <c r="N348" s="293">
        <f>IFERROR(VLOOKUP($D348,'K.KINH TẾ'!$C$10:$AC$27,12,0),0)</f>
        <v>3</v>
      </c>
      <c r="O348" s="293">
        <f>IFERROR(VLOOKUP($D348,'K.KINH TẾ'!$C$10:$AC$27,26,0),0)</f>
        <v>3</v>
      </c>
      <c r="P348" s="313" t="str">
        <f>IF(AND($W348&gt;=2,$X348&gt;=3,H348&lt;&gt;0),"A1",IF(AND($W348&gt;=3,$X348&gt;=1,H348&lt;&gt;0),"A1",IF(AND($W348&gt;=2,$X348&gt;=2,I348&lt;&gt;0),"A2",IF(AND($W348&gt;=3,$X348&gt;=0,I348&lt;&gt;0),"A2",IF(AND(OR($W348&gt;=1,$X348&gt;=2),J348&lt;&gt;0),"A3","A4")))))</f>
        <v>A4</v>
      </c>
      <c r="Q348" s="1196" t="s">
        <v>85</v>
      </c>
      <c r="R348" s="315"/>
      <c r="S348" s="680"/>
      <c r="T348" s="680"/>
      <c r="U348" s="176" t="str">
        <f>$Q348</f>
        <v>A3</v>
      </c>
      <c r="V348" s="179"/>
      <c r="W348" s="330">
        <f>IFERROR(VLOOKUP($D348,'K.KINH TẾ'!$C$10:$AC$27,13,0),0)</f>
        <v>2</v>
      </c>
      <c r="X348" s="330">
        <f>IFERROR(VLOOKUP($D348,'K.KINH TẾ'!$C$10:$AC$27,27,0),0)</f>
        <v>2</v>
      </c>
      <c r="Y348" s="333"/>
      <c r="Z348" s="859"/>
      <c r="AA348" s="858"/>
      <c r="AB348" s="778" t="s">
        <v>85</v>
      </c>
      <c r="AC348" s="1024" t="s">
        <v>1169</v>
      </c>
      <c r="AD348" s="213"/>
      <c r="AE348" s="60" t="str">
        <f>IF($L348=$P348,$L348,FALSE)</f>
        <v>A4</v>
      </c>
      <c r="AF348" s="60"/>
      <c r="AG348" s="60"/>
      <c r="BD348" s="60" t="s">
        <v>885</v>
      </c>
      <c r="BE348" s="60" t="s">
        <v>868</v>
      </c>
    </row>
    <row r="349" spans="1:59" ht="55.5" customHeight="1" x14ac:dyDescent="0.25">
      <c r="A349" s="62" t="s">
        <v>738</v>
      </c>
      <c r="B349" s="62" t="s">
        <v>737</v>
      </c>
      <c r="C349" s="64" t="s">
        <v>61</v>
      </c>
      <c r="D349" s="62"/>
      <c r="E349" s="652"/>
      <c r="F349" s="652"/>
      <c r="G349" s="280">
        <f>COUNTA($L351:$L353)</f>
        <v>3</v>
      </c>
      <c r="H349" s="234"/>
      <c r="I349" s="234"/>
      <c r="J349" s="234"/>
      <c r="K349" s="234"/>
      <c r="L349" s="500">
        <f>COUNTA($L351:$L353)</f>
        <v>3</v>
      </c>
      <c r="M349" s="286" t="str">
        <f>(COUNTIF($L$351:$L$353,"A1")&amp;"A1")&amp;" + "&amp;(COUNTIF($L$351:$L$353,"A2")&amp;"A2")&amp;" + "&amp;(COUNTIF($L$351:$L$353,"A3")&amp;"A3")&amp;" + "&amp;(COUNTIF($L$351:$L$353,"A4")&amp;"A4")</f>
        <v>0A1 + 1A2 + 0A3 + 2A4</v>
      </c>
      <c r="N349" s="500"/>
      <c r="O349" s="500"/>
      <c r="P349" s="311">
        <f>COUNTA($Q$351:$Q$353)</f>
        <v>3</v>
      </c>
      <c r="Q349" s="340">
        <f>COUNTA($Q$351:$Q$353)</f>
        <v>3</v>
      </c>
      <c r="R349" s="312" t="str">
        <f>(COUNTIF($Q$351:$Q$353,"A1")&amp;"A1")&amp;" + "&amp;(COUNTIF($Q$351:$Q$353,"A2")&amp;"A2")&amp;" + "&amp;(COUNTIF($Q$351:$Q$353,"A3")&amp;"A3")&amp;" + "&amp;(COUNTIF($Q$351:$Q$353,"A4")&amp;"A4")</f>
        <v>0A1 + 0A2 + 1A3 + 2A4</v>
      </c>
      <c r="S349" s="661"/>
      <c r="T349" s="661"/>
      <c r="U349" s="174">
        <f>COUNTA($U$351:$U$353)</f>
        <v>3</v>
      </c>
      <c r="V349" s="175" t="str">
        <f>(COUNTIF($U$351:$U$353,"A1")&amp;"A1")&amp;" + "&amp;(COUNTIF($U$351:$U$353,"A2")&amp;"A2")&amp;" + "&amp;(COUNTIF($U$351:$U$353,"A3")&amp;"A3")&amp;" + "&amp;(COUNTIF($U$351:$U$353,"A4")&amp;"A4")</f>
        <v>0A1 + 0A2 + 1A3 + 2A4</v>
      </c>
      <c r="W349" s="501"/>
      <c r="X349" s="501"/>
      <c r="Y349" s="556"/>
      <c r="Z349" s="862"/>
      <c r="AA349" s="862"/>
      <c r="AB349" s="242"/>
      <c r="AC349" s="836"/>
      <c r="AD349" s="219"/>
      <c r="AE349" s="60"/>
      <c r="AF349" s="60"/>
      <c r="AG349" s="607"/>
      <c r="AH349" s="608"/>
      <c r="AI349" s="608"/>
      <c r="AK349" s="1327" t="s">
        <v>906</v>
      </c>
      <c r="AL349" s="1327"/>
      <c r="AM349" s="1327"/>
      <c r="AN349" s="1327"/>
      <c r="AO349" s="1327"/>
      <c r="AP349" s="1327"/>
      <c r="AQ349" s="1327"/>
      <c r="AR349" s="1327"/>
      <c r="AS349" s="1327"/>
      <c r="AT349" s="1327"/>
      <c r="AU349" s="1327"/>
      <c r="AV349" s="1327"/>
      <c r="AW349" s="1327"/>
      <c r="AX349" s="1327"/>
      <c r="AY349" s="1327"/>
      <c r="AZ349" s="1327"/>
      <c r="BA349" s="1327"/>
      <c r="BB349" s="1327"/>
      <c r="BF349" s="60">
        <f>COUNTIF($BE351:$BE353,"CBQL")</f>
        <v>1</v>
      </c>
      <c r="BG349" s="60">
        <f>COUNTIF($BE351:$BE353,"GV") + COUNTIF($BE351:$BE353,"NV")</f>
        <v>2</v>
      </c>
    </row>
    <row r="350" spans="1:59" s="57" customFormat="1" ht="29.25" customHeight="1" x14ac:dyDescent="0.25">
      <c r="A350" s="65" t="s">
        <v>45</v>
      </c>
      <c r="B350" s="65" t="s">
        <v>45</v>
      </c>
      <c r="C350" s="66" t="s">
        <v>46</v>
      </c>
      <c r="D350" s="65"/>
      <c r="E350" s="691" t="s">
        <v>949</v>
      </c>
      <c r="F350" s="691" t="s">
        <v>950</v>
      </c>
      <c r="G350" s="280">
        <f>COUNTA($L351:$L353)</f>
        <v>3</v>
      </c>
      <c r="H350" s="234"/>
      <c r="I350" s="234"/>
      <c r="J350" s="234"/>
      <c r="K350" s="234"/>
      <c r="L350" s="500">
        <f>COUNTA($L351:$L353)</f>
        <v>3</v>
      </c>
      <c r="M350" s="286" t="str">
        <f>(COUNTIF($L$351:$L$353,"A1")&amp;"A1")&amp;" + "&amp;(COUNTIF($L$351:$L$353,"A2")&amp;"A2")&amp;" + "&amp;(COUNTIF($L$351:$L$353,"A3")&amp;"A3")&amp;" + "&amp;(COUNTIF($L$351:$L$353,"A4")&amp;"A4")</f>
        <v>0A1 + 1A2 + 0A3 + 2A4</v>
      </c>
      <c r="N350" s="500"/>
      <c r="O350" s="500"/>
      <c r="P350" s="311">
        <f>COUNTA($Q$351:$Q$353)</f>
        <v>3</v>
      </c>
      <c r="Q350" s="340">
        <f>COUNTA($Q$351:$Q$353)</f>
        <v>3</v>
      </c>
      <c r="R350" s="312" t="str">
        <f>(COUNTIF($Q$351:$Q$353,"A1")&amp;"A1")&amp;" + "&amp;(COUNTIF($Q$351:$Q$353,"A2")&amp;"A2")&amp;" + "&amp;(COUNTIF($Q$351:$Q$353,"A3")&amp;"A3")&amp;" + "&amp;(COUNTIF($Q$351:$Q$353,"A4")&amp;"A4")</f>
        <v>0A1 + 0A2 + 1A3 + 2A4</v>
      </c>
      <c r="S350" s="691" t="s">
        <v>949</v>
      </c>
      <c r="T350" s="691" t="s">
        <v>950</v>
      </c>
      <c r="U350" s="174">
        <f>COUNTA($U$351:$U$353)</f>
        <v>3</v>
      </c>
      <c r="V350" s="175" t="str">
        <f>(COUNTIF($U$351:$U$353,"A1")&amp;"A1")&amp;" + "&amp;(COUNTIF($U$351:$U$353,"A2")&amp;"A2")&amp;" + "&amp;(COUNTIF($U$351:$U$353,"A3")&amp;"A3")&amp;" + "&amp;(COUNTIF($U$351:$U$353,"A4")&amp;"A4")</f>
        <v>0A1 + 0A2 + 1A3 + 2A4</v>
      </c>
      <c r="W350" s="501"/>
      <c r="X350" s="501"/>
      <c r="Y350" s="556"/>
      <c r="Z350" s="862"/>
      <c r="AA350" s="862"/>
      <c r="AB350" s="242"/>
      <c r="AC350" s="836"/>
      <c r="AD350" s="213"/>
      <c r="AE350" s="60"/>
      <c r="AF350" s="60"/>
      <c r="AG350" s="1328" t="s">
        <v>915</v>
      </c>
      <c r="AH350" s="1328"/>
      <c r="AI350" s="1328"/>
      <c r="AJ350" s="59"/>
      <c r="AK350" s="598" t="s">
        <v>931</v>
      </c>
      <c r="AL350" s="598" t="s">
        <v>907</v>
      </c>
      <c r="AM350" s="1329" t="s">
        <v>897</v>
      </c>
      <c r="AN350" s="1329"/>
      <c r="AO350" s="1329" t="s">
        <v>898</v>
      </c>
      <c r="AP350" s="1329"/>
      <c r="AQ350" s="1329" t="s">
        <v>899</v>
      </c>
      <c r="AR350" s="1329"/>
      <c r="AS350" s="1329" t="s">
        <v>900</v>
      </c>
      <c r="AT350" s="1329"/>
      <c r="AU350" s="1329" t="s">
        <v>902</v>
      </c>
      <c r="AV350" s="1329"/>
      <c r="AW350" s="1329" t="s">
        <v>903</v>
      </c>
      <c r="AX350" s="1329"/>
      <c r="AY350" s="1329" t="s">
        <v>904</v>
      </c>
      <c r="AZ350" s="1329"/>
      <c r="BA350" s="1329" t="s">
        <v>905</v>
      </c>
      <c r="BB350" s="1329"/>
      <c r="BD350" s="60"/>
      <c r="BE350" s="60"/>
    </row>
    <row r="351" spans="1:59" s="57" customFormat="1" ht="56.25" customHeight="1" x14ac:dyDescent="0.25">
      <c r="A351" s="63">
        <f>IF(D351="","",SUBTOTAL(3,$D$8:D351))</f>
        <v>300</v>
      </c>
      <c r="B351" s="63" t="s">
        <v>5</v>
      </c>
      <c r="C351" s="71" t="s">
        <v>427</v>
      </c>
      <c r="D351" s="89" t="s">
        <v>428</v>
      </c>
      <c r="E351" s="692">
        <f>COUNTIF($L352:$L353,"A1")</f>
        <v>0</v>
      </c>
      <c r="F351" s="692">
        <f>COUNTIF($L352:$L353,"A2")</f>
        <v>0</v>
      </c>
      <c r="G351" s="282" t="str">
        <f t="shared" ref="G351:G353" si="112">IF($H351&lt;&gt;0,"A1",IF($I351&lt;&gt;0,"A2",IF($J351&lt;&gt;0,"A3","A4")))</f>
        <v>A2</v>
      </c>
      <c r="H351" s="234"/>
      <c r="I351" s="737" t="s">
        <v>971</v>
      </c>
      <c r="J351" s="737" t="s">
        <v>954</v>
      </c>
      <c r="K351" s="739" t="s">
        <v>1046</v>
      </c>
      <c r="L351" s="298" t="s">
        <v>84</v>
      </c>
      <c r="M351" s="1279" t="s">
        <v>1150</v>
      </c>
      <c r="N351" s="291">
        <f>IFERROR(VLOOKUP($D351,'P.TTGD-CTSV'!$C$10:$AE$24,14,0),0)</f>
        <v>0</v>
      </c>
      <c r="O351" s="291">
        <f>IFERROR(VLOOKUP($D351,'P.TTGD-CTSV'!$C$10:$AE$24,28,0),0)</f>
        <v>0</v>
      </c>
      <c r="P351" s="313" t="str">
        <f t="shared" ref="P351" si="113">IF(AND($W351&gt;=2,$X351&gt;=3,H351&lt;&gt;0),"A1",IF(AND($W351&gt;=3,$X351&gt;=1,H351&lt;&gt;0),"A1",IF(AND($W351&gt;=2,$X351&gt;=2,I351&lt;&gt;0),"A2",IF(AND($W351&gt;=3,$X351&gt;=0,I351&lt;&gt;0),"A2",IF(AND(OR($W351&gt;=1,$X351&gt;=2),J351&lt;&gt;0),"A3","A4")))))</f>
        <v>A2</v>
      </c>
      <c r="Q351" s="1196" t="s">
        <v>85</v>
      </c>
      <c r="R351" s="319"/>
      <c r="S351" s="692">
        <f>COUNTIF($U352:$U353,"A1")</f>
        <v>0</v>
      </c>
      <c r="T351" s="692">
        <f>COUNTIF($U352:$U353,"A2")</f>
        <v>0</v>
      </c>
      <c r="U351" s="176" t="str">
        <f>$Q351</f>
        <v>A3</v>
      </c>
      <c r="V351" s="179"/>
      <c r="W351" s="330">
        <f>IFERROR(VLOOKUP($D351,'K.XÂY DỰNG'!$C$10:$W$12,11,0),0)</f>
        <v>3</v>
      </c>
      <c r="X351" s="330">
        <f>IFERROR(VLOOKUP($D351,'K.XÂY DỰNG'!$C$10:$W$12,21,0),0)</f>
        <v>1</v>
      </c>
      <c r="Y351" s="89"/>
      <c r="Z351" s="842"/>
      <c r="AA351" s="842"/>
      <c r="AB351" s="242"/>
      <c r="AC351" s="836"/>
      <c r="AD351" s="588"/>
      <c r="AE351" s="60" t="str">
        <f t="shared" si="106"/>
        <v>A2</v>
      </c>
      <c r="AF351" s="60"/>
      <c r="AG351" s="604" t="s">
        <v>845</v>
      </c>
      <c r="AH351" s="604"/>
      <c r="AI351" s="605">
        <f>AH351/$L349</f>
        <v>0</v>
      </c>
      <c r="AJ351" s="590"/>
      <c r="AK351" s="594"/>
      <c r="AL351" s="595">
        <f>AL353+AL352</f>
        <v>3</v>
      </c>
      <c r="AM351" s="596" t="s">
        <v>896</v>
      </c>
      <c r="AN351" s="596" t="s">
        <v>844</v>
      </c>
      <c r="AO351" s="596" t="s">
        <v>896</v>
      </c>
      <c r="AP351" s="596" t="s">
        <v>844</v>
      </c>
      <c r="AQ351" s="596" t="s">
        <v>896</v>
      </c>
      <c r="AR351" s="596" t="s">
        <v>844</v>
      </c>
      <c r="AS351" s="596" t="s">
        <v>896</v>
      </c>
      <c r="AT351" s="596" t="s">
        <v>844</v>
      </c>
      <c r="AU351" s="596" t="s">
        <v>896</v>
      </c>
      <c r="AV351" s="596" t="s">
        <v>844</v>
      </c>
      <c r="AW351" s="596" t="s">
        <v>896</v>
      </c>
      <c r="AX351" s="596" t="s">
        <v>844</v>
      </c>
      <c r="AY351" s="596" t="s">
        <v>896</v>
      </c>
      <c r="AZ351" s="596" t="s">
        <v>844</v>
      </c>
      <c r="BA351" s="596" t="s">
        <v>896</v>
      </c>
      <c r="BB351" s="596" t="s">
        <v>844</v>
      </c>
      <c r="BD351" s="60" t="s">
        <v>886</v>
      </c>
      <c r="BE351" s="60" t="s">
        <v>866</v>
      </c>
    </row>
    <row r="352" spans="1:59" s="70" customFormat="1" ht="37.5" customHeight="1" x14ac:dyDescent="0.25">
      <c r="A352" s="63">
        <f>IF(D352="","",SUBTOTAL(3,$D$8:D352))</f>
        <v>301</v>
      </c>
      <c r="B352" s="63"/>
      <c r="C352" s="71" t="s">
        <v>756</v>
      </c>
      <c r="D352" s="92" t="s">
        <v>763</v>
      </c>
      <c r="E352" s="693">
        <f>E351/$AL$353</f>
        <v>0</v>
      </c>
      <c r="F352" s="693">
        <f>F351/$AL$353</f>
        <v>0</v>
      </c>
      <c r="G352" s="282" t="str">
        <f>IF($H352&lt;&gt;0,"A1",IF($I352&lt;&gt;0,"A2",IF($J352&lt;&gt;0,"A3","A4")))</f>
        <v>A2</v>
      </c>
      <c r="H352" s="234"/>
      <c r="I352" s="737" t="s">
        <v>966</v>
      </c>
      <c r="J352" s="737" t="s">
        <v>954</v>
      </c>
      <c r="K352" s="234"/>
      <c r="L352" s="483" t="s">
        <v>83</v>
      </c>
      <c r="M352" s="295"/>
      <c r="N352" s="310">
        <f>IFERROR(VLOOKUP($D352,'K.XÂY DỰNG'!$C$10:$W$12,10,0),0)</f>
        <v>0</v>
      </c>
      <c r="O352" s="310">
        <f>IFERROR(VLOOKUP($D352,'K.XÂY DỰNG'!$C$10:$W$12,20,0),0)</f>
        <v>1</v>
      </c>
      <c r="P352" s="313" t="str">
        <f>IF(AND($W352&gt;=2,$X352&gt;=3,H352&lt;&gt;0),"A1",IF(AND($W352&gt;=3,$X352&gt;=1,H352&lt;&gt;0),"A1",IF(AND($W352&gt;=2,$X352&gt;=2,I352&lt;&gt;0),"A2",IF(AND($W352&gt;=3,$X352&gt;=0,I352&lt;&gt;0),"A2",IF(AND(OR($W352&gt;=1,$X352&gt;=2),J352&lt;&gt;0),"A3","A4")))))</f>
        <v>A4</v>
      </c>
      <c r="Q352" s="341" t="str">
        <f>P352</f>
        <v>A4</v>
      </c>
      <c r="R352" s="325"/>
      <c r="S352" s="693">
        <f>S351/$AL$353</f>
        <v>0</v>
      </c>
      <c r="T352" s="693">
        <f>T351/$AL$353</f>
        <v>0</v>
      </c>
      <c r="U352" s="176" t="str">
        <f>$Q352</f>
        <v>A4</v>
      </c>
      <c r="V352" s="179"/>
      <c r="W352" s="330">
        <f>IFERROR(VLOOKUP($D352,'K.XÂY DỰNG'!$C$10:$W$12,11,0),0)</f>
        <v>0</v>
      </c>
      <c r="X352" s="330">
        <f>IFERROR(VLOOKUP($D352,'K.XÂY DỰNG'!$C$10:$W$12,21,0),0)</f>
        <v>1</v>
      </c>
      <c r="Y352" s="92"/>
      <c r="Z352" s="842"/>
      <c r="AA352" s="842"/>
      <c r="AB352" s="242"/>
      <c r="AC352" s="836"/>
      <c r="AD352" s="213"/>
      <c r="AE352" s="60" t="str">
        <f>IF($L352=$P352,$L352,FALSE)</f>
        <v>A4</v>
      </c>
      <c r="AF352" s="60"/>
      <c r="AG352" s="613"/>
      <c r="AH352" s="614">
        <f>AH351+AH353</f>
        <v>0</v>
      </c>
      <c r="AI352" s="615">
        <f>AI351+AI353</f>
        <v>0</v>
      </c>
      <c r="AJ352" s="590"/>
      <c r="AK352" s="597" t="s">
        <v>864</v>
      </c>
      <c r="AL352" s="595">
        <f>COUNTIF($BE350:$BE353,"CBQL")</f>
        <v>1</v>
      </c>
      <c r="AM352" s="595">
        <f>COUNTIF($U351:$U351,"A1")</f>
        <v>0</v>
      </c>
      <c r="AN352" s="611">
        <f>AM352/$AL$352</f>
        <v>0</v>
      </c>
      <c r="AO352" s="595">
        <f>COUNTIF($U351:$U351,"A2")</f>
        <v>0</v>
      </c>
      <c r="AP352" s="611">
        <f>AO352/$AL$352</f>
        <v>0</v>
      </c>
      <c r="AQ352" s="595">
        <f>COUNTIF($U350:$U352,"A3")</f>
        <v>1</v>
      </c>
      <c r="AR352" s="611">
        <f>AQ352/$AL$351</f>
        <v>0.33333333333333331</v>
      </c>
      <c r="AS352" s="595">
        <f>COUNTIF($U350:$U350,"A4")</f>
        <v>0</v>
      </c>
      <c r="AT352" s="611">
        <f>AS352/$AL$351</f>
        <v>0</v>
      </c>
      <c r="AU352" s="595">
        <f>COUNTIF($U350:$U350,"B1")</f>
        <v>0</v>
      </c>
      <c r="AV352" s="611">
        <f>AU352/$AL$351</f>
        <v>0</v>
      </c>
      <c r="AW352" s="595">
        <f>COUNTIF($U350:$U350,"B2")</f>
        <v>0</v>
      </c>
      <c r="AX352" s="611">
        <f>AW352/$AL$351</f>
        <v>0</v>
      </c>
      <c r="AY352" s="595">
        <f>COUNTIF($U350:$U350,"C1")</f>
        <v>0</v>
      </c>
      <c r="AZ352" s="611">
        <f>AY352/$AL$351</f>
        <v>0</v>
      </c>
      <c r="BA352" s="595">
        <f>COUNTIF($U350:$U350,"C2")</f>
        <v>0</v>
      </c>
      <c r="BB352" s="611">
        <f>BA352/$AL$351</f>
        <v>0</v>
      </c>
      <c r="BD352" s="60" t="s">
        <v>886</v>
      </c>
      <c r="BE352" s="60" t="s">
        <v>868</v>
      </c>
    </row>
    <row r="353" spans="1:59" s="70" customFormat="1" ht="45" customHeight="1" x14ac:dyDescent="0.25">
      <c r="A353" s="63">
        <f>IF(D353="","",SUBTOTAL(3,$D$8:D353))</f>
        <v>302</v>
      </c>
      <c r="B353" s="63" t="s">
        <v>10</v>
      </c>
      <c r="C353" s="71" t="s">
        <v>429</v>
      </c>
      <c r="D353" s="92" t="s">
        <v>430</v>
      </c>
      <c r="E353" s="652">
        <f>E351/$G$349</f>
        <v>0</v>
      </c>
      <c r="F353" s="652"/>
      <c r="G353" s="282" t="str">
        <f t="shared" si="112"/>
        <v>A2</v>
      </c>
      <c r="H353" s="234"/>
      <c r="I353" s="737" t="s">
        <v>966</v>
      </c>
      <c r="J353" s="737" t="s">
        <v>954</v>
      </c>
      <c r="K353" s="234"/>
      <c r="L353" s="483" t="s">
        <v>83</v>
      </c>
      <c r="M353" s="295"/>
      <c r="N353" s="310">
        <f>IFERROR(VLOOKUP($D353,'K.XÂY DỰNG'!$C$10:$W$12,10,0),0)</f>
        <v>0</v>
      </c>
      <c r="O353" s="310">
        <f>IFERROR(VLOOKUP($D353,'K.XÂY DỰNG'!$C$10:$W$12,20,0),0)</f>
        <v>0</v>
      </c>
      <c r="P353" s="313" t="str">
        <f t="shared" ref="P353" si="114">IF(AND($W353&gt;=2,$X353&gt;=3,H353&lt;&gt;0),"A1",IF(AND($W353&gt;=3,$X353&gt;=1,H353&lt;&gt;0),"A1",IF(AND($W353&gt;=2,$X353&gt;=2,I353&lt;&gt;0),"A2",IF(AND($W353&gt;=3,$X353&gt;=0,I353&lt;&gt;0),"A2",IF(AND(OR($W353&gt;=1,$X353&gt;=2),J353&lt;&gt;0),"A3","A4")))))</f>
        <v>A4</v>
      </c>
      <c r="Q353" s="341" t="str">
        <f>P353</f>
        <v>A4</v>
      </c>
      <c r="R353" s="325"/>
      <c r="S353" s="680"/>
      <c r="T353" s="680"/>
      <c r="U353" s="176" t="str">
        <f>$Q353</f>
        <v>A4</v>
      </c>
      <c r="V353" s="179"/>
      <c r="W353" s="330">
        <f>IFERROR(VLOOKUP($D353,'K.XÂY DỰNG'!$C$10:$W$12,11,0),0)</f>
        <v>0</v>
      </c>
      <c r="X353" s="330">
        <f>IFERROR(VLOOKUP($D353,'K.XÂY DỰNG'!$C$10:$W$12,21,0),0)</f>
        <v>0</v>
      </c>
      <c r="Y353" s="92"/>
      <c r="Z353" s="857"/>
      <c r="AA353" s="842"/>
      <c r="AB353" s="242"/>
      <c r="AC353" s="836"/>
      <c r="AD353" s="213"/>
      <c r="AE353" s="60" t="str">
        <f t="shared" si="106"/>
        <v>A4</v>
      </c>
      <c r="AF353" s="608"/>
      <c r="AG353" s="604" t="s">
        <v>846</v>
      </c>
      <c r="AH353" s="604"/>
      <c r="AI353" s="605">
        <f>AH353/$L349</f>
        <v>0</v>
      </c>
      <c r="AJ353" s="590"/>
      <c r="AK353" s="616" t="s">
        <v>865</v>
      </c>
      <c r="AL353" s="595">
        <f>COUNTIF($BE352:$BE353,"GV") + COUNTIF($BE352:$BE353,"NV")</f>
        <v>2</v>
      </c>
      <c r="AM353" s="595">
        <f>COUNTIF($U352:$U353,"A1")</f>
        <v>0</v>
      </c>
      <c r="AN353" s="611">
        <f>AM353/$AL$353</f>
        <v>0</v>
      </c>
      <c r="AO353" s="595">
        <f>COUNTIF($U352:$U353,"A2")</f>
        <v>0</v>
      </c>
      <c r="AP353" s="611">
        <f>AO353/$AL$353</f>
        <v>0</v>
      </c>
      <c r="AQ353" s="595">
        <f>COUNTIF($U354:$U354,"A3")</f>
        <v>0</v>
      </c>
      <c r="AR353" s="611">
        <f>AQ353/$AL$351</f>
        <v>0</v>
      </c>
      <c r="AS353" s="595">
        <f>COUNTIF($U354:$U354,"A4")</f>
        <v>0</v>
      </c>
      <c r="AT353" s="611">
        <f>AS353/$AL$351</f>
        <v>0</v>
      </c>
      <c r="AU353" s="595">
        <f>COUNTIF($U354:$U354,"B1")</f>
        <v>0</v>
      </c>
      <c r="AV353" s="611">
        <f>AU353/$AL$351</f>
        <v>0</v>
      </c>
      <c r="AW353" s="595">
        <f>COUNTIF($U354:$U354,"B2")</f>
        <v>0</v>
      </c>
      <c r="AX353" s="611">
        <f>AW353/$AL$351</f>
        <v>0</v>
      </c>
      <c r="AY353" s="595">
        <f>COUNTIF($U354:$U354,"C1")</f>
        <v>0</v>
      </c>
      <c r="AZ353" s="611">
        <f>AY353/$AL$351</f>
        <v>0</v>
      </c>
      <c r="BA353" s="595">
        <f>COUNTIF($U354:$U354,"C2")</f>
        <v>0</v>
      </c>
      <c r="BB353" s="611">
        <f>BA353/$AL$351</f>
        <v>0</v>
      </c>
      <c r="BD353" s="60" t="s">
        <v>886</v>
      </c>
      <c r="BE353" s="60" t="s">
        <v>868</v>
      </c>
    </row>
    <row r="354" spans="1:59" ht="30.75" customHeight="1" x14ac:dyDescent="0.25">
      <c r="A354" s="62" t="s">
        <v>739</v>
      </c>
      <c r="B354" s="62" t="s">
        <v>738</v>
      </c>
      <c r="C354" s="64" t="s">
        <v>55</v>
      </c>
      <c r="D354" s="62"/>
      <c r="E354" s="652"/>
      <c r="F354" s="652"/>
      <c r="G354" s="280">
        <f>$L$355+G360</f>
        <v>7</v>
      </c>
      <c r="H354" s="234"/>
      <c r="I354" s="234"/>
      <c r="J354" s="234"/>
      <c r="K354" s="234"/>
      <c r="L354" s="500">
        <f>$L$355+$L360</f>
        <v>7</v>
      </c>
      <c r="M354" s="286" t="str">
        <f>(COUNTIF($L$356:$L$363,"A1")&amp;"A1")&amp;" + "&amp;(COUNTIF($L$356:$L$363,"A2")&amp;"A2")&amp;" + "&amp;(COUNTIF($L$356:$L$363,"A3")&amp;"A3")&amp;" + "&amp;(COUNTIF($L$356:$L$363,"A4")&amp;"A4")&amp;" + "&amp;(COUNTIF($L$356:$L$363,"C2")&amp;"C2")</f>
        <v>0A1 + 1A2 + 4A3 + 2A4 + 0C2</v>
      </c>
      <c r="N354" s="500"/>
      <c r="O354" s="500"/>
      <c r="P354" s="311">
        <f>$Q$355+$Q$360</f>
        <v>7</v>
      </c>
      <c r="Q354" s="340">
        <f>$Q$355+$Q$360</f>
        <v>7</v>
      </c>
      <c r="R354" s="312" t="str">
        <f>(COUNTIF($Q$356:$Q$363,"A1")&amp;"A1")&amp;" + "&amp;(COUNTIF($Q$356:$Q$363,"A2")&amp;"A2")&amp;" + "&amp;(COUNTIF($Q$356:$Q$363,"A3")&amp;"A3")&amp;" + "&amp;(COUNTIF($Q$356:$Q$363,"A4")&amp;"A4")</f>
        <v>0A1 + 0A2 + 5A3 + 2A4</v>
      </c>
      <c r="S354" s="661"/>
      <c r="T354" s="661"/>
      <c r="U354" s="174">
        <f>$U$355+$U360</f>
        <v>7</v>
      </c>
      <c r="V354" s="175" t="str">
        <f>(COUNTIF($U$356:$U$363,"A1")&amp;"A1")&amp;" + "&amp;(COUNTIF($U$356:$U$363,"A2")&amp;"A2")&amp;" + "&amp;(COUNTIF($U$356:$U$363,"A3")&amp;"A3")&amp;" + "&amp;(COUNTIF($U$356:$U$363,"A4")&amp;"A4")</f>
        <v>0A1 + 0A2 + 5A3 + 2A4</v>
      </c>
      <c r="W354" s="501"/>
      <c r="X354" s="501"/>
      <c r="Y354" s="556"/>
      <c r="Z354" s="862"/>
      <c r="AA354" s="862"/>
      <c r="AB354" s="242"/>
      <c r="AC354" s="1373"/>
      <c r="AD354" s="219"/>
      <c r="AE354" s="60"/>
      <c r="AF354" s="608"/>
      <c r="AG354" s="607"/>
      <c r="AH354" s="608"/>
      <c r="AI354" s="608"/>
      <c r="AJ354" s="158"/>
      <c r="AK354" s="833"/>
      <c r="AL354" s="833"/>
      <c r="AM354" s="833"/>
      <c r="AN354" s="833"/>
      <c r="AO354" s="833"/>
      <c r="AP354" s="833"/>
      <c r="AQ354" s="833"/>
      <c r="AR354" s="833"/>
      <c r="AS354" s="833"/>
      <c r="AT354" s="833"/>
      <c r="AU354" s="833"/>
      <c r="AV354" s="833"/>
      <c r="AW354" s="833"/>
      <c r="AX354" s="833"/>
      <c r="AY354" s="833"/>
      <c r="AZ354" s="833"/>
      <c r="BA354" s="833"/>
      <c r="BB354" s="833"/>
      <c r="BF354" s="60">
        <f>COUNTIF($BE356:$BE363,"CBQL")</f>
        <v>1</v>
      </c>
      <c r="BG354" s="60">
        <f>COUNTIF($BE356:$BE363,"GV") + COUNTIF($BE356:$BE363,"NV")</f>
        <v>6</v>
      </c>
    </row>
    <row r="355" spans="1:59" s="57" customFormat="1" ht="30.75" customHeight="1" x14ac:dyDescent="0.25">
      <c r="A355" s="65" t="s">
        <v>45</v>
      </c>
      <c r="B355" s="65" t="s">
        <v>45</v>
      </c>
      <c r="C355" s="66" t="s">
        <v>46</v>
      </c>
      <c r="D355" s="65"/>
      <c r="E355" s="691" t="s">
        <v>949</v>
      </c>
      <c r="F355" s="691" t="s">
        <v>950</v>
      </c>
      <c r="G355" s="280">
        <f>COUNTA($L356:$L359)</f>
        <v>4</v>
      </c>
      <c r="H355" s="234"/>
      <c r="I355" s="234"/>
      <c r="J355" s="234"/>
      <c r="K355" s="234"/>
      <c r="L355" s="500">
        <f>COUNTA($L356:$L359)</f>
        <v>4</v>
      </c>
      <c r="M355" s="286" t="str">
        <f>(COUNTIF($L$356:$L$359,"A1")&amp;"A1")&amp;" + "&amp;(COUNTIF($L$356:$L$359,"A2")&amp;"A2")&amp;" + "&amp;(COUNTIF($L$356:$L$359,"A3")&amp;"A3")&amp;" + "&amp;(COUNTIF($L$356:$L$359,"A4")&amp;"A4")&amp;" + "&amp;(COUNTIF($L$356:$L$359,"C2")&amp;"C2")</f>
        <v>0A1 + 1A2 + 2A3 + 1A4 + 0C2</v>
      </c>
      <c r="N355" s="500"/>
      <c r="O355" s="500"/>
      <c r="P355" s="311">
        <f>COUNTA($Q$356:$Q$359)</f>
        <v>4</v>
      </c>
      <c r="Q355" s="340">
        <f>COUNTA($Q$356:$Q$359)</f>
        <v>4</v>
      </c>
      <c r="R355" s="312" t="str">
        <f>(COUNTIF($Q$356:$Q$359,"A1")&amp;"A1")&amp;" + "&amp;(COUNTIF($Q$356:$Q$359,"A2")&amp;"A2")&amp;" + "&amp;(COUNTIF($Q$356:$Q$359,"A3")&amp;"A3")&amp;" + "&amp;(COUNTIF($Q$356:$Q$359,"A4")&amp;"A4")</f>
        <v>0A1 + 0A2 + 3A3 + 1A4</v>
      </c>
      <c r="S355" s="691" t="s">
        <v>949</v>
      </c>
      <c r="T355" s="691" t="s">
        <v>950</v>
      </c>
      <c r="U355" s="174">
        <f>COUNTA($U356:$U359)</f>
        <v>4</v>
      </c>
      <c r="V355" s="175" t="str">
        <f>(COUNTIF($U$356:$U$359,"A1")&amp;"A1")&amp;" + "&amp;(COUNTIF($U$356:$U$359,"A2")&amp;"A2")&amp;" + "&amp;(COUNTIF($U$356:$U$359,"A3")&amp;"A3")&amp;" + "&amp;(COUNTIF($U$356:$U$359,"A4")&amp;"A4")</f>
        <v>0A1 + 0A2 + 3A3 + 1A4</v>
      </c>
      <c r="W355" s="501"/>
      <c r="X355" s="501"/>
      <c r="Y355" s="556"/>
      <c r="Z355" s="862"/>
      <c r="AA355" s="862"/>
      <c r="AB355" s="242"/>
      <c r="AC355" s="1365"/>
      <c r="AD355" s="213"/>
      <c r="AE355" s="60"/>
      <c r="AF355" s="608"/>
      <c r="AG355" s="607"/>
      <c r="AH355" s="608"/>
      <c r="AI355" s="608"/>
      <c r="AJ355" s="59"/>
      <c r="AK355" s="1327" t="s">
        <v>906</v>
      </c>
      <c r="AL355" s="1327"/>
      <c r="AM355" s="1327"/>
      <c r="AN355" s="1327"/>
      <c r="AO355" s="1327"/>
      <c r="AP355" s="1327"/>
      <c r="AQ355" s="1327"/>
      <c r="AR355" s="1327"/>
      <c r="AS355" s="1327"/>
      <c r="AT355" s="1327"/>
      <c r="AU355" s="1327"/>
      <c r="AV355" s="1327"/>
      <c r="AW355" s="1327"/>
      <c r="AX355" s="1327"/>
      <c r="AY355" s="1327"/>
      <c r="AZ355" s="1327"/>
      <c r="BA355" s="1327"/>
      <c r="BB355" s="1327"/>
      <c r="BD355" s="60"/>
      <c r="BE355" s="60"/>
    </row>
    <row r="356" spans="1:59" s="57" customFormat="1" ht="55.5" customHeight="1" x14ac:dyDescent="0.25">
      <c r="A356" s="63">
        <f>IF(D356="","",SUBTOTAL(3,$D$8:D356))</f>
        <v>303</v>
      </c>
      <c r="B356" s="63" t="s">
        <v>5</v>
      </c>
      <c r="C356" s="10" t="s">
        <v>462</v>
      </c>
      <c r="D356" s="89" t="s">
        <v>463</v>
      </c>
      <c r="E356" s="692">
        <f>COUNTIF($L357:$L363,"A1")</f>
        <v>0</v>
      </c>
      <c r="F356" s="692">
        <f>COUNTIF($L357:$L363,"A2")</f>
        <v>0</v>
      </c>
      <c r="G356" s="282" t="str">
        <f t="shared" ref="G356:G363" si="115">IF($H356&lt;&gt;0,"A1",IF($I356&lt;&gt;0,"A2",IF($J356&lt;&gt;0,"A3","A4")))</f>
        <v>A2</v>
      </c>
      <c r="H356" s="234"/>
      <c r="I356" s="737" t="s">
        <v>965</v>
      </c>
      <c r="J356" s="737" t="s">
        <v>954</v>
      </c>
      <c r="K356" s="234"/>
      <c r="L356" s="298" t="s">
        <v>84</v>
      </c>
      <c r="M356" s="295" t="s">
        <v>1200</v>
      </c>
      <c r="N356" s="310">
        <f>IFERROR(VLOOKUP($D356,'TT.THƯ VIỆN'!$C$10:$Z$17,13,0),0)</f>
        <v>5</v>
      </c>
      <c r="O356" s="310">
        <f>IFERROR(VLOOKUP($D356,'TT.THƯ VIỆN'!$C$10:$Z$17,23,0),0)</f>
        <v>1</v>
      </c>
      <c r="P356" s="313" t="str">
        <f>IF(AND($W356&gt;=2,$X356&gt;=3,$Y356&gt;=1,H356&lt;&gt;0),"A1",IF(AND($W356&gt;=3,$X356&gt;=1,$Y356&gt;=1,H356&lt;&gt;0),"A1",IF(AND($W356&gt;=2,$X356&gt;=2,$Y356&gt;=1,I356&lt;&gt;0),"A2",IF(AND($W356&gt;=3,$X356&gt;=0,$Y356&gt;=1,I356&lt;&gt;0),"A2",IF(AND(OR($W356&gt;=1,$X356&gt;=2),J356&lt;&gt;0,$Y356&gt;=-2),"A3","A4")))))</f>
        <v>A2</v>
      </c>
      <c r="Q356" s="1196" t="s">
        <v>85</v>
      </c>
      <c r="R356" s="319"/>
      <c r="S356" s="692">
        <f>COUNTIF($U357:$U363,"A1")</f>
        <v>0</v>
      </c>
      <c r="T356" s="692">
        <f>COUNTIF($U357:$U363,"A2")</f>
        <v>0</v>
      </c>
      <c r="U356" s="176" t="str">
        <f>$Q356</f>
        <v>A3</v>
      </c>
      <c r="V356" s="179"/>
      <c r="W356" s="330">
        <f>IFERROR(VLOOKUP($D356,'TT.THƯ VIỆN'!$C$10:$Z$17,14,0),0)</f>
        <v>5</v>
      </c>
      <c r="X356" s="330">
        <f>IFERROR(VLOOKUP($D356,'TT.THƯ VIỆN'!$C$10:$Z$17,24,0),0)</f>
        <v>1</v>
      </c>
      <c r="Y356" s="333">
        <v>1</v>
      </c>
      <c r="Z356" s="857"/>
      <c r="AA356" s="859"/>
      <c r="AB356" s="773"/>
      <c r="AC356" s="774"/>
      <c r="AD356" s="213"/>
      <c r="AE356" s="60" t="str">
        <f>IF($L356=$P356,$L356,FALSE)</f>
        <v>A2</v>
      </c>
      <c r="AF356" s="608">
        <v>21</v>
      </c>
      <c r="AG356" s="1328" t="s">
        <v>915</v>
      </c>
      <c r="AH356" s="1328"/>
      <c r="AI356" s="1328"/>
      <c r="AJ356" s="59"/>
      <c r="AK356" s="598" t="s">
        <v>932</v>
      </c>
      <c r="AL356" s="598" t="s">
        <v>907</v>
      </c>
      <c r="AM356" s="1329" t="s">
        <v>897</v>
      </c>
      <c r="AN356" s="1329"/>
      <c r="AO356" s="1329" t="s">
        <v>898</v>
      </c>
      <c r="AP356" s="1329"/>
      <c r="AQ356" s="1329" t="s">
        <v>899</v>
      </c>
      <c r="AR356" s="1329"/>
      <c r="AS356" s="1329" t="s">
        <v>900</v>
      </c>
      <c r="AT356" s="1329"/>
      <c r="AU356" s="1329" t="s">
        <v>902</v>
      </c>
      <c r="AV356" s="1329"/>
      <c r="AW356" s="1329" t="s">
        <v>903</v>
      </c>
      <c r="AX356" s="1329"/>
      <c r="AY356" s="1329" t="s">
        <v>904</v>
      </c>
      <c r="AZ356" s="1329"/>
      <c r="BA356" s="1329" t="s">
        <v>905</v>
      </c>
      <c r="BB356" s="1329"/>
      <c r="BD356" s="60" t="s">
        <v>887</v>
      </c>
      <c r="BE356" s="60" t="s">
        <v>866</v>
      </c>
    </row>
    <row r="357" spans="1:59" s="70" customFormat="1" ht="36" customHeight="1" x14ac:dyDescent="0.25">
      <c r="A357" s="63">
        <f>IF(D357="","",SUBTOTAL(3,$D$8:D357))</f>
        <v>304</v>
      </c>
      <c r="B357" s="63" t="s">
        <v>6</v>
      </c>
      <c r="C357" s="71" t="s">
        <v>432</v>
      </c>
      <c r="D357" s="89" t="s">
        <v>602</v>
      </c>
      <c r="E357" s="693">
        <f>E356/$AL$359</f>
        <v>0</v>
      </c>
      <c r="F357" s="693">
        <f>F356/$AL$359</f>
        <v>0</v>
      </c>
      <c r="G357" s="282" t="str">
        <f t="shared" si="115"/>
        <v>A3</v>
      </c>
      <c r="H357" s="234"/>
      <c r="I357" s="737"/>
      <c r="J357" s="737" t="s">
        <v>954</v>
      </c>
      <c r="K357" s="234"/>
      <c r="L357" s="298" t="s">
        <v>83</v>
      </c>
      <c r="M357" s="1141"/>
      <c r="N357" s="310">
        <f>IFERROR(VLOOKUP($D357,'TT.THƯ VIỆN'!$C$10:$Z$17,13,0),0)</f>
        <v>0</v>
      </c>
      <c r="O357" s="310">
        <f>IFERROR(VLOOKUP($D357,'TT.THƯ VIỆN'!$C$10:$Z$17,23,0),0)</f>
        <v>1</v>
      </c>
      <c r="P357" s="313" t="str">
        <f t="shared" ref="P357:P359" si="116">IF(AND($W357&gt;=2,$X357&gt;=3,$Y357&gt;=1,H357&lt;&gt;0),"A1",IF(AND($W357&gt;=3,$X357&gt;=1,$Y357&gt;=1,H357&lt;&gt;0),"A1",IF(AND($W357&gt;=2,$X357&gt;=2,$Y357&gt;=1,I357&lt;&gt;0),"A2",IF(AND($W357&gt;=3,$X357&gt;=0,$Y357&gt;=1,I357&lt;&gt;0),"A2",IF(AND(OR($W357&gt;=1,$X357&gt;=2),J357&lt;&gt;0,$Y357&gt;=-2),"A3","A4")))))</f>
        <v>A4</v>
      </c>
      <c r="Q357" s="341" t="str">
        <f t="shared" ref="Q357:Q359" si="117">P357</f>
        <v>A4</v>
      </c>
      <c r="R357" s="319"/>
      <c r="S357" s="693">
        <f>S356/$AL$359</f>
        <v>0</v>
      </c>
      <c r="T357" s="693">
        <f>T356/$AL$359</f>
        <v>0</v>
      </c>
      <c r="U357" s="176" t="str">
        <f t="shared" ref="U357:U363" si="118">$Q357</f>
        <v>A4</v>
      </c>
      <c r="V357" s="180"/>
      <c r="W357" s="330">
        <f>IFERROR(VLOOKUP($D357,'TT.THƯ VIỆN'!$C$10:$Z$17,14,0),0)</f>
        <v>0</v>
      </c>
      <c r="X357" s="330">
        <f>IFERROR(VLOOKUP($D357,'TT.THƯ VIỆN'!$C$10:$Z$17,24,0),0)</f>
        <v>1</v>
      </c>
      <c r="Y357" s="333">
        <v>1</v>
      </c>
      <c r="Z357" s="859"/>
      <c r="AA357" s="861"/>
      <c r="AB357" s="773"/>
      <c r="AC357" s="774"/>
      <c r="AD357" s="213"/>
      <c r="AE357" s="60" t="str">
        <f t="shared" si="106"/>
        <v>A4</v>
      </c>
      <c r="AF357" s="60">
        <v>23</v>
      </c>
      <c r="AG357" s="604" t="s">
        <v>845</v>
      </c>
      <c r="AH357" s="604">
        <v>1</v>
      </c>
      <c r="AI357" s="605">
        <f>AH357/$L354</f>
        <v>0.14285714285714285</v>
      </c>
      <c r="AJ357" s="590"/>
      <c r="AK357" s="594"/>
      <c r="AL357" s="595">
        <f>AL358+AL359</f>
        <v>7</v>
      </c>
      <c r="AM357" s="596" t="s">
        <v>896</v>
      </c>
      <c r="AN357" s="596" t="s">
        <v>844</v>
      </c>
      <c r="AO357" s="596" t="s">
        <v>896</v>
      </c>
      <c r="AP357" s="596" t="s">
        <v>844</v>
      </c>
      <c r="AQ357" s="596" t="s">
        <v>896</v>
      </c>
      <c r="AR357" s="596" t="s">
        <v>844</v>
      </c>
      <c r="AS357" s="596" t="s">
        <v>896</v>
      </c>
      <c r="AT357" s="596" t="s">
        <v>844</v>
      </c>
      <c r="AU357" s="596" t="s">
        <v>896</v>
      </c>
      <c r="AV357" s="596" t="s">
        <v>844</v>
      </c>
      <c r="AW357" s="596" t="s">
        <v>896</v>
      </c>
      <c r="AX357" s="596" t="s">
        <v>844</v>
      </c>
      <c r="AY357" s="596" t="s">
        <v>896</v>
      </c>
      <c r="AZ357" s="596" t="s">
        <v>844</v>
      </c>
      <c r="BA357" s="596" t="s">
        <v>896</v>
      </c>
      <c r="BB357" s="596" t="s">
        <v>844</v>
      </c>
      <c r="BD357" s="60" t="s">
        <v>887</v>
      </c>
      <c r="BE357" s="60" t="s">
        <v>867</v>
      </c>
    </row>
    <row r="358" spans="1:59" s="70" customFormat="1" ht="36" customHeight="1" x14ac:dyDescent="0.25">
      <c r="A358" s="63">
        <f>IF(D358="","",SUBTOTAL(3,$D$8:D358))</f>
        <v>305</v>
      </c>
      <c r="B358" s="63" t="s">
        <v>10</v>
      </c>
      <c r="C358" s="71" t="s">
        <v>433</v>
      </c>
      <c r="D358" s="92" t="s">
        <v>603</v>
      </c>
      <c r="E358" s="652"/>
      <c r="F358" s="652"/>
      <c r="G358" s="282" t="str">
        <f t="shared" si="115"/>
        <v>A2</v>
      </c>
      <c r="H358" s="234"/>
      <c r="I358" s="737" t="s">
        <v>965</v>
      </c>
      <c r="J358" s="737" t="s">
        <v>954</v>
      </c>
      <c r="K358" s="234"/>
      <c r="L358" s="298" t="s">
        <v>85</v>
      </c>
      <c r="M358" s="1140"/>
      <c r="N358" s="310">
        <f>IFERROR(VLOOKUP($D358,'TT.THƯ VIỆN'!$C$10:$Z$17,13,0),0)</f>
        <v>1</v>
      </c>
      <c r="O358" s="310">
        <f>IFERROR(VLOOKUP($D358,'TT.THƯ VIỆN'!$C$10:$Z$17,23,0),0)</f>
        <v>2</v>
      </c>
      <c r="P358" s="313" t="str">
        <f t="shared" si="116"/>
        <v>A3</v>
      </c>
      <c r="Q358" s="341" t="str">
        <f t="shared" si="117"/>
        <v>A3</v>
      </c>
      <c r="R358" s="325"/>
      <c r="S358" s="671"/>
      <c r="T358" s="671"/>
      <c r="U358" s="176" t="str">
        <f t="shared" si="118"/>
        <v>A3</v>
      </c>
      <c r="V358" s="179"/>
      <c r="W358" s="330">
        <f>IFERROR(VLOOKUP($D358,'TT.THƯ VIỆN'!$C$10:$Z$17,14,0),0)</f>
        <v>1</v>
      </c>
      <c r="X358" s="330">
        <f>IFERROR(VLOOKUP($D358,'TT.THƯ VIỆN'!$C$10:$Z$17,24,0),0)</f>
        <v>2</v>
      </c>
      <c r="Y358" s="560">
        <v>1</v>
      </c>
      <c r="Z358" s="859"/>
      <c r="AA358" s="842"/>
      <c r="AB358" s="773"/>
      <c r="AC358" s="774"/>
      <c r="AD358" s="213"/>
      <c r="AE358" s="60" t="str">
        <f t="shared" si="106"/>
        <v>A3</v>
      </c>
      <c r="AF358" s="60">
        <v>21.5</v>
      </c>
      <c r="AG358" s="604" t="s">
        <v>846</v>
      </c>
      <c r="AH358" s="604"/>
      <c r="AI358" s="605">
        <f>AH358/$L354</f>
        <v>0</v>
      </c>
      <c r="AJ358" s="590"/>
      <c r="AK358" s="597" t="s">
        <v>864</v>
      </c>
      <c r="AL358" s="595">
        <f>COUNTIF($BE356:$BE363,"CBQL")</f>
        <v>1</v>
      </c>
      <c r="AM358" s="595">
        <f>COUNTIF($U356:$U356,"A1")</f>
        <v>0</v>
      </c>
      <c r="AN358" s="611">
        <f>AM358/$AL$358</f>
        <v>0</v>
      </c>
      <c r="AO358" s="595">
        <f>COUNTIF($U356:$U356,"A2")</f>
        <v>0</v>
      </c>
      <c r="AP358" s="611">
        <f>AO358/$AL$358</f>
        <v>0</v>
      </c>
      <c r="AQ358" s="595">
        <f>COUNTIF($U356:$U356,"A3")</f>
        <v>1</v>
      </c>
      <c r="AR358" s="611">
        <f>AQ358/$AL$358</f>
        <v>1</v>
      </c>
      <c r="AS358" s="595">
        <f>COUNTIF($U356:$U356,"A4")</f>
        <v>0</v>
      </c>
      <c r="AT358" s="611">
        <f>AS358/$AL$358</f>
        <v>0</v>
      </c>
      <c r="AU358" s="595">
        <f>COUNTIF($U356:$U356,"B1")</f>
        <v>0</v>
      </c>
      <c r="AV358" s="611">
        <f>AU358/$AL$357</f>
        <v>0</v>
      </c>
      <c r="AW358" s="595">
        <f>COUNTIF($U356:$U356,"B2")</f>
        <v>0</v>
      </c>
      <c r="AX358" s="611">
        <f>AW358/$AL$357</f>
        <v>0</v>
      </c>
      <c r="AY358" s="595">
        <f>COUNTIF($U356:$U356,"C1")</f>
        <v>0</v>
      </c>
      <c r="AZ358" s="611">
        <f>AY358/$AL$357</f>
        <v>0</v>
      </c>
      <c r="BA358" s="595">
        <f>COUNTIF($U356:$U356,"C2")</f>
        <v>0</v>
      </c>
      <c r="BB358" s="611">
        <f>BA358/$AL$357</f>
        <v>0</v>
      </c>
      <c r="BD358" s="60" t="s">
        <v>887</v>
      </c>
      <c r="BE358" s="60" t="s">
        <v>867</v>
      </c>
    </row>
    <row r="359" spans="1:59" s="70" customFormat="1" ht="36" customHeight="1" x14ac:dyDescent="0.25">
      <c r="A359" s="63">
        <f>IF(D359="","",SUBTOTAL(3,$D$8:D359))</f>
        <v>306</v>
      </c>
      <c r="B359" s="63" t="s">
        <v>11</v>
      </c>
      <c r="C359" s="71" t="s">
        <v>434</v>
      </c>
      <c r="D359" s="92" t="s">
        <v>604</v>
      </c>
      <c r="E359" s="652"/>
      <c r="F359" s="652"/>
      <c r="G359" s="282" t="str">
        <f t="shared" si="115"/>
        <v>A2</v>
      </c>
      <c r="H359" s="234"/>
      <c r="I359" s="737" t="s">
        <v>1038</v>
      </c>
      <c r="J359" s="737" t="s">
        <v>954</v>
      </c>
      <c r="K359" s="234"/>
      <c r="L359" s="298" t="s">
        <v>85</v>
      </c>
      <c r="M359" s="1140"/>
      <c r="N359" s="310">
        <f>IFERROR(VLOOKUP($D359,'TT.THƯ VIỆN'!$C$10:$Z$17,13,0),0)</f>
        <v>1</v>
      </c>
      <c r="O359" s="310">
        <f>IFERROR(VLOOKUP($D359,'TT.THƯ VIỆN'!$C$10:$Z$17,23,0),0)</f>
        <v>1</v>
      </c>
      <c r="P359" s="313" t="str">
        <f t="shared" si="116"/>
        <v>A3</v>
      </c>
      <c r="Q359" s="341" t="str">
        <f t="shared" si="117"/>
        <v>A3</v>
      </c>
      <c r="R359" s="315"/>
      <c r="S359" s="662"/>
      <c r="T359" s="662"/>
      <c r="U359" s="176" t="str">
        <f t="shared" si="118"/>
        <v>A3</v>
      </c>
      <c r="V359" s="177"/>
      <c r="W359" s="330">
        <f>IFERROR(VLOOKUP($D359,'TT.THƯ VIỆN'!$C$10:$Z$17,14,0),0)</f>
        <v>1</v>
      </c>
      <c r="X359" s="330">
        <f>IFERROR(VLOOKUP($D359,'TT.THƯ VIỆN'!$C$10:$Z$17,24,0),0)</f>
        <v>1</v>
      </c>
      <c r="Y359" s="560">
        <v>1</v>
      </c>
      <c r="Z359" s="857"/>
      <c r="AA359" s="857"/>
      <c r="AB359" s="773"/>
      <c r="AC359" s="774"/>
      <c r="AD359" s="213"/>
      <c r="AE359" s="60" t="str">
        <f t="shared" si="106"/>
        <v>A3</v>
      </c>
      <c r="AF359" s="60">
        <v>23</v>
      </c>
      <c r="AG359" s="1113"/>
      <c r="AH359" s="614">
        <f>AH357+AH358</f>
        <v>1</v>
      </c>
      <c r="AI359" s="615">
        <f>AI357+AI358</f>
        <v>0.14285714285714285</v>
      </c>
      <c r="AJ359" s="590"/>
      <c r="AK359" s="616" t="s">
        <v>865</v>
      </c>
      <c r="AL359" s="595">
        <f>COUNTIF($BE356:$BE363,"GV") + COUNTIF($BE356:$BE363,"NV")</f>
        <v>6</v>
      </c>
      <c r="AM359" s="595">
        <f>COUNTIF($U357:$U363,"A1")</f>
        <v>0</v>
      </c>
      <c r="AN359" s="611">
        <f>AM359/$AL$359</f>
        <v>0</v>
      </c>
      <c r="AO359" s="595">
        <f>COUNTIF($U357:$U363,"A2")</f>
        <v>0</v>
      </c>
      <c r="AP359" s="611">
        <f>AO359/$AL$359</f>
        <v>0</v>
      </c>
      <c r="AQ359" s="595">
        <f>COUNTIF($U357:$U363,"A3")</f>
        <v>4</v>
      </c>
      <c r="AR359" s="611">
        <f>AQ359/$AL$359</f>
        <v>0.66666666666666663</v>
      </c>
      <c r="AS359" s="595">
        <f>COUNTIF($U357:$U363,"A4")</f>
        <v>2</v>
      </c>
      <c r="AT359" s="611">
        <f>AS359/$AL$359</f>
        <v>0.33333333333333331</v>
      </c>
      <c r="AU359" s="595">
        <f>COUNTIF($U357:$U363,"B1")</f>
        <v>0</v>
      </c>
      <c r="AV359" s="611">
        <f>AU359/$AL$357</f>
        <v>0</v>
      </c>
      <c r="AW359" s="595">
        <f>COUNTIF($U357:$U363,"B2")</f>
        <v>0</v>
      </c>
      <c r="AX359" s="611">
        <f>AW359/$AL$357</f>
        <v>0</v>
      </c>
      <c r="AY359" s="595">
        <f>COUNTIF($U357:$U363,"C1")</f>
        <v>0</v>
      </c>
      <c r="AZ359" s="611">
        <f>AY359/$AL$357</f>
        <v>0</v>
      </c>
      <c r="BA359" s="595">
        <f>COUNTIF($U357:$U363,"C2")</f>
        <v>0</v>
      </c>
      <c r="BB359" s="611">
        <f>BA359/$AL$357</f>
        <v>0</v>
      </c>
      <c r="BD359" s="60" t="s">
        <v>887</v>
      </c>
      <c r="BE359" s="60" t="s">
        <v>867</v>
      </c>
    </row>
    <row r="360" spans="1:59" s="57" customFormat="1" ht="42.75" customHeight="1" x14ac:dyDescent="0.25">
      <c r="A360" s="65" t="s">
        <v>51</v>
      </c>
      <c r="B360" s="65" t="s">
        <v>51</v>
      </c>
      <c r="C360" s="66" t="s">
        <v>48</v>
      </c>
      <c r="D360" s="65"/>
      <c r="E360" s="652"/>
      <c r="F360" s="652"/>
      <c r="G360" s="280">
        <f>COUNTA($L361:$L363)</f>
        <v>3</v>
      </c>
      <c r="H360" s="234"/>
      <c r="I360" s="737"/>
      <c r="J360" s="737"/>
      <c r="K360" s="234"/>
      <c r="L360" s="500">
        <f>COUNTA($L361:$L363)</f>
        <v>3</v>
      </c>
      <c r="M360" s="286" t="str">
        <f>(COUNTIF($L$361:$L$363,"A1")&amp;"A1")&amp;" + "&amp;(COUNTIF($L$361:$L$363,"A2")&amp;"A2")&amp;" + "&amp;(COUNTIF($L$361:$L$363,"A3")&amp;"A3")&amp;" + "&amp;(COUNTIF($L$361:$L$363,"A4")&amp;"A4")</f>
        <v>0A1 + 0A2 + 2A3 + 1A4</v>
      </c>
      <c r="N360" s="297">
        <f>IFERROR(VLOOKUP($C360,'[2]TT.THƯ VIỆN'!$B$10:$T$17,4,0),0)</f>
        <v>0</v>
      </c>
      <c r="O360" s="297">
        <f>IFERROR(VLOOKUP($C360,'[2]TT.THƯ VIỆN'!$B$10:$T$17,8,0),0)</f>
        <v>0</v>
      </c>
      <c r="P360" s="311">
        <f>COUNTA($Q$361:$Q$363)</f>
        <v>3</v>
      </c>
      <c r="Q360" s="340">
        <f>COUNTA($Q$361:$Q$363)</f>
        <v>3</v>
      </c>
      <c r="R360" s="312" t="str">
        <f>(COUNTIF($Q$361:$Q$363,"A1")&amp;"A1")&amp;" + "&amp;(COUNTIF($Q$361:$Q$363,"A2")&amp;"A2")&amp;" + "&amp;(COUNTIF($Q$361:$Q$363,"A3")&amp;"A3")&amp;" + "&amp;(COUNTIF($Q$361:$Q$363,"A4")&amp;"A4")</f>
        <v>0A1 + 0A2 + 2A3 + 1A4</v>
      </c>
      <c r="S360" s="661"/>
      <c r="T360" s="661"/>
      <c r="U360" s="174">
        <f>COUNTA($U361:$U363)</f>
        <v>3</v>
      </c>
      <c r="V360" s="175" t="str">
        <f>(COUNTIF($U$361:$U$363,"A1")&amp;"A1")&amp;" + "&amp;(COUNTIF($U$361:$U$363,"A2")&amp;"A2")&amp;" + "&amp;(COUNTIF($U$361:$U$363,"A3")&amp;"A3")&amp;" + "&amp;(COUNTIF($U$361:$U$363,"A4")&amp;"A4")</f>
        <v>0A1 + 0A2 + 2A3 + 1A4</v>
      </c>
      <c r="W360" s="321">
        <f>IFERROR(VLOOKUP($C360,'[2]TT.THƯ VIỆN'!$B$10:$T$17,4,0),0)</f>
        <v>0</v>
      </c>
      <c r="X360" s="321">
        <f>IFERROR(VLOOKUP($C360,'[2]TT.THƯ VIỆN'!$B$10:$T$17,8,0),0)</f>
        <v>0</v>
      </c>
      <c r="Y360" s="508"/>
      <c r="Z360" s="862"/>
      <c r="AA360" s="862"/>
      <c r="AB360" s="242"/>
      <c r="AC360" s="836"/>
      <c r="AD360" s="213"/>
      <c r="AE360" s="60"/>
      <c r="AF360" s="60"/>
      <c r="AG360" s="732"/>
      <c r="AH360" s="542"/>
      <c r="AI360" s="542"/>
      <c r="AK360" s="589"/>
      <c r="AL360" s="589"/>
      <c r="AM360" s="589"/>
      <c r="AN360" s="589"/>
      <c r="AO360" s="589"/>
      <c r="AP360" s="589"/>
      <c r="AQ360" s="589"/>
      <c r="AR360" s="589"/>
      <c r="AS360" s="589"/>
      <c r="AT360" s="589"/>
      <c r="AU360" s="589"/>
      <c r="AV360" s="589"/>
      <c r="AW360" s="589"/>
      <c r="AX360" s="589"/>
      <c r="AY360" s="589"/>
      <c r="AZ360" s="589"/>
      <c r="BA360" s="589"/>
      <c r="BB360" s="589"/>
      <c r="BD360" s="60" t="s">
        <v>887</v>
      </c>
      <c r="BE360" s="60"/>
    </row>
    <row r="361" spans="1:59" s="57" customFormat="1" ht="32.25" customHeight="1" x14ac:dyDescent="0.25">
      <c r="A361" s="63">
        <f>IF(D361="","",SUBTOTAL(3,$D$8:D361))</f>
        <v>307</v>
      </c>
      <c r="B361" s="63" t="s">
        <v>12</v>
      </c>
      <c r="C361" s="71" t="s">
        <v>435</v>
      </c>
      <c r="D361" s="89" t="s">
        <v>605</v>
      </c>
      <c r="E361" s="652"/>
      <c r="F361" s="652"/>
      <c r="G361" s="282" t="str">
        <f t="shared" si="115"/>
        <v>A2</v>
      </c>
      <c r="H361" s="234"/>
      <c r="I361" s="737" t="s">
        <v>966</v>
      </c>
      <c r="J361" s="737" t="s">
        <v>954</v>
      </c>
      <c r="K361" s="234"/>
      <c r="L361" s="298" t="s">
        <v>85</v>
      </c>
      <c r="M361" s="1140"/>
      <c r="N361" s="310">
        <f>IFERROR(VLOOKUP($D361,'TT.THƯ VIỆN'!$C$10:$Z$17,13,0),0)</f>
        <v>1</v>
      </c>
      <c r="O361" s="310">
        <f>IFERROR(VLOOKUP($D361,'TT.THƯ VIỆN'!$C$10:$Z$17,23,0),0)</f>
        <v>1</v>
      </c>
      <c r="P361" s="313" t="str">
        <f t="shared" ref="P361" si="119">IF(AND($W361&gt;=2,$X361&gt;=3,$Y361&gt;=1,H361&lt;&gt;0),"A1",IF(AND($W361&gt;=3,$X361&gt;=1,$Y361&gt;=1,H361&lt;&gt;0),"A1",IF(AND($W361&gt;=2,$X361&gt;=2,$Y361&gt;=1,I361&lt;&gt;0),"A2",IF(AND($W361&gt;=3,$X361&gt;=0,$Y361&gt;=1,I361&lt;&gt;0),"A2",IF(AND(OR($W361&gt;=1,$X361&gt;=2),J361&lt;&gt;0,$Y361&gt;=-2),"A3","A4")))))</f>
        <v>A3</v>
      </c>
      <c r="Q361" s="341" t="str">
        <f>P361</f>
        <v>A3</v>
      </c>
      <c r="R361" s="325"/>
      <c r="S361" s="671"/>
      <c r="T361" s="671"/>
      <c r="U361" s="176" t="str">
        <f t="shared" si="118"/>
        <v>A3</v>
      </c>
      <c r="V361" s="178"/>
      <c r="W361" s="330">
        <f>IFERROR(VLOOKUP($D361,'TT.THƯ VIỆN'!$C$10:$Z$17,14,0),0)</f>
        <v>1</v>
      </c>
      <c r="X361" s="330">
        <f>IFERROR(VLOOKUP($D361,'TT.THƯ VIỆN'!$C$10:$Z$17,24,0),0)</f>
        <v>1</v>
      </c>
      <c r="Y361" s="89"/>
      <c r="Z361" s="842"/>
      <c r="AA361" s="842"/>
      <c r="AB361" s="242"/>
      <c r="AC361" s="866"/>
      <c r="AD361" s="213"/>
      <c r="AE361" s="60" t="str">
        <f t="shared" si="106"/>
        <v>A3</v>
      </c>
      <c r="AF361" s="60">
        <v>26</v>
      </c>
      <c r="AG361" s="732"/>
      <c r="AH361" s="542"/>
      <c r="AI361" s="542"/>
      <c r="AK361" s="589"/>
      <c r="AL361" s="589"/>
      <c r="AM361" s="589"/>
      <c r="AN361" s="589"/>
      <c r="AO361" s="589"/>
      <c r="AP361" s="589"/>
      <c r="AQ361" s="589"/>
      <c r="AR361" s="589"/>
      <c r="AS361" s="589"/>
      <c r="AT361" s="589"/>
      <c r="AU361" s="589"/>
      <c r="AV361" s="589"/>
      <c r="AW361" s="589"/>
      <c r="AX361" s="589"/>
      <c r="AY361" s="589"/>
      <c r="AZ361" s="589"/>
      <c r="BA361" s="589"/>
      <c r="BB361" s="589"/>
      <c r="BD361" s="60" t="s">
        <v>887</v>
      </c>
      <c r="BE361" s="60" t="s">
        <v>867</v>
      </c>
    </row>
    <row r="362" spans="1:59" s="70" customFormat="1" ht="32.25" customHeight="1" x14ac:dyDescent="0.25">
      <c r="A362" s="63">
        <f>IF(D362="","",SUBTOTAL(3,$D$8:D362))</f>
        <v>308</v>
      </c>
      <c r="B362" s="63" t="s">
        <v>13</v>
      </c>
      <c r="C362" s="71" t="s">
        <v>436</v>
      </c>
      <c r="D362" s="89" t="s">
        <v>606</v>
      </c>
      <c r="E362" s="652"/>
      <c r="F362" s="652"/>
      <c r="G362" s="282" t="str">
        <f t="shared" si="115"/>
        <v>A2</v>
      </c>
      <c r="H362" s="234"/>
      <c r="I362" s="737" t="s">
        <v>965</v>
      </c>
      <c r="J362" s="737" t="s">
        <v>954</v>
      </c>
      <c r="K362" s="234"/>
      <c r="L362" s="298" t="s">
        <v>83</v>
      </c>
      <c r="M362" s="1140"/>
      <c r="N362" s="310">
        <f>IFERROR(VLOOKUP($D362,'TT.THƯ VIỆN'!$C$10:$Z$17,13,0),0)</f>
        <v>0</v>
      </c>
      <c r="O362" s="310">
        <f>IFERROR(VLOOKUP($D362,'TT.THƯ VIỆN'!$C$10:$Z$17,23,0),0)</f>
        <v>1</v>
      </c>
      <c r="P362" s="313" t="str">
        <f t="shared" ref="P362:P363" si="120">IF(AND($W362&gt;=2,$X362&gt;=3,$Y362&gt;=1,H362&lt;&gt;0),"A1",IF(AND($W362&gt;=3,$X362&gt;=1,$Y362&gt;=1,H362&lt;&gt;0),"A1",IF(AND($W362&gt;=2,$X362&gt;=2,$Y362&gt;=1,I362&lt;&gt;0),"A2",IF(AND($W362&gt;=3,$X362&gt;=0,$Y362&gt;=1,I362&lt;&gt;0),"A2",IF(AND(OR($W362&gt;=1,$X362&gt;=2),J362&lt;&gt;0,$Y362&gt;=-2),"A3","A4")))))</f>
        <v>A4</v>
      </c>
      <c r="Q362" s="341" t="str">
        <f t="shared" ref="Q362:Q363" si="121">P362</f>
        <v>A4</v>
      </c>
      <c r="R362" s="325"/>
      <c r="S362" s="671"/>
      <c r="T362" s="671"/>
      <c r="U362" s="176" t="str">
        <f t="shared" si="118"/>
        <v>A4</v>
      </c>
      <c r="V362" s="178"/>
      <c r="W362" s="330">
        <f>IFERROR(VLOOKUP($D362,'TT.THƯ VIỆN'!$C$10:$Z$17,14,0),0)</f>
        <v>0</v>
      </c>
      <c r="X362" s="330">
        <f>IFERROR(VLOOKUP($D362,'TT.THƯ VIỆN'!$C$10:$Z$17,24,0),0)</f>
        <v>1</v>
      </c>
      <c r="Y362" s="333">
        <v>1</v>
      </c>
      <c r="Z362" s="3"/>
      <c r="AA362" s="3"/>
      <c r="AB362" s="773"/>
      <c r="AC362" s="774"/>
      <c r="AD362" s="213"/>
      <c r="AE362" s="60" t="str">
        <f t="shared" si="106"/>
        <v>A4</v>
      </c>
      <c r="AF362" s="60">
        <v>26</v>
      </c>
      <c r="BD362" s="60" t="s">
        <v>887</v>
      </c>
      <c r="BE362" s="60" t="s">
        <v>867</v>
      </c>
    </row>
    <row r="363" spans="1:59" s="70" customFormat="1" ht="32.25" customHeight="1" x14ac:dyDescent="0.25">
      <c r="A363" s="63">
        <f>IF(D363="","",SUBTOTAL(3,$D$8:D363))</f>
        <v>309</v>
      </c>
      <c r="B363" s="63" t="s">
        <v>14</v>
      </c>
      <c r="C363" s="71" t="s">
        <v>437</v>
      </c>
      <c r="D363" s="92" t="s">
        <v>607</v>
      </c>
      <c r="E363" s="652"/>
      <c r="F363" s="652"/>
      <c r="G363" s="282" t="str">
        <f t="shared" si="115"/>
        <v>A2</v>
      </c>
      <c r="H363" s="234"/>
      <c r="I363" s="737" t="s">
        <v>965</v>
      </c>
      <c r="J363" s="737" t="s">
        <v>954</v>
      </c>
      <c r="K363" s="234"/>
      <c r="L363" s="298" t="s">
        <v>85</v>
      </c>
      <c r="M363" s="1139"/>
      <c r="N363" s="310">
        <f>IFERROR(VLOOKUP($D363,'TT.THƯ VIỆN'!$C$10:$Z$17,13,0),0)</f>
        <v>0</v>
      </c>
      <c r="O363" s="310">
        <f>IFERROR(VLOOKUP($D363,'TT.THƯ VIỆN'!$C$10:$Z$17,23,0),0)</f>
        <v>2</v>
      </c>
      <c r="P363" s="313" t="str">
        <f t="shared" si="120"/>
        <v>A3</v>
      </c>
      <c r="Q363" s="341" t="str">
        <f t="shared" si="121"/>
        <v>A3</v>
      </c>
      <c r="R363" s="350"/>
      <c r="S363" s="684"/>
      <c r="T363" s="684"/>
      <c r="U363" s="176" t="str">
        <f t="shared" si="118"/>
        <v>A3</v>
      </c>
      <c r="V363" s="179">
        <f>R363</f>
        <v>0</v>
      </c>
      <c r="W363" s="330">
        <f>IFERROR(VLOOKUP($D363,'TT.THƯ VIỆN'!$C$10:$Z$17,14,0),0)</f>
        <v>0</v>
      </c>
      <c r="X363" s="330">
        <f>IFERROR(VLOOKUP($D363,'TT.THƯ VIỆN'!$C$10:$Z$17,24,0),0)</f>
        <v>2</v>
      </c>
      <c r="Y363" s="507">
        <v>-2</v>
      </c>
      <c r="Z363" s="2"/>
      <c r="AA363" s="2"/>
      <c r="AB363" s="773"/>
      <c r="AC363" s="774"/>
      <c r="AD363" s="213"/>
      <c r="AE363" s="60" t="str">
        <f t="shared" si="106"/>
        <v>A3</v>
      </c>
      <c r="AF363" s="60">
        <v>17</v>
      </c>
      <c r="AH363" s="607"/>
      <c r="AI363" s="607"/>
      <c r="AJ363" s="607"/>
      <c r="BD363" s="60" t="s">
        <v>887</v>
      </c>
      <c r="BE363" s="60" t="s">
        <v>867</v>
      </c>
    </row>
    <row r="364" spans="1:59" ht="35.25" customHeight="1" x14ac:dyDescent="0.25">
      <c r="A364" s="62" t="s">
        <v>740</v>
      </c>
      <c r="B364" s="62" t="s">
        <v>739</v>
      </c>
      <c r="C364" s="64" t="s">
        <v>933</v>
      </c>
      <c r="D364" s="62"/>
      <c r="E364" s="652"/>
      <c r="F364" s="652"/>
      <c r="G364" s="280">
        <f>$L$365+G372</f>
        <v>10</v>
      </c>
      <c r="H364" s="234"/>
      <c r="I364" s="334" t="s">
        <v>956</v>
      </c>
      <c r="J364" s="234"/>
      <c r="K364" s="234"/>
      <c r="L364" s="500">
        <f>$L$365+L372</f>
        <v>10</v>
      </c>
      <c r="M364" s="286" t="str">
        <f>(COUNTIF($L$366:$L$376,"A1")&amp;"A1")&amp;" + "&amp;(COUNTIF($L$366:$L$376,"A2")&amp;"A2")&amp;" + "&amp;(COUNTIF($L$366:$L$376,"A3")&amp;"A3")&amp;" + "&amp;(COUNTIF($L$366:$L$376,"A4")&amp;"A4")</f>
        <v>1A1 + 3A2 + 3A3 + 3A4</v>
      </c>
      <c r="N364" s="500"/>
      <c r="O364" s="500"/>
      <c r="P364" s="311">
        <f>$Q$365+$Q$372</f>
        <v>10</v>
      </c>
      <c r="Q364" s="340">
        <f>$Q$365+$Q$372</f>
        <v>10</v>
      </c>
      <c r="R364" s="312" t="str">
        <f>(COUNTIF($Q$366:$Q$376,"A1")&amp;"A1")&amp;" + "&amp;(COUNTIF($Q$366:$Q$376,"A2")&amp;"A2")&amp;" + "&amp;(COUNTIF($Q$366:$Q$376,"A3")&amp;"A3")&amp;" + "&amp;(COUNTIF($Q$366:$Q$376,"A4")&amp;"A4")</f>
        <v>3A1 + 3A2 + 1A3 + 3A4</v>
      </c>
      <c r="S364" s="661"/>
      <c r="T364" s="661"/>
      <c r="U364" s="174">
        <f>$U$365+$U372</f>
        <v>10</v>
      </c>
      <c r="V364" s="175" t="str">
        <f>(COUNTIF($U$366:$U$376,"A1")&amp;"A1")&amp;" + "&amp;(COUNTIF($U$366:$U$376,"A2")&amp;"A2")&amp;" + "&amp;(COUNTIF($U$366:$U$376,"A3")&amp;"A3")&amp;" + "&amp;(COUNTIF($U$366:$U$376,"A4")&amp;"A4")&amp;" + "&amp;(COUNTIF($U$366:$U$376,"C1")&amp;"C1")</f>
        <v>3A1 + 4A2 + 0A3 + 3A4 + 0C1</v>
      </c>
      <c r="W364" s="501"/>
      <c r="X364" s="501"/>
      <c r="Y364" s="556"/>
      <c r="Z364" s="95"/>
      <c r="AA364" s="95"/>
      <c r="AB364" s="242"/>
      <c r="AC364" s="1353"/>
      <c r="AD364" s="219"/>
      <c r="AE364" s="60"/>
      <c r="AF364" s="60"/>
      <c r="AG364" s="607"/>
      <c r="AH364" s="608"/>
      <c r="AI364" s="608"/>
      <c r="AK364" s="1327" t="s">
        <v>906</v>
      </c>
      <c r="AL364" s="1327"/>
      <c r="AM364" s="1327"/>
      <c r="AN364" s="1327"/>
      <c r="AO364" s="1327"/>
      <c r="AP364" s="1327"/>
      <c r="AQ364" s="1327"/>
      <c r="AR364" s="1327"/>
      <c r="AS364" s="1327"/>
      <c r="AT364" s="1327"/>
      <c r="AU364" s="1327"/>
      <c r="AV364" s="1327"/>
      <c r="AW364" s="1327"/>
      <c r="AX364" s="1327"/>
      <c r="AY364" s="1327"/>
      <c r="AZ364" s="1327"/>
      <c r="BA364" s="1327"/>
      <c r="BB364" s="1327"/>
      <c r="BF364" s="60">
        <f>COUNTIF($BE366:$BE376,"CBQL")</f>
        <v>2</v>
      </c>
      <c r="BG364" s="60">
        <f>COUNTIF($BE366:$BE376,"GV") + COUNTIF($BE366:$BE376,"NV")</f>
        <v>8</v>
      </c>
    </row>
    <row r="365" spans="1:59" s="57" customFormat="1" ht="35.25" customHeight="1" x14ac:dyDescent="0.25">
      <c r="A365" s="65" t="s">
        <v>45</v>
      </c>
      <c r="B365" s="65" t="s">
        <v>45</v>
      </c>
      <c r="C365" s="66" t="s">
        <v>46</v>
      </c>
      <c r="D365" s="65"/>
      <c r="E365" s="652"/>
      <c r="F365" s="652"/>
      <c r="G365" s="280">
        <f>COUNTA($L366:$L371)</f>
        <v>6</v>
      </c>
      <c r="H365" s="234"/>
      <c r="I365" s="234"/>
      <c r="J365" s="234"/>
      <c r="K365" s="234"/>
      <c r="L365" s="500">
        <f>COUNTA($L366:$L371)</f>
        <v>6</v>
      </c>
      <c r="M365" s="286" t="str">
        <f>(COUNTIF($L$366:$L$371,"A1")&amp;"A1")&amp;" + "&amp;(COUNTIF($L$366:$L$371,"A2")&amp;"A2")&amp;" + "&amp;(COUNTIF($L$366:$L$371,"A3")&amp;"A3")&amp;" + "&amp;(COUNTIF($L$366:$L$371,"A4")&amp;"A4")</f>
        <v>1A1 + 2A2 + 2A3 + 1A4</v>
      </c>
      <c r="N365" s="500"/>
      <c r="O365" s="500"/>
      <c r="P365" s="311">
        <f>COUNTA($Q366:$Q371)</f>
        <v>6</v>
      </c>
      <c r="Q365" s="340">
        <f>COUNTA($Q366:$Q371)</f>
        <v>6</v>
      </c>
      <c r="R365" s="312" t="str">
        <f>(COUNTIF($Q$366:$Q$371,"A1")&amp;"A1")&amp;" + "&amp;(COUNTIF($Q$366:$Q$371,"A2")&amp;"A2")&amp;" + "&amp;(COUNTIF($Q$366:$Q$371,"A3")&amp;"A3")&amp;" + "&amp;(COUNTIF($Q$366:$Q$371,"A4")&amp;"A4")</f>
        <v>2A1 + 2A2 + 1A3 + 1A4</v>
      </c>
      <c r="S365" s="661"/>
      <c r="T365" s="661"/>
      <c r="U365" s="174">
        <f>COUNTA($U366:$U371)</f>
        <v>6</v>
      </c>
      <c r="V365" s="175" t="str">
        <f>(COUNTIF($U$366:$U$371,"A1")&amp;"A1")&amp;" + "&amp;(COUNTIF($U$366:$U$371,"A2")&amp;"A2")&amp;" + "&amp;(COUNTIF($U$366:$U$371,"A3")&amp;"A3")&amp;" + "&amp;(COUNTIF($U$366:$U$371,"A4")&amp;"A4")&amp;" + "&amp;(COUNTIF($U$366:$U$371,"C1")&amp;"C1")</f>
        <v>2A1 + 3A2 + 0A3 + 1A4 + 0C1</v>
      </c>
      <c r="W365" s="501"/>
      <c r="X365" s="501"/>
      <c r="Y365" s="556"/>
      <c r="Z365" s="95"/>
      <c r="AA365" s="95"/>
      <c r="AB365" s="242"/>
      <c r="AC365" s="1354"/>
      <c r="AD365" s="213"/>
      <c r="AE365" s="60"/>
      <c r="AF365" s="1165"/>
      <c r="AG365" s="1328" t="s">
        <v>915</v>
      </c>
      <c r="AH365" s="1328"/>
      <c r="AI365" s="1328"/>
      <c r="AJ365" s="59"/>
      <c r="AK365" s="598" t="s">
        <v>934</v>
      </c>
      <c r="AL365" s="598" t="s">
        <v>907</v>
      </c>
      <c r="AM365" s="1329" t="s">
        <v>897</v>
      </c>
      <c r="AN365" s="1329"/>
      <c r="AO365" s="1329" t="s">
        <v>898</v>
      </c>
      <c r="AP365" s="1329"/>
      <c r="AQ365" s="1329" t="s">
        <v>899</v>
      </c>
      <c r="AR365" s="1329"/>
      <c r="AS365" s="1329" t="s">
        <v>900</v>
      </c>
      <c r="AT365" s="1329"/>
      <c r="AU365" s="1329" t="s">
        <v>902</v>
      </c>
      <c r="AV365" s="1329"/>
      <c r="AW365" s="1329" t="s">
        <v>903</v>
      </c>
      <c r="AX365" s="1329"/>
      <c r="AY365" s="1329" t="s">
        <v>904</v>
      </c>
      <c r="AZ365" s="1329"/>
      <c r="BA365" s="1329" t="s">
        <v>905</v>
      </c>
      <c r="BB365" s="1329"/>
      <c r="BD365" s="60"/>
      <c r="BE365" s="60"/>
    </row>
    <row r="366" spans="1:59" s="70" customFormat="1" ht="45.75" customHeight="1" x14ac:dyDescent="0.25">
      <c r="A366" s="63">
        <f>IF(D366="","",SUBTOTAL(3,$D$8:D366))</f>
        <v>310</v>
      </c>
      <c r="B366" s="63" t="s">
        <v>10</v>
      </c>
      <c r="C366" s="71" t="s">
        <v>356</v>
      </c>
      <c r="D366" s="73" t="s">
        <v>65</v>
      </c>
      <c r="E366" s="691" t="s">
        <v>949</v>
      </c>
      <c r="F366" s="691" t="s">
        <v>950</v>
      </c>
      <c r="G366" s="282" t="str">
        <f t="shared" ref="G366:G373" si="122">IF($H366&lt;&gt;0,"A1",IF($I366&lt;&gt;0,"A2",IF($J366&lt;&gt;0,"A3","A4")))</f>
        <v>A1</v>
      </c>
      <c r="H366" s="737" t="s">
        <v>1034</v>
      </c>
      <c r="I366" s="737" t="s">
        <v>962</v>
      </c>
      <c r="J366" s="737" t="s">
        <v>954</v>
      </c>
      <c r="K366" s="739" t="s">
        <v>1050</v>
      </c>
      <c r="L366" s="294" t="s">
        <v>82</v>
      </c>
      <c r="M366" s="292" t="s">
        <v>1192</v>
      </c>
      <c r="N366" s="310">
        <f>IFERROR(VLOOKUP($D366,TT.ĐTLTT!$C$10:$AJ$20,17,0),0)</f>
        <v>7</v>
      </c>
      <c r="O366" s="310">
        <f>IFERROR(VLOOKUP($D366,TT.ĐTLTT!$C$10:$AJ$20,27,0),0)</f>
        <v>3</v>
      </c>
      <c r="P366" s="313" t="str">
        <f t="shared" ref="P366:P373" si="123">IF(AND($W366&gt;=2,$X366&gt;=3,$Y366&gt;=1,H366&lt;&gt;0),"A1",IF(AND($W366&gt;=3,$X366&gt;=1,$Y366&gt;=1,H366&lt;&gt;0),"A1",IF(AND($W366&gt;=2,$X366&gt;=2,$Y366&gt;=1,I366&lt;&gt;0),"A2",IF(AND($W366&gt;=3,$X366&gt;=0,$Y366&gt;=1,I366&lt;&gt;0),"A2",IF(AND(OR($W366&gt;=1,$X366&gt;=2),J366&lt;&gt;0,$Y366&gt;=0),"A3","A4")))))</f>
        <v>A1</v>
      </c>
      <c r="Q366" s="341" t="str">
        <f>P366</f>
        <v>A1</v>
      </c>
      <c r="R366" s="317"/>
      <c r="S366" s="691" t="s">
        <v>949</v>
      </c>
      <c r="T366" s="691" t="s">
        <v>950</v>
      </c>
      <c r="U366" s="176" t="str">
        <f t="shared" ref="U366:U371" si="124">$Q366</f>
        <v>A1</v>
      </c>
      <c r="V366" s="178"/>
      <c r="W366" s="330">
        <f>IFERROR(VLOOKUP($D366,TT.ĐTLTT!$C$10:$AJ$20,18,0),0)</f>
        <v>7</v>
      </c>
      <c r="X366" s="330">
        <f>IFERROR(VLOOKUP($D366,TT.ĐTLTT!$C$10:$AJ$20,28,0),0)</f>
        <v>3</v>
      </c>
      <c r="Y366" s="1262">
        <v>8</v>
      </c>
      <c r="Z366" s="4"/>
      <c r="AA366" s="4"/>
      <c r="AB366" s="218"/>
      <c r="AC366" s="283"/>
      <c r="AD366" s="213"/>
      <c r="AE366" s="60" t="str">
        <f t="shared" ref="AE366:AE371" si="125">IF($L366=$P366,$L366,FALSE)</f>
        <v>A1</v>
      </c>
      <c r="AF366" s="1165">
        <v>31</v>
      </c>
      <c r="AG366" s="726" t="s">
        <v>845</v>
      </c>
      <c r="AH366" s="604">
        <v>1</v>
      </c>
      <c r="AI366" s="605">
        <f>AH366/$L364</f>
        <v>0.1</v>
      </c>
      <c r="AJ366" s="590"/>
      <c r="AK366" s="594"/>
      <c r="AL366" s="595">
        <f>AL368+AL372</f>
        <v>8</v>
      </c>
      <c r="AM366" s="596" t="s">
        <v>896</v>
      </c>
      <c r="AN366" s="596" t="s">
        <v>844</v>
      </c>
      <c r="AO366" s="596" t="s">
        <v>896</v>
      </c>
      <c r="AP366" s="596" t="s">
        <v>844</v>
      </c>
      <c r="AQ366" s="596" t="s">
        <v>896</v>
      </c>
      <c r="AR366" s="596" t="s">
        <v>844</v>
      </c>
      <c r="AS366" s="596" t="s">
        <v>896</v>
      </c>
      <c r="AT366" s="596" t="s">
        <v>844</v>
      </c>
      <c r="AU366" s="596" t="s">
        <v>896</v>
      </c>
      <c r="AV366" s="596" t="s">
        <v>844</v>
      </c>
      <c r="AW366" s="596" t="s">
        <v>896</v>
      </c>
      <c r="AX366" s="596" t="s">
        <v>844</v>
      </c>
      <c r="AY366" s="596" t="s">
        <v>896</v>
      </c>
      <c r="AZ366" s="596" t="s">
        <v>844</v>
      </c>
      <c r="BA366" s="596" t="s">
        <v>896</v>
      </c>
      <c r="BB366" s="596" t="s">
        <v>844</v>
      </c>
      <c r="BD366" s="60" t="s">
        <v>888</v>
      </c>
      <c r="BE366" s="60" t="s">
        <v>866</v>
      </c>
    </row>
    <row r="367" spans="1:59" s="57" customFormat="1" ht="62.25" customHeight="1" x14ac:dyDescent="0.25">
      <c r="A367" s="63">
        <f>IF(D367="","",SUBTOTAL(3,$D$8:D367))</f>
        <v>311</v>
      </c>
      <c r="B367" s="63" t="s">
        <v>15</v>
      </c>
      <c r="C367" s="259" t="s">
        <v>174</v>
      </c>
      <c r="D367" s="562" t="s">
        <v>175</v>
      </c>
      <c r="E367" s="692">
        <f>COUNTIF($L368:$L376,"A1")</f>
        <v>0</v>
      </c>
      <c r="F367" s="692">
        <f>COUNTIF($L368:$L376,"A2")</f>
        <v>2</v>
      </c>
      <c r="G367" s="282" t="str">
        <f>IF($H367&lt;&gt;0,"A1",IF($I367&lt;&gt;0,"A2",IF($J367&lt;&gt;0,"A3","A4")))</f>
        <v>A2</v>
      </c>
      <c r="H367" s="234"/>
      <c r="I367" s="737" t="s">
        <v>965</v>
      </c>
      <c r="J367" s="737" t="s">
        <v>954</v>
      </c>
      <c r="K367" s="234"/>
      <c r="L367" s="289" t="s">
        <v>84</v>
      </c>
      <c r="M367" s="1279" t="s">
        <v>1150</v>
      </c>
      <c r="N367" s="291">
        <f>IFERROR(VLOOKUP($D367,'P.TTGD-CTSV'!$C$10:$AE$24,14,0),0)</f>
        <v>0</v>
      </c>
      <c r="O367" s="291">
        <f>IFERROR(VLOOKUP($D367,'P.TTGD-CTSV'!$C$10:$AE$24,28,0),0)</f>
        <v>0</v>
      </c>
      <c r="P367" s="313" t="str">
        <f t="shared" ref="P367" si="126">IF(AND($W367&gt;=2,$X367&gt;=3,H367&lt;&gt;0),"A1",IF(AND($W367&gt;=3,$X367&gt;=1,H367&lt;&gt;0),"A1",IF(AND($W367&gt;=2,$X367&gt;=2,I367&lt;&gt;0),"A2",IF(AND($W367&gt;=3,$X367&gt;=0,I367&lt;&gt;0),"A2",IF(AND(OR($W367&gt;=1,$X367&gt;=2),J367&lt;&gt;0),"A3","A4")))))</f>
        <v>A2</v>
      </c>
      <c r="Q367" s="1196" t="s">
        <v>85</v>
      </c>
      <c r="R367" s="317"/>
      <c r="S367" s="692">
        <f>COUNTIF($U368:$U376,"A1")</f>
        <v>2</v>
      </c>
      <c r="T367" s="692">
        <f>COUNTIF($U368:$U376,"A2")</f>
        <v>3</v>
      </c>
      <c r="U367" s="1289" t="s">
        <v>84</v>
      </c>
      <c r="V367" s="178"/>
      <c r="W367" s="330">
        <f>IFERROR(VLOOKUP($D367,TT.ĐTLTT!$C$10:$AJ$20,18,0),0)</f>
        <v>5</v>
      </c>
      <c r="X367" s="330">
        <f>IFERROR(VLOOKUP($D367,TT.ĐTLTT!$C$10:$AJ$20,28,0),0)</f>
        <v>3</v>
      </c>
      <c r="Y367" s="1262">
        <v>6</v>
      </c>
      <c r="Z367" s="68"/>
      <c r="AA367" s="261"/>
      <c r="AB367" s="843" t="s">
        <v>82</v>
      </c>
      <c r="AC367" s="775" t="s">
        <v>1171</v>
      </c>
      <c r="AD367" s="213"/>
      <c r="AE367" s="60" t="str">
        <f t="shared" si="125"/>
        <v>A2</v>
      </c>
      <c r="AF367" s="1165"/>
      <c r="AG367" s="1163" t="s">
        <v>846</v>
      </c>
      <c r="AH367" s="1163"/>
      <c r="AI367" s="605">
        <f>AH367/$L360</f>
        <v>0</v>
      </c>
      <c r="AK367" s="597" t="s">
        <v>864</v>
      </c>
      <c r="AL367" s="595">
        <f>COUNTIF($BE366:$BE376,"CBQL")</f>
        <v>2</v>
      </c>
      <c r="AM367" s="595">
        <f>COUNTIF($U366:$U367,"A1")</f>
        <v>1</v>
      </c>
      <c r="AN367" s="611">
        <f>AM367/$AL$367</f>
        <v>0.5</v>
      </c>
      <c r="AO367" s="595">
        <f>COUNTIF($U366:$U367,"A2")</f>
        <v>1</v>
      </c>
      <c r="AP367" s="611">
        <f>AO367/$AL$367</f>
        <v>0.5</v>
      </c>
      <c r="AQ367" s="595">
        <f>COUNTIF($U366:$U367,"A3")</f>
        <v>0</v>
      </c>
      <c r="AR367" s="611">
        <f>AQ367/$AL$367</f>
        <v>0</v>
      </c>
      <c r="AS367" s="595">
        <f>COUNTIF($U366:$U367,"A4")</f>
        <v>0</v>
      </c>
      <c r="AT367" s="611">
        <f>AS367/$AL$367</f>
        <v>0</v>
      </c>
      <c r="AU367" s="595">
        <f>COUNTIF($U362:$U362,"B1")</f>
        <v>0</v>
      </c>
      <c r="AV367" s="611">
        <f>AU367/$AL$367</f>
        <v>0</v>
      </c>
      <c r="AW367" s="595">
        <f>COUNTIF($U362:$U362,"B2")</f>
        <v>0</v>
      </c>
      <c r="AX367" s="611">
        <f>AW367/$AL$367</f>
        <v>0</v>
      </c>
      <c r="AY367" s="595">
        <f>COUNTIF($U362:$U362,"C1")</f>
        <v>0</v>
      </c>
      <c r="AZ367" s="611">
        <f>AY367/$AL$367</f>
        <v>0</v>
      </c>
      <c r="BA367" s="595">
        <f>COUNTIF($U362:$U362,"C2")</f>
        <v>0</v>
      </c>
      <c r="BB367" s="611">
        <f>BA367/$AL$367</f>
        <v>0</v>
      </c>
      <c r="BD367" s="60" t="s">
        <v>888</v>
      </c>
      <c r="BE367" s="60" t="s">
        <v>866</v>
      </c>
    </row>
    <row r="368" spans="1:59" s="70" customFormat="1" ht="45.75" customHeight="1" x14ac:dyDescent="0.25">
      <c r="A368" s="63">
        <f>IF(D368="","",SUBTOTAL(3,$D$8:D368))</f>
        <v>312</v>
      </c>
      <c r="B368" s="63" t="s">
        <v>6</v>
      </c>
      <c r="C368" s="71" t="s">
        <v>439</v>
      </c>
      <c r="D368" s="89" t="s">
        <v>706</v>
      </c>
      <c r="E368" s="693">
        <f>E367/$AL$368</f>
        <v>0</v>
      </c>
      <c r="F368" s="693">
        <f>F367/$AL$368</f>
        <v>0.25</v>
      </c>
      <c r="G368" s="282" t="str">
        <f>IF($H368&lt;&gt;0,"A1",IF($I368&lt;&gt;0,"A2",IF($J368&lt;&gt;0,"A3","A4")))</f>
        <v>A3</v>
      </c>
      <c r="H368" s="737"/>
      <c r="I368" s="737"/>
      <c r="J368" s="737" t="s">
        <v>954</v>
      </c>
      <c r="K368" s="234"/>
      <c r="L368" s="294" t="s">
        <v>83</v>
      </c>
      <c r="M368" s="292"/>
      <c r="N368" s="310">
        <f>IFERROR(VLOOKUP($D368,TT.ĐTLTT!$C$10:$AJ$20,17,0),0)</f>
        <v>0</v>
      </c>
      <c r="O368" s="310">
        <f>IFERROR(VLOOKUP($D368,TT.ĐTLTT!$C$10:$AJ$20,27,0),0)</f>
        <v>1</v>
      </c>
      <c r="P368" s="313" t="str">
        <f>IF(AND($W368&gt;=2,$X368&gt;=3,$Y368&gt;=1,H368&lt;&gt;0),"A1",IF(AND($W368&gt;=3,$X368&gt;=1,$Y368&gt;=1,H368&lt;&gt;0),"A1",IF(AND($W368&gt;=2,$X368&gt;=2,$Y368&gt;=1,I368&lt;&gt;0),"A2",IF(AND($W368&gt;=3,$X368&gt;=0,$Y368&gt;=1,I368&lt;&gt;0),"A2",IF(AND(OR($W368&gt;=1,$X368&gt;=2),J368&lt;&gt;0,$Y368&gt;=0),"A3","A4")))))</f>
        <v>A4</v>
      </c>
      <c r="Q368" s="341" t="str">
        <f>P368</f>
        <v>A4</v>
      </c>
      <c r="R368" s="319"/>
      <c r="S368" s="693">
        <f>S367/$AL$368</f>
        <v>0.25</v>
      </c>
      <c r="T368" s="693">
        <f>T367/$AL$368</f>
        <v>0.375</v>
      </c>
      <c r="U368" s="176" t="str">
        <f>$Q368</f>
        <v>A4</v>
      </c>
      <c r="V368" s="179"/>
      <c r="W368" s="330">
        <f>IFERROR(VLOOKUP($D368,TT.ĐTLTT!$C$10:$AJ$20,18,0),0)</f>
        <v>0</v>
      </c>
      <c r="X368" s="330">
        <f>IFERROR(VLOOKUP($D368,TT.ĐTLTT!$C$10:$AJ$20,28,0),0)</f>
        <v>1</v>
      </c>
      <c r="Y368" s="1262">
        <v>0</v>
      </c>
      <c r="Z368" s="3"/>
      <c r="AA368" s="3"/>
      <c r="AB368" s="284"/>
      <c r="AC368" s="285"/>
      <c r="AD368" s="213"/>
      <c r="AE368" s="60" t="str">
        <f>IF($L368=$P368,$L368,FALSE)</f>
        <v>A4</v>
      </c>
      <c r="AF368" s="94">
        <v>26</v>
      </c>
      <c r="AG368" s="60"/>
      <c r="AH368" s="1165"/>
      <c r="AI368" s="1165"/>
      <c r="AJ368" s="590"/>
      <c r="AK368" s="616" t="s">
        <v>865</v>
      </c>
      <c r="AL368" s="595">
        <f>COUNTIF($BE366:$BE376,"GV") + COUNTIF($BE366:$BE376,"NV")</f>
        <v>8</v>
      </c>
      <c r="AM368" s="595">
        <f>COUNTIF($U368:$U376,"A1")</f>
        <v>2</v>
      </c>
      <c r="AN368" s="611">
        <f>AM368/$AL$368</f>
        <v>0.25</v>
      </c>
      <c r="AO368" s="595">
        <f>COUNTIF($U368:$U376,"A2")</f>
        <v>3</v>
      </c>
      <c r="AP368" s="611">
        <f>AO368/$AL$368</f>
        <v>0.375</v>
      </c>
      <c r="AQ368" s="595">
        <f>COUNTIF($U368:$U376,"A3")</f>
        <v>0</v>
      </c>
      <c r="AR368" s="611">
        <f>AQ368/$AL$368</f>
        <v>0</v>
      </c>
      <c r="AS368" s="595">
        <f>COUNTIF($U368:$U376,"A4")</f>
        <v>3</v>
      </c>
      <c r="AT368" s="611">
        <f>AS368/$AL$368</f>
        <v>0.375</v>
      </c>
      <c r="AU368" s="595">
        <f>COUNTIF($U368:$U376,"B1")</f>
        <v>0</v>
      </c>
      <c r="AV368" s="611">
        <f>AU368/$AL$368</f>
        <v>0</v>
      </c>
      <c r="AW368" s="595">
        <f>COUNTIF($U368:$U376,"B2")</f>
        <v>0</v>
      </c>
      <c r="AX368" s="611">
        <f>AW368/$AL$368</f>
        <v>0</v>
      </c>
      <c r="AY368" s="595">
        <f>COUNTIF($U368:$U376,"C1")</f>
        <v>0</v>
      </c>
      <c r="AZ368" s="611">
        <f>AY368/$AL$368</f>
        <v>0</v>
      </c>
      <c r="BA368" s="595">
        <f>COUNTIF($U368:$U376,"C2")</f>
        <v>0</v>
      </c>
      <c r="BB368" s="611">
        <f>BA368/$AL$368</f>
        <v>0</v>
      </c>
      <c r="BD368" s="60" t="s">
        <v>888</v>
      </c>
      <c r="BE368" s="60" t="s">
        <v>867</v>
      </c>
    </row>
    <row r="369" spans="1:59" s="57" customFormat="1" ht="45.75" customHeight="1" x14ac:dyDescent="0.25">
      <c r="A369" s="63">
        <f>IF(D369="","",SUBTOTAL(3,$D$8:D369))</f>
        <v>313</v>
      </c>
      <c r="B369" s="63" t="s">
        <v>18</v>
      </c>
      <c r="C369" s="259" t="s">
        <v>180</v>
      </c>
      <c r="D369" s="562" t="s">
        <v>181</v>
      </c>
      <c r="E369" s="652"/>
      <c r="F369" s="652"/>
      <c r="G369" s="282" t="str">
        <f>IF($H369&lt;&gt;0,"A1",IF($I369&lt;&gt;0,"A2",IF($J369&lt;&gt;0,"A3","A4")))</f>
        <v>A3</v>
      </c>
      <c r="H369" s="234"/>
      <c r="I369" s="234"/>
      <c r="J369" s="737" t="s">
        <v>954</v>
      </c>
      <c r="K369" s="234"/>
      <c r="L369" s="289" t="s">
        <v>85</v>
      </c>
      <c r="M369" s="1145"/>
      <c r="N369" s="310">
        <f>IFERROR(VLOOKUP($D369,TT.ĐTLTT!$C$10:$AJ$20,17,0),0)</f>
        <v>5</v>
      </c>
      <c r="O369" s="310">
        <f>IFERROR(VLOOKUP($D369,TT.ĐTLTT!$C$10:$AJ$20,27,0),0)</f>
        <v>3</v>
      </c>
      <c r="P369" s="313" t="str">
        <f>IF(AND($W369&gt;=2,$X369&gt;=3,$Y369&gt;=1,H369&lt;&gt;0),"A1",IF(AND($W369&gt;=3,$X369&gt;=1,$Y369&gt;=1,H369&lt;&gt;0),"A1",IF(AND($W369&gt;=2,$X369&gt;=2,$Y369&gt;=1,I369&lt;&gt;0),"A2",IF(AND($W369&gt;=3,$X369&gt;=0,$Y369&gt;=1,I369&lt;&gt;0),"A2",IF(AND(OR($W369&gt;=1,$X369&gt;=2),J369&lt;&gt;0,$Y369&gt;=0),"A3","A4")))))</f>
        <v>A3</v>
      </c>
      <c r="Q369" s="1196" t="s">
        <v>84</v>
      </c>
      <c r="R369" s="317"/>
      <c r="S369" s="666"/>
      <c r="T369" s="666"/>
      <c r="U369" s="176" t="str">
        <f>$Q369</f>
        <v>A2</v>
      </c>
      <c r="V369" s="178"/>
      <c r="W369" s="330">
        <f>IFERROR(VLOOKUP($D369,TT.ĐTLTT!$C$10:$AJ$20,18,0),0)</f>
        <v>5</v>
      </c>
      <c r="X369" s="330">
        <f>IFERROR(VLOOKUP($D369,TT.ĐTLTT!$C$10:$AJ$20,28,0),0)</f>
        <v>3</v>
      </c>
      <c r="Y369" s="1262">
        <v>2</v>
      </c>
      <c r="Z369" s="261"/>
      <c r="AA369" s="261"/>
      <c r="AB369" s="843" t="s">
        <v>84</v>
      </c>
      <c r="AC369" s="775" t="s">
        <v>1171</v>
      </c>
      <c r="AD369" s="1065"/>
      <c r="AE369" s="60" t="str">
        <f>IF($L369=$P369,$L369,FALSE)</f>
        <v>A3</v>
      </c>
      <c r="AF369" s="1165"/>
      <c r="AG369" s="1165"/>
      <c r="AH369" s="542"/>
      <c r="AI369" s="542"/>
      <c r="AK369" s="589"/>
      <c r="AL369" s="589"/>
      <c r="AM369" s="589"/>
      <c r="AN369" s="589"/>
      <c r="AO369" s="589"/>
      <c r="AP369" s="589"/>
      <c r="AQ369" s="589"/>
      <c r="AR369" s="589"/>
      <c r="AS369" s="589"/>
      <c r="AT369" s="589"/>
      <c r="AU369" s="589"/>
      <c r="AV369" s="589"/>
      <c r="AW369" s="589"/>
      <c r="AX369" s="589"/>
      <c r="AY369" s="589"/>
      <c r="AZ369" s="589"/>
      <c r="BA369" s="589"/>
      <c r="BB369" s="589"/>
      <c r="BD369" s="60" t="s">
        <v>888</v>
      </c>
      <c r="BE369" s="60" t="s">
        <v>867</v>
      </c>
    </row>
    <row r="370" spans="1:59" s="57" customFormat="1" ht="45.75" customHeight="1" x14ac:dyDescent="0.25">
      <c r="A370" s="63">
        <f>IF(D370="","",SUBTOTAL(3,$D$8:D370))</f>
        <v>314</v>
      </c>
      <c r="B370" s="63" t="s">
        <v>24</v>
      </c>
      <c r="C370" s="259" t="s">
        <v>187</v>
      </c>
      <c r="D370" s="561" t="s">
        <v>188</v>
      </c>
      <c r="E370" s="652"/>
      <c r="F370" s="652"/>
      <c r="G370" s="282" t="str">
        <f>IF($H370&lt;&gt;0,"A1",IF($I370&lt;&gt;0,"A2",IF($J370&lt;&gt;0,"A3","A4")))</f>
        <v>A2</v>
      </c>
      <c r="H370" s="234"/>
      <c r="I370" s="737" t="s">
        <v>965</v>
      </c>
      <c r="J370" s="737" t="s">
        <v>954</v>
      </c>
      <c r="K370" s="234"/>
      <c r="L370" s="289" t="s">
        <v>84</v>
      </c>
      <c r="M370" s="1141"/>
      <c r="N370" s="310">
        <f>IFERROR(VLOOKUP($D370,TT.ĐTLTT!$C$10:$AJ$20,17,0),0)</f>
        <v>7</v>
      </c>
      <c r="O370" s="310">
        <f>IFERROR(VLOOKUP($D370,TT.ĐTLTT!$C$10:$AJ$20,27,0),0)</f>
        <v>3</v>
      </c>
      <c r="P370" s="313" t="str">
        <f>IF(AND($W370&gt;=2,$X370&gt;=3,$Y370&gt;=1,H370&lt;&gt;0),"A1",IF(AND($W370&gt;=3,$X370&gt;=1,$Y370&gt;=1,H370&lt;&gt;0),"A1",IF(AND($W370&gt;=2,$X370&gt;=2,$Y370&gt;=1,I370&lt;&gt;0),"A2",IF(AND($W370&gt;=3,$X370&gt;=0,$Y370&gt;=1,I370&lt;&gt;0),"A2",IF(AND(OR($W370&gt;=1,$X370&gt;=2),J370&lt;&gt;0,$Y370&gt;=0),"A3","A4")))))</f>
        <v>A2</v>
      </c>
      <c r="Q370" s="1196" t="s">
        <v>82</v>
      </c>
      <c r="R370" s="317"/>
      <c r="S370" s="663"/>
      <c r="T370" s="663"/>
      <c r="U370" s="176" t="str">
        <f>$Q370</f>
        <v>A1</v>
      </c>
      <c r="V370" s="178"/>
      <c r="W370" s="330">
        <f>IFERROR(VLOOKUP($D370,TT.ĐTLTT!$C$10:$AJ$20,18,0),0)</f>
        <v>7</v>
      </c>
      <c r="X370" s="330">
        <f>IFERROR(VLOOKUP($D370,TT.ĐTLTT!$C$10:$AJ$20,28,0),0)</f>
        <v>3</v>
      </c>
      <c r="Y370" s="1262">
        <v>3</v>
      </c>
      <c r="Z370" s="68"/>
      <c r="AA370" s="3"/>
      <c r="AB370" s="843" t="s">
        <v>82</v>
      </c>
      <c r="AC370" s="775" t="s">
        <v>1171</v>
      </c>
      <c r="AD370" s="213"/>
      <c r="AE370" s="60" t="str">
        <f>IF($L370=$P370,$L370,FALSE)</f>
        <v>A2</v>
      </c>
      <c r="AF370" s="1165"/>
      <c r="AG370" s="1165"/>
      <c r="AH370" s="542"/>
      <c r="AI370" s="542"/>
      <c r="AK370" s="589"/>
      <c r="AL370" s="589"/>
      <c r="AM370" s="589"/>
      <c r="AN370" s="589"/>
      <c r="AO370" s="589"/>
      <c r="AP370" s="589"/>
      <c r="AQ370" s="589"/>
      <c r="AR370" s="589"/>
      <c r="AS370" s="589"/>
      <c r="AT370" s="589"/>
      <c r="AU370" s="589"/>
      <c r="AV370" s="589"/>
      <c r="AW370" s="589"/>
      <c r="AX370" s="589"/>
      <c r="AY370" s="589"/>
      <c r="AZ370" s="589"/>
      <c r="BA370" s="589"/>
      <c r="BB370" s="589"/>
      <c r="BD370" s="60" t="s">
        <v>888</v>
      </c>
      <c r="BE370" s="60" t="s">
        <v>867</v>
      </c>
    </row>
    <row r="371" spans="1:59" s="57" customFormat="1" ht="55.5" customHeight="1" x14ac:dyDescent="0.25">
      <c r="A371" s="63">
        <f>IF(D371="","",SUBTOTAL(3,$D$8:D371))</f>
        <v>315</v>
      </c>
      <c r="B371" s="63" t="s">
        <v>17</v>
      </c>
      <c r="C371" s="259" t="s">
        <v>178</v>
      </c>
      <c r="D371" s="562" t="s">
        <v>179</v>
      </c>
      <c r="E371" s="666"/>
      <c r="F371" s="666"/>
      <c r="G371" s="282" t="str">
        <f>IF($H371&lt;&gt;0,"A1",IF($I371&lt;&gt;0,"A2",IF($J371&lt;&gt;0,"A3","A4")))</f>
        <v>A3</v>
      </c>
      <c r="H371" s="234"/>
      <c r="I371" s="234"/>
      <c r="J371" s="737" t="s">
        <v>954</v>
      </c>
      <c r="K371" s="234"/>
      <c r="L371" s="289" t="s">
        <v>85</v>
      </c>
      <c r="M371" s="1145"/>
      <c r="N371" s="310">
        <f>IFERROR(VLOOKUP($D371,TT.ĐTLTT!$C$10:$AJ$20,17,0),0)</f>
        <v>5</v>
      </c>
      <c r="O371" s="310">
        <f>IFERROR(VLOOKUP($D371,TT.ĐTLTT!$C$10:$AJ$20,27,0),0)</f>
        <v>3</v>
      </c>
      <c r="P371" s="313" t="str">
        <f t="shared" ref="P371" si="127">IF(AND($W371&gt;=2,$X371&gt;=3,$Y371&gt;=1,H371&lt;&gt;0),"A1",IF(AND($W371&gt;=3,$X371&gt;=1,$Y371&gt;=1,H371&lt;&gt;0),"A1",IF(AND($W371&gt;=2,$X371&gt;=2,$Y371&gt;=1,I371&lt;&gt;0),"A2",IF(AND($W371&gt;=3,$X371&gt;=0,$Y371&gt;=1,I371&lt;&gt;0),"A2",IF(AND(OR($W371&gt;=1,$X371&gt;=2),J371&lt;&gt;0,$Y371&gt;=0),"A3","A4")))))</f>
        <v>A3</v>
      </c>
      <c r="Q371" s="1196" t="s">
        <v>84</v>
      </c>
      <c r="R371" s="317"/>
      <c r="S371" s="666"/>
      <c r="T371" s="666"/>
      <c r="U371" s="176" t="str">
        <f t="shared" si="124"/>
        <v>A2</v>
      </c>
      <c r="V371" s="178"/>
      <c r="W371" s="330">
        <f>IFERROR(VLOOKUP($D371,TT.ĐTLTT!$C$10:$AJ$20,18,0),0)</f>
        <v>5</v>
      </c>
      <c r="X371" s="330">
        <f>IFERROR(VLOOKUP($D371,TT.ĐTLTT!$C$10:$AJ$20,28,0),0)</f>
        <v>3</v>
      </c>
      <c r="Y371" s="1262">
        <v>2</v>
      </c>
      <c r="Z371" s="261"/>
      <c r="AA371" s="261"/>
      <c r="AB371" s="843" t="s">
        <v>84</v>
      </c>
      <c r="AC371" s="775" t="s">
        <v>1171</v>
      </c>
      <c r="AD371" s="213"/>
      <c r="AE371" s="60" t="str">
        <f t="shared" si="125"/>
        <v>A3</v>
      </c>
      <c r="AF371" s="1165"/>
      <c r="AG371" s="1165"/>
      <c r="AH371" s="542"/>
      <c r="AI371" s="542"/>
      <c r="AK371" s="1211"/>
      <c r="AL371" s="1211"/>
      <c r="AM371" s="1211"/>
      <c r="AN371" s="1211"/>
      <c r="AO371" s="1211"/>
      <c r="AP371" s="1211"/>
      <c r="AQ371" s="1211"/>
      <c r="AR371" s="1211"/>
      <c r="AS371" s="1211"/>
      <c r="AT371" s="1211"/>
      <c r="AU371" s="1211"/>
      <c r="AV371" s="1211"/>
      <c r="AW371" s="1211"/>
      <c r="AX371" s="1211"/>
      <c r="AY371" s="1211"/>
      <c r="AZ371" s="1211"/>
      <c r="BA371" s="1211"/>
      <c r="BB371" s="1211"/>
      <c r="BD371" s="60" t="s">
        <v>888</v>
      </c>
      <c r="BE371" s="60" t="s">
        <v>867</v>
      </c>
    </row>
    <row r="372" spans="1:59" s="57" customFormat="1" ht="39" customHeight="1" x14ac:dyDescent="0.25">
      <c r="A372" s="65" t="s">
        <v>51</v>
      </c>
      <c r="B372" s="65" t="s">
        <v>51</v>
      </c>
      <c r="C372" s="66" t="s">
        <v>48</v>
      </c>
      <c r="D372" s="556"/>
      <c r="E372" s="652"/>
      <c r="F372" s="652"/>
      <c r="G372" s="280">
        <f>COUNTA($L373:$L376)</f>
        <v>4</v>
      </c>
      <c r="H372" s="737"/>
      <c r="I372" s="737"/>
      <c r="J372" s="737"/>
      <c r="K372" s="234"/>
      <c r="L372" s="500">
        <f>COUNTA($L373:$L376)</f>
        <v>4</v>
      </c>
      <c r="M372" s="286" t="str">
        <f>(COUNTIF($L$373:$L$376,"A1")&amp;"A1")&amp;" + "&amp;(COUNTIF($L$373:$L$376,"A2")&amp;"A2")&amp;" + "&amp;(COUNTIF($L$373:$L$376,"A3")&amp;"A3")&amp;" + "&amp;(COUNTIF($L$373:$L$376,"A4")&amp;"A4")</f>
        <v>0A1 + 1A2 + 1A3 + 2A4</v>
      </c>
      <c r="N372" s="500"/>
      <c r="O372" s="500"/>
      <c r="P372" s="311">
        <f>COUNTA($Q$373:$Q$376)</f>
        <v>4</v>
      </c>
      <c r="Q372" s="340">
        <f>COUNTA($Q$373:$Q$376)</f>
        <v>4</v>
      </c>
      <c r="R372" s="312" t="str">
        <f>(COUNTIF($Q$373:$Q$376,"A1")&amp;"A1")&amp;" + "&amp;(COUNTIF($Q$373:$Q$376,"A2")&amp;"A2")&amp;" + "&amp;(COUNTIF($Q$373:$Q$376,"A3")&amp;"A3")&amp;" + "&amp;(COUNTIF($Q$373:$Q$376,"A4")&amp;"A4")</f>
        <v>1A1 + 1A2 + 0A3 + 2A4</v>
      </c>
      <c r="S372" s="663"/>
      <c r="T372" s="663"/>
      <c r="U372" s="174">
        <f>COUNTA($U373:$U376)</f>
        <v>4</v>
      </c>
      <c r="V372" s="175" t="str">
        <f>(COUNTIF($U$373:$U$376,"A1")&amp;"A1")&amp;" + "&amp;(COUNTIF($U$373:$U$376,"A2")&amp;"A2")&amp;" + "&amp;(COUNTIF($U$373:$U$376,"A3")&amp;"A3")&amp;" + "&amp;(COUNTIF($U$373:$U$376,"A4")&amp;"A4")</f>
        <v>1A1 + 1A2 + 0A3 + 2A4</v>
      </c>
      <c r="W372" s="501"/>
      <c r="X372" s="501"/>
      <c r="Y372" s="535"/>
      <c r="Z372" s="95"/>
      <c r="AA372" s="95"/>
      <c r="AB372" s="242"/>
      <c r="AC372" s="250"/>
      <c r="AD372" s="213"/>
      <c r="AE372" s="60"/>
      <c r="AF372" s="60"/>
      <c r="AG372" s="1165"/>
      <c r="AH372" s="542"/>
      <c r="AI372" s="542"/>
      <c r="AK372" s="94"/>
      <c r="AL372" s="1165"/>
      <c r="AM372" s="1165"/>
      <c r="AN372" s="1165"/>
      <c r="AO372" s="1165"/>
      <c r="AP372" s="1165"/>
      <c r="AQ372" s="1165"/>
      <c r="AR372" s="1165"/>
      <c r="AS372" s="1165"/>
      <c r="AT372" s="1165"/>
      <c r="AU372" s="1165"/>
      <c r="AV372" s="1165"/>
      <c r="AW372" s="1165"/>
      <c r="AX372" s="1165"/>
      <c r="AY372" s="1165"/>
      <c r="AZ372" s="1165"/>
      <c r="BA372" s="1165"/>
      <c r="BB372" s="1165"/>
      <c r="BD372" s="1171"/>
      <c r="BE372" s="1171"/>
    </row>
    <row r="373" spans="1:59" s="57" customFormat="1" ht="38.25" customHeight="1" x14ac:dyDescent="0.25">
      <c r="A373" s="63">
        <f>IF(D373="","",SUBTOTAL(3,$D$8:D373))</f>
        <v>316</v>
      </c>
      <c r="B373" s="63" t="s">
        <v>5</v>
      </c>
      <c r="C373" s="71" t="s">
        <v>438</v>
      </c>
      <c r="D373" s="89" t="s">
        <v>705</v>
      </c>
      <c r="E373" s="652"/>
      <c r="F373" s="652"/>
      <c r="G373" s="282" t="str">
        <f t="shared" si="122"/>
        <v>A3</v>
      </c>
      <c r="H373" s="737"/>
      <c r="I373" s="737"/>
      <c r="J373" s="737" t="s">
        <v>954</v>
      </c>
      <c r="K373" s="234"/>
      <c r="L373" s="294" t="s">
        <v>83</v>
      </c>
      <c r="M373" s="292"/>
      <c r="N373" s="310">
        <f>IFERROR(VLOOKUP($D373,TT.ĐTLTT!$C$10:$AJ$20,17,0),0)</f>
        <v>0</v>
      </c>
      <c r="O373" s="310">
        <f>IFERROR(VLOOKUP($D373,TT.ĐTLTT!$C$10:$AJ$20,27,0),0)</f>
        <v>1</v>
      </c>
      <c r="P373" s="313" t="str">
        <f t="shared" si="123"/>
        <v>A4</v>
      </c>
      <c r="Q373" s="341" t="str">
        <f>P373</f>
        <v>A4</v>
      </c>
      <c r="R373" s="319"/>
      <c r="S373" s="672"/>
      <c r="T373" s="672"/>
      <c r="U373" s="176" t="str">
        <f>$Q373</f>
        <v>A4</v>
      </c>
      <c r="V373" s="179"/>
      <c r="W373" s="330">
        <f>IFERROR(VLOOKUP($D373,TT.ĐTLTT!$C$10:$AJ$20,18,0),0)</f>
        <v>0</v>
      </c>
      <c r="X373" s="330">
        <f>IFERROR(VLOOKUP($D373,TT.ĐTLTT!$C$10:$AJ$20,28,0),0)</f>
        <v>1</v>
      </c>
      <c r="Y373" s="503">
        <v>0</v>
      </c>
      <c r="Z373" s="2"/>
      <c r="AA373" s="2"/>
      <c r="AB373" s="247"/>
      <c r="AC373" s="285"/>
      <c r="AD373" s="213"/>
      <c r="AE373" s="60" t="str">
        <f t="shared" si="106"/>
        <v>A4</v>
      </c>
      <c r="AF373" s="60">
        <v>27</v>
      </c>
      <c r="AG373" s="1165"/>
      <c r="AH373" s="542"/>
      <c r="AI373" s="542"/>
      <c r="AK373" s="589"/>
      <c r="AL373" s="589"/>
      <c r="AM373" s="589"/>
      <c r="AN373" s="589"/>
      <c r="AO373" s="589"/>
      <c r="AP373" s="589"/>
      <c r="AQ373" s="589"/>
      <c r="AR373" s="589"/>
      <c r="AS373" s="589"/>
      <c r="AT373" s="589"/>
      <c r="AU373" s="589"/>
      <c r="AV373" s="589"/>
      <c r="AW373" s="589"/>
      <c r="AX373" s="589"/>
      <c r="AY373" s="589"/>
      <c r="AZ373" s="589"/>
      <c r="BA373" s="589"/>
      <c r="BB373" s="589"/>
      <c r="BD373" s="60" t="s">
        <v>888</v>
      </c>
      <c r="BE373" s="60" t="s">
        <v>867</v>
      </c>
    </row>
    <row r="374" spans="1:59" s="57" customFormat="1" ht="84" customHeight="1" x14ac:dyDescent="0.25">
      <c r="A374" s="63">
        <f>IF(D374="","",SUBTOTAL(3,$D$8:D374))</f>
        <v>317</v>
      </c>
      <c r="B374" s="63" t="s">
        <v>10</v>
      </c>
      <c r="C374" s="71" t="s">
        <v>440</v>
      </c>
      <c r="D374" s="89" t="s">
        <v>707</v>
      </c>
      <c r="E374" s="652"/>
      <c r="F374" s="652"/>
      <c r="G374" s="282" t="str">
        <f>IF($H374&lt;&gt;0,"A1",IF($I374&lt;&gt;0,"A2",IF($J374&lt;&gt;0,"A3","A4")))</f>
        <v>A2</v>
      </c>
      <c r="H374" s="737"/>
      <c r="I374" s="737" t="s">
        <v>964</v>
      </c>
      <c r="J374" s="737" t="s">
        <v>1010</v>
      </c>
      <c r="K374" s="234"/>
      <c r="L374" s="483" t="s">
        <v>84</v>
      </c>
      <c r="M374" s="292"/>
      <c r="N374" s="310">
        <f>IFERROR(VLOOKUP($D374,TT.ĐTLTT!$C$10:$AJ$20,17,0),0)</f>
        <v>3</v>
      </c>
      <c r="O374" s="310">
        <f>IFERROR(VLOOKUP($D374,TT.ĐTLTT!$C$10:$AJ$20,27,0),0)</f>
        <v>1</v>
      </c>
      <c r="P374" s="313" t="str">
        <f t="shared" ref="P374:P376" si="128">IF(AND($W374&gt;=2,$X374&gt;=3,$Y374&gt;=1,H374&lt;&gt;0),"A1",IF(AND($W374&gt;=3,$X374&gt;=1,$Y374&gt;=1,H374&lt;&gt;0),"A1",IF(AND($W374&gt;=2,$X374&gt;=2,$Y374&gt;=1,I374&lt;&gt;0),"A2",IF(AND($W374&gt;=3,$X374&gt;=0,$Y374&gt;=1,I374&lt;&gt;0),"A2",IF(AND(OR($W374&gt;=1,$X374&gt;=2),J374&lt;&gt;0,$Y374&gt;=0),"A3","A4")))))</f>
        <v>A2</v>
      </c>
      <c r="Q374" s="1196" t="s">
        <v>82</v>
      </c>
      <c r="R374" s="325"/>
      <c r="S374" s="684"/>
      <c r="T374" s="684"/>
      <c r="U374" s="176" t="str">
        <f>$Q374</f>
        <v>A1</v>
      </c>
      <c r="V374" s="179"/>
      <c r="W374" s="330">
        <f>IFERROR(VLOOKUP($D374,TT.ĐTLTT!$C$10:$AJ$20,18,0),0)</f>
        <v>3</v>
      </c>
      <c r="X374" s="330">
        <f>IFERROR(VLOOKUP($D374,TT.ĐTLTT!$C$10:$AJ$20,28,0),0)</f>
        <v>1</v>
      </c>
      <c r="Y374" s="503">
        <v>4</v>
      </c>
      <c r="Z374" s="68"/>
      <c r="AA374" s="2"/>
      <c r="AB374" s="492" t="s">
        <v>82</v>
      </c>
      <c r="AC374" s="742" t="s">
        <v>1097</v>
      </c>
      <c r="AD374" s="213"/>
      <c r="AE374" s="60" t="str">
        <f>IF($L374=$P374,$L374,FALSE)</f>
        <v>A2</v>
      </c>
      <c r="AF374" s="60">
        <v>31</v>
      </c>
      <c r="AG374" s="1165"/>
      <c r="AH374" s="94"/>
      <c r="AI374" s="94"/>
      <c r="AJ374" s="94"/>
      <c r="AK374" s="94"/>
      <c r="AL374" s="589"/>
      <c r="AM374" s="589"/>
      <c r="AN374" s="589"/>
      <c r="AO374" s="589"/>
      <c r="AP374" s="589"/>
      <c r="AQ374" s="589"/>
      <c r="AR374" s="589"/>
      <c r="AS374" s="589"/>
      <c r="AT374" s="589"/>
      <c r="AU374" s="589"/>
      <c r="AV374" s="589"/>
      <c r="AW374" s="589"/>
      <c r="AX374" s="589"/>
      <c r="AY374" s="589"/>
      <c r="AZ374" s="589"/>
      <c r="BA374" s="589"/>
      <c r="BB374" s="589"/>
      <c r="BD374" s="60" t="s">
        <v>888</v>
      </c>
      <c r="BE374" s="60" t="s">
        <v>867</v>
      </c>
    </row>
    <row r="375" spans="1:59" s="70" customFormat="1" ht="48.75" customHeight="1" x14ac:dyDescent="0.25">
      <c r="A375" s="63">
        <f>IF(D375="","",SUBTOTAL(3,$D$8:D375))</f>
        <v>318</v>
      </c>
      <c r="B375" s="63" t="s">
        <v>36</v>
      </c>
      <c r="C375" s="150" t="s">
        <v>619</v>
      </c>
      <c r="D375" s="80" t="s">
        <v>205</v>
      </c>
      <c r="E375" s="652"/>
      <c r="F375" s="652"/>
      <c r="G375" s="282" t="str">
        <f>IF($H375&lt;&gt;0,"A1",IF($I375&lt;&gt;0,"A2",IF($J375&lt;&gt;0,"A3","A4")))</f>
        <v>A3</v>
      </c>
      <c r="H375" s="234"/>
      <c r="I375" s="234"/>
      <c r="J375" s="737" t="s">
        <v>954</v>
      </c>
      <c r="K375" s="234"/>
      <c r="L375" s="289" t="s">
        <v>85</v>
      </c>
      <c r="M375" s="295"/>
      <c r="N375" s="310">
        <f>IFERROR(VLOOKUP($D375,TT.ĐTLTT!$C$10:$AJ$20,17,0),0)</f>
        <v>7</v>
      </c>
      <c r="O375" s="310">
        <f>IFERROR(VLOOKUP($D375,TT.ĐTLTT!$C$10:$AJ$20,27,0),0)</f>
        <v>3</v>
      </c>
      <c r="P375" s="313" t="str">
        <f>IF(AND($W375&gt;=2,$X375&gt;=3,$Y375&gt;=1,H375&lt;&gt;0),"A1",IF(AND($W375&gt;=3,$X375&gt;=1,$Y375&gt;=1,H375&lt;&gt;0),"A1",IF(AND($W375&gt;=2,$X375&gt;=2,$Y375&gt;=1,I375&lt;&gt;0),"A2",IF(AND($W375&gt;=3,$X375&gt;=0,$Y375&gt;=1,I375&lt;&gt;0),"A2",IF(AND(OR($W375&gt;=1,$X375&gt;=2),J375&lt;&gt;0,$Y375&gt;=0),"A3","A4")))))</f>
        <v>A3</v>
      </c>
      <c r="Q375" s="1196" t="s">
        <v>84</v>
      </c>
      <c r="R375" s="317"/>
      <c r="S375" s="666"/>
      <c r="T375" s="666"/>
      <c r="U375" s="176" t="str">
        <f>$Q375</f>
        <v>A2</v>
      </c>
      <c r="V375" s="178"/>
      <c r="W375" s="330">
        <f>IFERROR(VLOOKUP($D375,TT.ĐTLTT!$C$10:$AJ$20,18,0),0)</f>
        <v>7</v>
      </c>
      <c r="X375" s="330">
        <f>IFERROR(VLOOKUP($D375,TT.ĐTLTT!$C$10:$AJ$20,28,0),0)</f>
        <v>3</v>
      </c>
      <c r="Y375" s="700">
        <v>2</v>
      </c>
      <c r="Z375" s="3"/>
      <c r="AA375" s="3"/>
      <c r="AB375" s="777" t="s">
        <v>84</v>
      </c>
      <c r="AC375" s="839" t="s">
        <v>1171</v>
      </c>
      <c r="AD375" s="213"/>
      <c r="AE375" s="60" t="str">
        <f>IF($L375=$P375,$L375,FALSE)</f>
        <v>A3</v>
      </c>
      <c r="AF375" s="60"/>
      <c r="AG375" s="60"/>
      <c r="BD375" s="60" t="s">
        <v>888</v>
      </c>
      <c r="BE375" s="60" t="s">
        <v>867</v>
      </c>
    </row>
    <row r="376" spans="1:59" s="1056" customFormat="1" ht="33" customHeight="1" x14ac:dyDescent="0.25">
      <c r="A376" s="63">
        <f>IF(D376="","",SUBTOTAL(3,$D$8:D376))</f>
        <v>319</v>
      </c>
      <c r="B376" s="63" t="s">
        <v>10</v>
      </c>
      <c r="C376" s="71" t="s">
        <v>1108</v>
      </c>
      <c r="D376" s="92" t="s">
        <v>1109</v>
      </c>
      <c r="E376" s="652"/>
      <c r="F376" s="652"/>
      <c r="G376" s="282" t="str">
        <f>IF($H376&lt;&gt;0,"A1",IF($I376&lt;&gt;0,"A2",IF($J376&lt;&gt;0,"A3","A4")))</f>
        <v>A4</v>
      </c>
      <c r="H376" s="737"/>
      <c r="I376" s="737"/>
      <c r="J376" s="737"/>
      <c r="K376" s="234"/>
      <c r="L376" s="483" t="s">
        <v>83</v>
      </c>
      <c r="M376" s="292"/>
      <c r="N376" s="310">
        <f>IFERROR(VLOOKUP($D376,TT.ĐTLTT!$C$10:$AJ$20,17,0),0)</f>
        <v>1</v>
      </c>
      <c r="O376" s="310">
        <f>IFERROR(VLOOKUP($D376,TT.ĐTLTT!$C$10:$AJ$20,27,0),0)</f>
        <v>1</v>
      </c>
      <c r="P376" s="313" t="str">
        <f t="shared" si="128"/>
        <v>A4</v>
      </c>
      <c r="Q376" s="341" t="str">
        <f t="shared" ref="Q376" si="129">P376</f>
        <v>A4</v>
      </c>
      <c r="R376" s="325"/>
      <c r="S376" s="684"/>
      <c r="T376" s="684"/>
      <c r="U376" s="176" t="str">
        <f>$Q376</f>
        <v>A4</v>
      </c>
      <c r="V376" s="179"/>
      <c r="W376" s="330">
        <f>IFERROR(VLOOKUP($D376,TT.ĐTLTT!$C$10:$AJ$20,18,0),0)</f>
        <v>1</v>
      </c>
      <c r="X376" s="330">
        <f>IFERROR(VLOOKUP($D376,TT.ĐTLTT!$C$10:$AJ$20,28,0),0)</f>
        <v>1</v>
      </c>
      <c r="Y376" s="503"/>
      <c r="Z376" s="68"/>
      <c r="AA376" s="2"/>
      <c r="AB376" s="492"/>
      <c r="AC376" s="742"/>
      <c r="AD376" s="213"/>
      <c r="AE376" s="60" t="str">
        <f>IF($L376=$P376,$L376,FALSE)</f>
        <v>A4</v>
      </c>
      <c r="AF376" s="60">
        <v>31</v>
      </c>
      <c r="AG376" s="60"/>
      <c r="AH376" s="94"/>
      <c r="AI376" s="94"/>
      <c r="AJ376" s="94"/>
      <c r="AK376" s="94"/>
      <c r="BD376" s="60" t="s">
        <v>888</v>
      </c>
      <c r="BE376" s="60" t="s">
        <v>867</v>
      </c>
    </row>
    <row r="377" spans="1:59" ht="33.75" customHeight="1" x14ac:dyDescent="0.25">
      <c r="A377" s="62" t="s">
        <v>741</v>
      </c>
      <c r="B377" s="62" t="s">
        <v>740</v>
      </c>
      <c r="C377" s="64" t="s">
        <v>54</v>
      </c>
      <c r="D377" s="62"/>
      <c r="E377" s="652"/>
      <c r="F377" s="652"/>
      <c r="G377" s="280">
        <f>$L$378+$L$381</f>
        <v>3</v>
      </c>
      <c r="H377" s="234"/>
      <c r="I377" s="234"/>
      <c r="J377" s="234"/>
      <c r="K377" s="234"/>
      <c r="L377" s="500">
        <f>$L$378+$L$381</f>
        <v>3</v>
      </c>
      <c r="M377" s="286" t="str">
        <f>(COUNTIF($L$379:$L$382,"A1")&amp;"A1")&amp;" + "&amp;(COUNTIF($L$379:$L$382,"A2")&amp;"A2")&amp;" + "&amp;(COUNTIF($L$379:$L$382,"A3")&amp;"A3")&amp;" + "&amp;(COUNTIF($L$379:$L$382,"A4")&amp;"A4")</f>
        <v>0A1 + 3A2 + 0A3 + 0A4</v>
      </c>
      <c r="N377" s="500"/>
      <c r="O377" s="500"/>
      <c r="P377" s="311">
        <f>$Q$378+$Q$381</f>
        <v>3</v>
      </c>
      <c r="Q377" s="340">
        <f>$Q$378+$Q$381</f>
        <v>3</v>
      </c>
      <c r="R377" s="312" t="str">
        <f>(COUNTIF($Q$379:$Q$382,"A1")&amp;"A1")&amp;" + "&amp;(COUNTIF($Q$379:$Q$382,"A2")&amp;"A2")&amp;" + "&amp;(COUNTIF($Q$379:$Q$382,"A3")&amp;"A3")&amp;" + "&amp;(COUNTIF($Q$379:$Q$382,"A4")&amp;"A4")</f>
        <v>1A1 + 2A2 + 0A3 + 0A4</v>
      </c>
      <c r="S377" s="661"/>
      <c r="T377" s="661"/>
      <c r="U377" s="174">
        <f>$U$378+$U$381</f>
        <v>3</v>
      </c>
      <c r="V377" s="175" t="str">
        <f>(COUNTIF($U$379:$U$382,"A1")&amp;"A1")&amp;" + "&amp;(COUNTIF($U$379:$U$382,"A2")&amp;"A2")&amp;" + "&amp;(COUNTIF($U$379:$U$382,"A3")&amp;"A3")&amp;" + "&amp;(COUNTIF($U$379:$U$382,"A4")&amp;"A4")</f>
        <v>1A1 + 2A2 + 0A3 + 0A4</v>
      </c>
      <c r="W377" s="501"/>
      <c r="X377" s="501"/>
      <c r="Y377" s="556"/>
      <c r="Z377" s="95"/>
      <c r="AA377" s="95"/>
      <c r="AB377" s="242"/>
      <c r="AC377" s="1353"/>
      <c r="AD377" s="219"/>
      <c r="AE377" s="60"/>
      <c r="AF377" s="60"/>
      <c r="AG377" s="607"/>
      <c r="AH377" s="608"/>
      <c r="AI377" s="608"/>
      <c r="AK377" s="1327" t="s">
        <v>906</v>
      </c>
      <c r="AL377" s="1327"/>
      <c r="AM377" s="1327"/>
      <c r="AN377" s="1327"/>
      <c r="AO377" s="1327"/>
      <c r="AP377" s="1327"/>
      <c r="AQ377" s="1327"/>
      <c r="AR377" s="1327"/>
      <c r="AS377" s="1327"/>
      <c r="AT377" s="1327"/>
      <c r="AU377" s="1327"/>
      <c r="AV377" s="1327"/>
      <c r="AW377" s="1327"/>
      <c r="AX377" s="1327"/>
      <c r="AY377" s="1327"/>
      <c r="AZ377" s="1327"/>
      <c r="BA377" s="1327"/>
      <c r="BB377" s="1327"/>
      <c r="BF377" s="60">
        <f>COUNTIF($BE379:$BE382,"CBQL")</f>
        <v>1</v>
      </c>
      <c r="BG377" s="60">
        <f>COUNTIF($BE379:$BE382,"GV") + COUNTIF($BE379:$BE382,"NV")</f>
        <v>2</v>
      </c>
    </row>
    <row r="378" spans="1:59" s="57" customFormat="1" ht="33.75" customHeight="1" x14ac:dyDescent="0.25">
      <c r="A378" s="65" t="s">
        <v>45</v>
      </c>
      <c r="B378" s="65" t="s">
        <v>45</v>
      </c>
      <c r="C378" s="66" t="s">
        <v>46</v>
      </c>
      <c r="D378" s="65"/>
      <c r="E378" s="691" t="s">
        <v>949</v>
      </c>
      <c r="F378" s="691" t="s">
        <v>950</v>
      </c>
      <c r="G378" s="280">
        <f>COUNTA($L379:$L380)</f>
        <v>2</v>
      </c>
      <c r="H378" s="234"/>
      <c r="I378" s="234"/>
      <c r="J378" s="234"/>
      <c r="K378" s="234"/>
      <c r="L378" s="500">
        <f>COUNTA($L379:$L380)</f>
        <v>2</v>
      </c>
      <c r="M378" s="286" t="str">
        <f>(COUNTIF($L$379:$L$380,"A1")&amp;"A1")&amp;" + "&amp;(COUNTIF($L$379:$L$380,"A2")&amp;"A2")&amp;" + "&amp;(COUNTIF($L$379:$L$380,"A3")&amp;"A3")&amp;" + "&amp;(COUNTIF($L$379:$L$380,"A4")&amp;"A4")</f>
        <v>0A1 + 2A2 + 0A3 + 0A4</v>
      </c>
      <c r="N378" s="500"/>
      <c r="O378" s="500"/>
      <c r="P378" s="311">
        <f>COUNTA($Q$379:$Q$380)</f>
        <v>2</v>
      </c>
      <c r="Q378" s="340">
        <f>COUNTA($Q$379:$Q$380)</f>
        <v>2</v>
      </c>
      <c r="R378" s="312" t="str">
        <f>(COUNTIF($Q$379:$Q$380,"A1")&amp;"A1")&amp;" + "&amp;(COUNTIF($Q$379:$Q$380,"A2")&amp;"A2")&amp;" + "&amp;(COUNTIF($Q$379:$Q$380,"A3")&amp;"A3")&amp;" + "&amp;(COUNTIF($Q$379:$Q$380,"A4")&amp;"A4")</f>
        <v>1A1 + 1A2 + 0A3 + 0A4</v>
      </c>
      <c r="S378" s="691" t="s">
        <v>949</v>
      </c>
      <c r="T378" s="691" t="s">
        <v>950</v>
      </c>
      <c r="U378" s="174">
        <f>COUNTA($U379:$U380)</f>
        <v>2</v>
      </c>
      <c r="V378" s="175" t="str">
        <f>(COUNTIF($U$379:$U$380,"A1")&amp;"A1")&amp;" + "&amp;(COUNTIF($U$379:$U$380,"A2")&amp;"A2")&amp;" + "&amp;(COUNTIF($U$379:$U$380,"A3")&amp;"A3")&amp;" + "&amp;(COUNTIF($U$379:$U$380,"A4")&amp;"A4")</f>
        <v>1A1 + 1A2 + 0A3 + 0A4</v>
      </c>
      <c r="W378" s="501"/>
      <c r="X378" s="501"/>
      <c r="Y378" s="556"/>
      <c r="Z378" s="95"/>
      <c r="AA378" s="95"/>
      <c r="AB378" s="242"/>
      <c r="AC378" s="1354"/>
      <c r="AD378" s="213"/>
      <c r="AE378" s="60"/>
      <c r="AF378" s="60"/>
      <c r="AG378" s="1328" t="s">
        <v>915</v>
      </c>
      <c r="AH378" s="1328"/>
      <c r="AI378" s="1328"/>
      <c r="AJ378" s="59"/>
      <c r="AK378" s="598" t="s">
        <v>935</v>
      </c>
      <c r="AL378" s="598" t="s">
        <v>907</v>
      </c>
      <c r="AM378" s="1329" t="s">
        <v>897</v>
      </c>
      <c r="AN378" s="1329"/>
      <c r="AO378" s="1329" t="s">
        <v>898</v>
      </c>
      <c r="AP378" s="1329"/>
      <c r="AQ378" s="1329" t="s">
        <v>899</v>
      </c>
      <c r="AR378" s="1329"/>
      <c r="AS378" s="1329" t="s">
        <v>900</v>
      </c>
      <c r="AT378" s="1329"/>
      <c r="AU378" s="1329" t="s">
        <v>902</v>
      </c>
      <c r="AV378" s="1329"/>
      <c r="AW378" s="1329" t="s">
        <v>903</v>
      </c>
      <c r="AX378" s="1329"/>
      <c r="AY378" s="1329" t="s">
        <v>904</v>
      </c>
      <c r="AZ378" s="1329"/>
      <c r="BA378" s="1329" t="s">
        <v>905</v>
      </c>
      <c r="BB378" s="1329"/>
      <c r="BD378" s="60"/>
      <c r="BE378" s="60"/>
    </row>
    <row r="379" spans="1:59" s="57" customFormat="1" ht="117.75" customHeight="1" x14ac:dyDescent="0.25">
      <c r="A379" s="63">
        <f>IF(D379="","",SUBTOTAL(3,$D$8:D379))</f>
        <v>320</v>
      </c>
      <c r="B379" s="63" t="s">
        <v>5</v>
      </c>
      <c r="C379" s="71" t="s">
        <v>441</v>
      </c>
      <c r="D379" s="89" t="s">
        <v>677</v>
      </c>
      <c r="E379" s="692">
        <f>COUNTIF($L380:$L382,"A1")</f>
        <v>0</v>
      </c>
      <c r="F379" s="692">
        <f>COUNTIF($L380:$L382,"A2")</f>
        <v>2</v>
      </c>
      <c r="G379" s="282" t="str">
        <f t="shared" ref="G379:G380" si="130">IF($H379&lt;&gt;0,"A1",IF($I379&lt;&gt;0,"A2",IF($J379&lt;&gt;0,"A3","A4")))</f>
        <v>A2</v>
      </c>
      <c r="H379" s="234"/>
      <c r="I379" s="737" t="s">
        <v>965</v>
      </c>
      <c r="J379" s="737" t="s">
        <v>954</v>
      </c>
      <c r="K379" s="234"/>
      <c r="L379" s="291" t="s">
        <v>84</v>
      </c>
      <c r="M379" s="295" t="s">
        <v>1201</v>
      </c>
      <c r="N379" s="310">
        <f>IFERROR(VLOOKUP($D379,'TT.Y TẾ'!$C$10:$W$13,10,0),0)</f>
        <v>2</v>
      </c>
      <c r="O379" s="310">
        <f>IFERROR(VLOOKUP($D379,'TT.Y TẾ'!$C$10:$W$13,20,0),0)</f>
        <v>4</v>
      </c>
      <c r="P379" s="1186" t="s">
        <v>82</v>
      </c>
      <c r="Q379" s="341" t="str">
        <f t="shared" ref="Q379" si="131">P379</f>
        <v>A1</v>
      </c>
      <c r="R379" s="325"/>
      <c r="S379" s="692">
        <f>COUNTIF($U380:$U382,"A1")</f>
        <v>0</v>
      </c>
      <c r="T379" s="692">
        <f>COUNTIF($U380:$U382,"A2")</f>
        <v>2</v>
      </c>
      <c r="U379" s="176" t="str">
        <f>$Q379</f>
        <v>A1</v>
      </c>
      <c r="V379" s="179"/>
      <c r="W379" s="330">
        <f>IFERROR(VLOOKUP($D379,'TT.Y TẾ'!$C$10:$W$13,11,0),0)</f>
        <v>2</v>
      </c>
      <c r="X379" s="330">
        <f>IFERROR(VLOOKUP($D379,'TT.Y TẾ'!$C$10:$W$13,21,0),0)</f>
        <v>4</v>
      </c>
      <c r="Y379" s="560">
        <v>1</v>
      </c>
      <c r="Z379" s="2"/>
      <c r="AA379" s="2"/>
      <c r="AB379" s="843" t="s">
        <v>82</v>
      </c>
      <c r="AC379" s="337" t="s">
        <v>1172</v>
      </c>
      <c r="AD379" s="776"/>
      <c r="AE379" s="60" t="b">
        <f t="shared" si="106"/>
        <v>0</v>
      </c>
      <c r="AF379" s="60"/>
      <c r="AG379" s="646" t="s">
        <v>845</v>
      </c>
      <c r="AH379" s="604">
        <v>1</v>
      </c>
      <c r="AI379" s="605">
        <f>AH379/$L377</f>
        <v>0.33333333333333331</v>
      </c>
      <c r="AJ379" s="590"/>
      <c r="AK379" s="594"/>
      <c r="AL379" s="595">
        <f>AL380+AL381</f>
        <v>3</v>
      </c>
      <c r="AM379" s="596" t="s">
        <v>896</v>
      </c>
      <c r="AN379" s="596" t="s">
        <v>844</v>
      </c>
      <c r="AO379" s="596" t="s">
        <v>896</v>
      </c>
      <c r="AP379" s="596" t="s">
        <v>844</v>
      </c>
      <c r="AQ379" s="596" t="s">
        <v>896</v>
      </c>
      <c r="AR379" s="596" t="s">
        <v>844</v>
      </c>
      <c r="AS379" s="596" t="s">
        <v>896</v>
      </c>
      <c r="AT379" s="596" t="s">
        <v>844</v>
      </c>
      <c r="AU379" s="596" t="s">
        <v>896</v>
      </c>
      <c r="AV379" s="596" t="s">
        <v>844</v>
      </c>
      <c r="AW379" s="596" t="s">
        <v>896</v>
      </c>
      <c r="AX379" s="596" t="s">
        <v>844</v>
      </c>
      <c r="AY379" s="596" t="s">
        <v>896</v>
      </c>
      <c r="AZ379" s="596" t="s">
        <v>844</v>
      </c>
      <c r="BA379" s="596" t="s">
        <v>896</v>
      </c>
      <c r="BB379" s="596" t="s">
        <v>844</v>
      </c>
      <c r="BD379" s="60" t="s">
        <v>889</v>
      </c>
      <c r="BE379" s="60" t="s">
        <v>866</v>
      </c>
    </row>
    <row r="380" spans="1:59" s="57" customFormat="1" ht="30.75" customHeight="1" x14ac:dyDescent="0.25">
      <c r="A380" s="63">
        <f>IF(D380="","",SUBTOTAL(3,$D$8:D380))</f>
        <v>321</v>
      </c>
      <c r="B380" s="63" t="s">
        <v>6</v>
      </c>
      <c r="C380" s="71" t="s">
        <v>442</v>
      </c>
      <c r="D380" s="89" t="s">
        <v>678</v>
      </c>
      <c r="E380" s="693">
        <f>E379/$AL$381</f>
        <v>0</v>
      </c>
      <c r="F380" s="693">
        <f>F379/$AL$381</f>
        <v>1</v>
      </c>
      <c r="G380" s="282" t="str">
        <f t="shared" si="130"/>
        <v>A2</v>
      </c>
      <c r="H380" s="234"/>
      <c r="I380" s="737" t="s">
        <v>955</v>
      </c>
      <c r="J380" s="737" t="s">
        <v>954</v>
      </c>
      <c r="K380" s="234"/>
      <c r="L380" s="291" t="s">
        <v>84</v>
      </c>
      <c r="M380" s="295"/>
      <c r="N380" s="310">
        <f>IFERROR(VLOOKUP($D380,'TT.Y TẾ'!$C$10:$W$13,10,0),0)</f>
        <v>2</v>
      </c>
      <c r="O380" s="310">
        <f>IFERROR(VLOOKUP($D380,'TT.Y TẾ'!$C$10:$W$13,20,0),0)</f>
        <v>4</v>
      </c>
      <c r="P380" s="313" t="str">
        <f t="shared" ref="P380" si="132">IF(AND($W380&gt;=2,$X380&gt;=3,$Y380&gt;=1,H380&lt;&gt;0),"A1",IF(AND($W380&gt;=3,$X380&gt;=1,$Y380&gt;=1,H380&lt;&gt;0),"A1",IF(AND($W380&gt;=2,$X380&gt;=2,$Y380&gt;=1,I380&lt;&gt;0),"A2",IF(AND($W380&gt;=3,$X380&gt;=0,$Y380&gt;=1,I380&lt;&gt;0),"A2",IF(AND(OR($W380&gt;=1,$X380&gt;=2),J380&lt;&gt;0,$Y380&gt;=0),"A3","A4")))))</f>
        <v>A2</v>
      </c>
      <c r="Q380" s="341" t="str">
        <f>P380</f>
        <v>A2</v>
      </c>
      <c r="R380" s="319"/>
      <c r="S380" s="693">
        <f>S379/$AL$381</f>
        <v>0</v>
      </c>
      <c r="T380" s="693">
        <f>T379/$AL$381</f>
        <v>1</v>
      </c>
      <c r="U380" s="176" t="str">
        <f>$Q380</f>
        <v>A2</v>
      </c>
      <c r="V380" s="179">
        <f>R380</f>
        <v>0</v>
      </c>
      <c r="W380" s="330">
        <f>IFERROR(VLOOKUP($D380,'TT.Y TẾ'!$C$10:$W$13,11,0),0)</f>
        <v>2</v>
      </c>
      <c r="X380" s="330">
        <f>IFERROR(VLOOKUP($D380,'TT.Y TẾ'!$C$10:$W$13,21,0),0)</f>
        <v>4</v>
      </c>
      <c r="Y380" s="560">
        <v>4</v>
      </c>
      <c r="Z380" s="2"/>
      <c r="AA380" s="2"/>
      <c r="AB380" s="279"/>
      <c r="AC380" s="734"/>
      <c r="AD380" s="1026"/>
      <c r="AE380" s="60" t="str">
        <f t="shared" si="106"/>
        <v>A2</v>
      </c>
      <c r="AF380" s="60"/>
      <c r="AG380" s="604" t="s">
        <v>846</v>
      </c>
      <c r="AH380" s="604">
        <v>2</v>
      </c>
      <c r="AI380" s="605">
        <f>AH380/$L377</f>
        <v>0.66666666666666663</v>
      </c>
      <c r="AJ380" s="590"/>
      <c r="AK380" s="597" t="s">
        <v>864</v>
      </c>
      <c r="AL380" s="595">
        <f>COUNTIF($BE379:$BE382,"CBQL")</f>
        <v>1</v>
      </c>
      <c r="AM380" s="595">
        <f>COUNTIF($U379:$U379,"A1")</f>
        <v>1</v>
      </c>
      <c r="AN380" s="611">
        <f>AM380/$AL380</f>
        <v>1</v>
      </c>
      <c r="AO380" s="595">
        <f>COUNTIF($U379:$U379,"A2")</f>
        <v>0</v>
      </c>
      <c r="AP380" s="611">
        <f>AO380/$AL$380</f>
        <v>0</v>
      </c>
      <c r="AQ380" s="595">
        <f>COUNTIF($U379:$U379,"A3")</f>
        <v>0</v>
      </c>
      <c r="AR380" s="611">
        <f>AQ380/$AL$379</f>
        <v>0</v>
      </c>
      <c r="AS380" s="595">
        <f>COUNTIF($U379:$U379,"A4")</f>
        <v>0</v>
      </c>
      <c r="AT380" s="611">
        <f>AS380/$AL$379</f>
        <v>0</v>
      </c>
      <c r="AU380" s="595">
        <f>COUNTIF($U379:$U379,"B1")</f>
        <v>0</v>
      </c>
      <c r="AV380" s="611">
        <f>AU380/$AL$379</f>
        <v>0</v>
      </c>
      <c r="AW380" s="595">
        <f>COUNTIF($U379:$U379,"B2")</f>
        <v>0</v>
      </c>
      <c r="AX380" s="611">
        <f>AW380/$AL$379</f>
        <v>0</v>
      </c>
      <c r="AY380" s="595">
        <f>COUNTIF($U379:$U379,"C1")</f>
        <v>0</v>
      </c>
      <c r="AZ380" s="611">
        <f>AY380/$AL$379</f>
        <v>0</v>
      </c>
      <c r="BA380" s="595">
        <f>COUNTIF($U379:$U379,"C2")</f>
        <v>0</v>
      </c>
      <c r="BB380" s="611">
        <f>BA380/$AL$379</f>
        <v>0</v>
      </c>
      <c r="BD380" s="60" t="s">
        <v>889</v>
      </c>
      <c r="BE380" s="60" t="s">
        <v>867</v>
      </c>
    </row>
    <row r="381" spans="1:59" s="57" customFormat="1" ht="33.75" customHeight="1" x14ac:dyDescent="0.25">
      <c r="A381" s="65" t="s">
        <v>51</v>
      </c>
      <c r="B381" s="65" t="s">
        <v>51</v>
      </c>
      <c r="C381" s="66" t="s">
        <v>48</v>
      </c>
      <c r="D381" s="555"/>
      <c r="E381" s="652"/>
      <c r="F381" s="652"/>
      <c r="G381" s="280">
        <f>COUNTA($L382:$L382)</f>
        <v>1</v>
      </c>
      <c r="H381" s="234"/>
      <c r="I381" s="737"/>
      <c r="J381" s="737"/>
      <c r="K381" s="234"/>
      <c r="L381" s="500">
        <f>COUNTA($L382:$L382)</f>
        <v>1</v>
      </c>
      <c r="M381" s="286" t="str">
        <f>(COUNTIF($L$382:$L$382,"A1")&amp;"A1")&amp;" + "&amp;(COUNTIF($L$382:$L$382,"A2")&amp;"A2")&amp;" + "&amp;(COUNTIF($L$382:$L$382,"A3")&amp;"A3")&amp;" + "&amp;(COUNTIF($L$382:$L$382,"A4")&amp;"A4")</f>
        <v>0A1 + 1A2 + 0A3 + 0A4</v>
      </c>
      <c r="N381" s="297"/>
      <c r="O381" s="297"/>
      <c r="P381" s="311">
        <f>COUNTA($Q$382:$Q$382)</f>
        <v>1</v>
      </c>
      <c r="Q381" s="340">
        <f>COUNTA($Q$382:$Q$382)</f>
        <v>1</v>
      </c>
      <c r="R381" s="312" t="str">
        <f>(COUNTIF($Q$382:$Q$382,"A1")&amp;"A1")&amp;" + "&amp;(COUNTIF($Q$382:$Q$382,"A2")&amp;"A2")&amp;" + "&amp;(COUNTIF($Q$382:$Q$382,"A3")&amp;"A3")&amp;" + "&amp;(COUNTIF($Q$382:$Q$382,"A4")&amp;"A4")</f>
        <v>0A1 + 1A2 + 0A3 + 0A4</v>
      </c>
      <c r="S381" s="661"/>
      <c r="T381" s="661"/>
      <c r="U381" s="174">
        <f>COUNTA($U382:$U382)</f>
        <v>1</v>
      </c>
      <c r="V381" s="175" t="str">
        <f>(COUNTIF($U$382:$U$382,"A1")&amp;"A1")&amp;" + "&amp;(COUNTIF($U$382:$U$382,"A2")&amp;"A2")&amp;" + "&amp;(COUNTIF($U$382:$U$382,"A3")&amp;"A3")&amp;" + "&amp;(COUNTIF($U$382:$U$382,"A4")&amp;"A4")</f>
        <v>0A1 + 1A2 + 0A3 + 0A4</v>
      </c>
      <c r="W381" s="321"/>
      <c r="X381" s="321"/>
      <c r="Y381" s="508">
        <v>1</v>
      </c>
      <c r="Z381" s="95"/>
      <c r="AA381" s="95"/>
      <c r="AB381" s="242"/>
      <c r="AC381" s="250"/>
      <c r="AD381" s="1026"/>
      <c r="AE381" s="60"/>
      <c r="AF381" s="60"/>
      <c r="AG381" s="604"/>
      <c r="AH381" s="614">
        <f>AH379+AH380</f>
        <v>3</v>
      </c>
      <c r="AI381" s="615">
        <f>AI379+AI380</f>
        <v>1</v>
      </c>
      <c r="AJ381" s="590"/>
      <c r="AK381" s="616" t="s">
        <v>865</v>
      </c>
      <c r="AL381" s="595">
        <f>COUNTIF($BE379:$BE382,"GV") + COUNTIF($BE379:$BE382,"NV")</f>
        <v>2</v>
      </c>
      <c r="AM381" s="595">
        <f>COUNTIF($U380:$U384,"A1")</f>
        <v>0</v>
      </c>
      <c r="AN381" s="611">
        <f>AM381/$AL$381</f>
        <v>0</v>
      </c>
      <c r="AO381" s="595">
        <f>COUNTIF($U380:$U384,"A2")</f>
        <v>2</v>
      </c>
      <c r="AP381" s="611">
        <f>AO381/$AL$381</f>
        <v>1</v>
      </c>
      <c r="AQ381" s="595">
        <f>COUNTIF($U380:$U384,"A3")</f>
        <v>0</v>
      </c>
      <c r="AR381" s="611">
        <f>AQ381/$AL$379</f>
        <v>0</v>
      </c>
      <c r="AS381" s="595">
        <f>COUNTIF($U380:$U384,"A4")</f>
        <v>0</v>
      </c>
      <c r="AT381" s="611">
        <f>AS381/$AL$379</f>
        <v>0</v>
      </c>
      <c r="AU381" s="595">
        <f>COUNTIF($U380:$U384,"B1")</f>
        <v>0</v>
      </c>
      <c r="AV381" s="611">
        <f>AU381/$AL$379</f>
        <v>0</v>
      </c>
      <c r="AW381" s="595">
        <f>COUNTIF($U380:$U384,"B2")</f>
        <v>0</v>
      </c>
      <c r="AX381" s="611">
        <f>AW381/$AL$379</f>
        <v>0</v>
      </c>
      <c r="AY381" s="595">
        <f>COUNTIF($U380:$U384,"C1")</f>
        <v>0</v>
      </c>
      <c r="AZ381" s="611">
        <f>AY381/$AL$379</f>
        <v>0</v>
      </c>
      <c r="BA381" s="595">
        <f>COUNTIF($U380:$U384,"C2")</f>
        <v>0</v>
      </c>
      <c r="BB381" s="611">
        <f>BA381/$AL$379</f>
        <v>0</v>
      </c>
      <c r="BD381" s="60" t="s">
        <v>889</v>
      </c>
      <c r="BE381" s="60"/>
    </row>
    <row r="382" spans="1:59" s="57" customFormat="1" ht="32.25" customHeight="1" x14ac:dyDescent="0.25">
      <c r="A382" s="63">
        <f>IF(D382="","",SUBTOTAL(3,$D$8:D382))</f>
        <v>322</v>
      </c>
      <c r="B382" s="63" t="s">
        <v>10</v>
      </c>
      <c r="C382" s="71" t="s">
        <v>443</v>
      </c>
      <c r="D382" s="89" t="s">
        <v>679</v>
      </c>
      <c r="E382" s="652"/>
      <c r="F382" s="652"/>
      <c r="G382" s="282" t="str">
        <f t="shared" ref="G382" si="133">IF($H382&lt;&gt;0,"A1",IF($I382&lt;&gt;0,"A2",IF($J382&lt;&gt;0,"A3","A4")))</f>
        <v>A2</v>
      </c>
      <c r="H382" s="234"/>
      <c r="I382" s="737" t="s">
        <v>955</v>
      </c>
      <c r="J382" s="737" t="s">
        <v>954</v>
      </c>
      <c r="K382" s="234"/>
      <c r="L382" s="291" t="s">
        <v>84</v>
      </c>
      <c r="M382" s="295"/>
      <c r="N382" s="310">
        <f>IFERROR(VLOOKUP($D382,'TT.Y TẾ'!$C$10:$W$13,10,0),0)</f>
        <v>2</v>
      </c>
      <c r="O382" s="310">
        <f>IFERROR(VLOOKUP($D382,'TT.Y TẾ'!$C$10:$W$13,20,0),0)</f>
        <v>4</v>
      </c>
      <c r="P382" s="313" t="str">
        <f t="shared" ref="P382" si="134">IF(AND($W382&gt;=2,$X382&gt;=3,$Y382&gt;=1,H382&lt;&gt;0),"A1",IF(AND($W382&gt;=3,$X382&gt;=1,$Y382&gt;=1,H382&lt;&gt;0),"A1",IF(AND($W382&gt;=2,$X382&gt;=2,$Y382&gt;=1,I382&lt;&gt;0),"A2",IF(AND($W382&gt;=3,$X382&gt;=0,$Y382&gt;=1,I382&lt;&gt;0),"A2",IF(AND(OR($W382&gt;=1,$X382&gt;=2),J382&lt;&gt;0,$Y382&gt;=0),"A3","A4")))))</f>
        <v>A2</v>
      </c>
      <c r="Q382" s="341" t="str">
        <f t="shared" ref="Q382" si="135">P382</f>
        <v>A2</v>
      </c>
      <c r="R382" s="319"/>
      <c r="S382" s="672"/>
      <c r="T382" s="672"/>
      <c r="U382" s="176" t="str">
        <f>$Q382</f>
        <v>A2</v>
      </c>
      <c r="V382" s="179"/>
      <c r="W382" s="330">
        <f>IFERROR(VLOOKUP($D382,'TT.Y TẾ'!$C$10:$W$13,11,0),0)</f>
        <v>2</v>
      </c>
      <c r="X382" s="330">
        <f>IFERROR(VLOOKUP($D382,'TT.Y TẾ'!$C$10:$W$13,21,0),0)</f>
        <v>4</v>
      </c>
      <c r="Y382" s="333">
        <v>1</v>
      </c>
      <c r="Z382" s="68"/>
      <c r="AA382" s="2"/>
      <c r="AB382" s="492"/>
      <c r="AC382" s="565"/>
      <c r="AD382" s="1026"/>
      <c r="AE382" s="60" t="str">
        <f t="shared" si="106"/>
        <v>A2</v>
      </c>
      <c r="AF382" s="60"/>
      <c r="AG382" s="60"/>
      <c r="AH382" s="94"/>
      <c r="AI382" s="94"/>
      <c r="AJ382" s="94"/>
      <c r="AK382" s="94"/>
      <c r="AL382" s="589"/>
      <c r="AM382" s="589"/>
      <c r="AN382" s="589"/>
      <c r="AO382" s="589"/>
      <c r="AP382" s="589"/>
      <c r="AQ382" s="589"/>
      <c r="AR382" s="589"/>
      <c r="AS382" s="589"/>
      <c r="AT382" s="589"/>
      <c r="AU382" s="589"/>
      <c r="AV382" s="589"/>
      <c r="AW382" s="589"/>
      <c r="AX382" s="589"/>
      <c r="AY382" s="589"/>
      <c r="AZ382" s="589"/>
      <c r="BA382" s="589"/>
      <c r="BB382" s="589"/>
      <c r="BD382" s="60" t="s">
        <v>889</v>
      </c>
      <c r="BE382" s="60" t="s">
        <v>867</v>
      </c>
    </row>
    <row r="383" spans="1:59" ht="41.25" customHeight="1" x14ac:dyDescent="0.25">
      <c r="A383" s="62" t="s">
        <v>742</v>
      </c>
      <c r="B383" s="62" t="s">
        <v>741</v>
      </c>
      <c r="C383" s="64" t="s">
        <v>953</v>
      </c>
      <c r="D383" s="62"/>
      <c r="E383" s="652"/>
      <c r="F383" s="652"/>
      <c r="G383" s="280">
        <f>COUNTA($L385:$L386)</f>
        <v>2</v>
      </c>
      <c r="H383" s="234"/>
      <c r="I383" s="234"/>
      <c r="J383" s="234"/>
      <c r="K383" s="234"/>
      <c r="L383" s="500">
        <f>COUNTA($L385:$L386)</f>
        <v>2</v>
      </c>
      <c r="M383" s="286" t="str">
        <f>(COUNTIF($L$385:$L$386,"A1")&amp;"A1")&amp;" + "&amp;(COUNTIF($L$385:$L$386,"A2")&amp;"A2")&amp;" + "&amp;(COUNTIF($L$385:$L$386,"A3")&amp;"A3")&amp;" + "&amp;(COUNTIF($L$385:$L$386,"A4")&amp;"A4")</f>
        <v>0A1 + 0A2 + 0A3 + 1A4</v>
      </c>
      <c r="N383" s="500"/>
      <c r="O383" s="500"/>
      <c r="P383" s="311">
        <f>COUNTA($Q$385:$Q$386)</f>
        <v>2</v>
      </c>
      <c r="Q383" s="340">
        <f>COUNTA($Q$385:$Q$386)</f>
        <v>2</v>
      </c>
      <c r="R383" s="312" t="str">
        <f>(COUNTIF($Q$385:$Q$386,"A1")&amp;"A1")&amp;" + "&amp;(COUNTIF($Q$385:$Q$386,"A2")&amp;"A2")&amp;" + "&amp;(COUNTIF($Q$385:$Q$386,"A3")&amp;"A3")&amp;" + "&amp;(COUNTIF($Q$385:$Q$386,"A4")&amp;"A4")</f>
        <v>0A1 + 0A2 + 1A3 + 0A4</v>
      </c>
      <c r="S383" s="661"/>
      <c r="T383" s="661"/>
      <c r="U383" s="174">
        <f>COUNTA($U$385:$U$386)</f>
        <v>2</v>
      </c>
      <c r="V383" s="175" t="str">
        <f>(COUNTIF($U$385:$U$386,"A1")&amp;"A1")&amp;" + "&amp;(COUNTIF($U$385:$U$386,"A2")&amp;"A2")&amp;" + "&amp;(COUNTIF($U$385:$U$386,"A3")&amp;"A3")&amp;" + "&amp;(COUNTIF($U$385:$U$386,"A4")&amp;"A4")</f>
        <v>0A1 + 0A2 + 1A3 + 0A4</v>
      </c>
      <c r="W383" s="501"/>
      <c r="X383" s="501"/>
      <c r="Y383" s="556"/>
      <c r="Z383" s="95"/>
      <c r="AA383" s="95"/>
      <c r="AB383" s="242"/>
      <c r="AC383" s="338"/>
      <c r="AD383" s="219"/>
      <c r="AE383" s="60"/>
      <c r="AF383" s="60"/>
      <c r="AG383" s="607"/>
      <c r="AH383" s="608"/>
      <c r="AI383" s="608"/>
      <c r="AK383" s="1327" t="s">
        <v>906</v>
      </c>
      <c r="AL383" s="1327"/>
      <c r="AM383" s="1327"/>
      <c r="AN383" s="1327"/>
      <c r="AO383" s="1327"/>
      <c r="AP383" s="1327"/>
      <c r="AQ383" s="1327"/>
      <c r="AR383" s="1327"/>
      <c r="AS383" s="1327"/>
      <c r="AT383" s="1327"/>
      <c r="AU383" s="1327"/>
      <c r="AV383" s="1327"/>
      <c r="AW383" s="1327"/>
      <c r="AX383" s="1327"/>
      <c r="AY383" s="1327"/>
      <c r="AZ383" s="1327"/>
      <c r="BA383" s="1327"/>
      <c r="BB383" s="1327"/>
      <c r="BF383" s="60">
        <f>COUNTIF($BE385:$BE386,"CBQL")</f>
        <v>1</v>
      </c>
      <c r="BG383" s="60">
        <f>COUNTIF($BE385:$BE386,"GV") + COUNTIF($BE385:$BE386,"NV")</f>
        <v>1</v>
      </c>
    </row>
    <row r="384" spans="1:59" s="57" customFormat="1" ht="34.5" customHeight="1" x14ac:dyDescent="0.25">
      <c r="A384" s="65" t="s">
        <v>45</v>
      </c>
      <c r="B384" s="65" t="s">
        <v>45</v>
      </c>
      <c r="C384" s="66" t="s">
        <v>46</v>
      </c>
      <c r="D384" s="65"/>
      <c r="E384" s="691" t="s">
        <v>949</v>
      </c>
      <c r="F384" s="691" t="s">
        <v>950</v>
      </c>
      <c r="G384" s="280">
        <f>COUNTA($L385:$L386)</f>
        <v>2</v>
      </c>
      <c r="H384" s="234"/>
      <c r="I384" s="234"/>
      <c r="J384" s="234"/>
      <c r="K384" s="234"/>
      <c r="L384" s="500">
        <f>COUNTA($L385:$L386)</f>
        <v>2</v>
      </c>
      <c r="M384" s="286" t="str">
        <f>(COUNTIF($L$385:$L$386,"A1")&amp;"A1")&amp;" + "&amp;(COUNTIF($L$385:$L$386,"A2")&amp;"A2")&amp;" + "&amp;(COUNTIF($L$385:$L$386,"A3")&amp;"A3")&amp;" + "&amp;(COUNTIF($L$385:$L$386,"A4")&amp;"A4")</f>
        <v>0A1 + 0A2 + 0A3 + 1A4</v>
      </c>
      <c r="N384" s="500"/>
      <c r="O384" s="500"/>
      <c r="P384" s="311">
        <f>COUNTA($Q$385:$Q$386)</f>
        <v>2</v>
      </c>
      <c r="Q384" s="340">
        <f>COUNTA($Q$385:$Q$386)</f>
        <v>2</v>
      </c>
      <c r="R384" s="312" t="str">
        <f>(COUNTIF($Q$385:$Q$386,"A1")&amp;"A1")&amp;" + "&amp;(COUNTIF($Q$385:$Q$386,"A2")&amp;"A2")&amp;" + "&amp;(COUNTIF($Q$385:$Q$386,"A3")&amp;"A3")&amp;" + "&amp;(COUNTIF($Q$385:$Q$386,"A4")&amp;"A4")</f>
        <v>0A1 + 0A2 + 1A3 + 0A4</v>
      </c>
      <c r="S384" s="691" t="s">
        <v>949</v>
      </c>
      <c r="T384" s="691" t="s">
        <v>950</v>
      </c>
      <c r="U384" s="174">
        <f>COUNTA($U$385:$U$386)</f>
        <v>2</v>
      </c>
      <c r="V384" s="175" t="str">
        <f>(COUNTIF($U$385:$U$386,"A1")&amp;"A1")&amp;" + "&amp;(COUNTIF($U$385:$U$386,"A2")&amp;"A2")&amp;" + "&amp;(COUNTIF($U$385:$U$386,"A3")&amp;"A3")&amp;" + "&amp;(COUNTIF($U$385:$U$386,"A4")&amp;"A4")</f>
        <v>0A1 + 0A2 + 1A3 + 0A4</v>
      </c>
      <c r="W384" s="501"/>
      <c r="X384" s="501"/>
      <c r="Y384" s="556"/>
      <c r="Z384" s="95"/>
      <c r="AA384" s="95"/>
      <c r="AB384" s="242"/>
      <c r="AC384" s="250"/>
      <c r="AD384" s="213"/>
      <c r="AE384" s="60"/>
      <c r="AF384" s="60"/>
      <c r="AG384" s="1328" t="s">
        <v>915</v>
      </c>
      <c r="AH384" s="1328"/>
      <c r="AI384" s="1328"/>
      <c r="AJ384" s="59"/>
      <c r="AK384" s="598" t="s">
        <v>936</v>
      </c>
      <c r="AL384" s="598" t="s">
        <v>907</v>
      </c>
      <c r="AM384" s="1329" t="s">
        <v>897</v>
      </c>
      <c r="AN384" s="1329"/>
      <c r="AO384" s="1329" t="s">
        <v>898</v>
      </c>
      <c r="AP384" s="1329"/>
      <c r="AQ384" s="1329" t="s">
        <v>899</v>
      </c>
      <c r="AR384" s="1329"/>
      <c r="AS384" s="1329" t="s">
        <v>900</v>
      </c>
      <c r="AT384" s="1329"/>
      <c r="AU384" s="1329" t="s">
        <v>902</v>
      </c>
      <c r="AV384" s="1329"/>
      <c r="AW384" s="1329" t="s">
        <v>903</v>
      </c>
      <c r="AX384" s="1329"/>
      <c r="AY384" s="1329" t="s">
        <v>904</v>
      </c>
      <c r="AZ384" s="1329"/>
      <c r="BA384" s="1329" t="s">
        <v>905</v>
      </c>
      <c r="BB384" s="1329"/>
      <c r="BD384" s="60"/>
      <c r="BE384" s="60"/>
    </row>
    <row r="385" spans="1:59" s="57" customFormat="1" ht="44.25" customHeight="1" x14ac:dyDescent="0.25">
      <c r="A385" s="63">
        <f>IF(D385="","",SUBTOTAL(3,$D$8:D385))</f>
        <v>323</v>
      </c>
      <c r="B385" s="63" t="s">
        <v>5</v>
      </c>
      <c r="C385" s="79" t="s">
        <v>444</v>
      </c>
      <c r="D385" s="266" t="s">
        <v>609</v>
      </c>
      <c r="E385" s="692">
        <f>COUNTIF($L386:$L386,"A1")</f>
        <v>0</v>
      </c>
      <c r="F385" s="692">
        <f>COUNTIF($L386:$L386,"A2")</f>
        <v>0</v>
      </c>
      <c r="G385" s="282" t="str">
        <f t="shared" ref="G385:G386" si="136">IF($H385&lt;&gt;0,"A1",IF($I385&lt;&gt;0,"A2",IF($J385&lt;&gt;0,"A3","A4")))</f>
        <v>A2</v>
      </c>
      <c r="H385" s="737"/>
      <c r="I385" s="737" t="s">
        <v>989</v>
      </c>
      <c r="J385" s="737" t="s">
        <v>954</v>
      </c>
      <c r="K385" s="737"/>
      <c r="L385" s="310" t="s">
        <v>83</v>
      </c>
      <c r="M385" s="1279" t="s">
        <v>1202</v>
      </c>
      <c r="N385" s="291">
        <f>IFERROR(VLOOKUP($D385,'P.TTGD-CTSV'!$C$10:$AE$24,14,0),0)</f>
        <v>0</v>
      </c>
      <c r="O385" s="291">
        <f>IFERROR(VLOOKUP($D385,'P.TTGD-CTSV'!$C$10:$AE$24,28,0),0)</f>
        <v>0</v>
      </c>
      <c r="P385" s="313" t="str">
        <f t="shared" ref="P385" si="137">IF(AND($W385&gt;=2,$X385&gt;=3,H385&lt;&gt;0),"A1",IF(AND($W385&gt;=3,$X385&gt;=1,H385&lt;&gt;0),"A1",IF(AND($W385&gt;=2,$X385&gt;=2,I385&lt;&gt;0),"A2",IF(AND($W385&gt;=3,$X385&gt;=0,I385&lt;&gt;0),"A2",IF(AND(OR($W385&gt;=1,$X385&gt;=2),J385&lt;&gt;0),"A3","A4")))))</f>
        <v>A2</v>
      </c>
      <c r="Q385" s="1196" t="s">
        <v>85</v>
      </c>
      <c r="R385" s="325"/>
      <c r="S385" s="692">
        <f>COUNTIF($L386:$L386,"A1")</f>
        <v>0</v>
      </c>
      <c r="T385" s="692">
        <f>COUNTIF($L386:$L386,"A2")</f>
        <v>0</v>
      </c>
      <c r="U385" s="176" t="str">
        <f>$Q385</f>
        <v>A3</v>
      </c>
      <c r="V385" s="179"/>
      <c r="W385" s="330">
        <f>IFERROR(VLOOKUP($D385,TT.QHDN!$C$10:$S$11,9,0),0)</f>
        <v>2</v>
      </c>
      <c r="X385" s="330">
        <f>IFERROR(VLOOKUP($D385,TT.QHDN!$C$10:$S$11,17,0),0)</f>
        <v>2</v>
      </c>
      <c r="Y385" s="92">
        <v>3</v>
      </c>
      <c r="Z385" s="4"/>
      <c r="AA385" s="4"/>
      <c r="AB385" s="492"/>
      <c r="AC385" s="565"/>
      <c r="AD385" s="839"/>
      <c r="AE385" s="60" t="b">
        <f t="shared" si="106"/>
        <v>0</v>
      </c>
      <c r="AF385" s="60"/>
      <c r="AG385" s="613" t="s">
        <v>845</v>
      </c>
      <c r="AH385" s="613">
        <v>2</v>
      </c>
      <c r="AI385" s="605">
        <f>AH385/$L383</f>
        <v>1</v>
      </c>
      <c r="AJ385" s="590"/>
      <c r="AK385" s="594"/>
      <c r="AL385" s="595">
        <f>AL386+AL387</f>
        <v>2</v>
      </c>
      <c r="AM385" s="596" t="s">
        <v>896</v>
      </c>
      <c r="AN385" s="596" t="s">
        <v>844</v>
      </c>
      <c r="AO385" s="596" t="s">
        <v>896</v>
      </c>
      <c r="AP385" s="596" t="s">
        <v>844</v>
      </c>
      <c r="AQ385" s="596" t="s">
        <v>896</v>
      </c>
      <c r="AR385" s="596" t="s">
        <v>844</v>
      </c>
      <c r="AS385" s="596" t="s">
        <v>896</v>
      </c>
      <c r="AT385" s="596" t="s">
        <v>844</v>
      </c>
      <c r="AU385" s="596" t="s">
        <v>896</v>
      </c>
      <c r="AV385" s="596" t="s">
        <v>844</v>
      </c>
      <c r="AW385" s="596" t="s">
        <v>896</v>
      </c>
      <c r="AX385" s="596" t="s">
        <v>844</v>
      </c>
      <c r="AY385" s="596" t="s">
        <v>896</v>
      </c>
      <c r="AZ385" s="596" t="s">
        <v>844</v>
      </c>
      <c r="BA385" s="596" t="s">
        <v>896</v>
      </c>
      <c r="BB385" s="596" t="s">
        <v>844</v>
      </c>
      <c r="BD385" s="60" t="s">
        <v>890</v>
      </c>
      <c r="BE385" s="60" t="s">
        <v>866</v>
      </c>
    </row>
    <row r="386" spans="1:59" s="57" customFormat="1" ht="90" customHeight="1" x14ac:dyDescent="0.25">
      <c r="A386" s="63">
        <f>IF(D386="","",SUBTOTAL(3,$D$8:D386))</f>
        <v>324</v>
      </c>
      <c r="B386" s="63" t="s">
        <v>6</v>
      </c>
      <c r="C386" s="79" t="s">
        <v>445</v>
      </c>
      <c r="D386" s="266" t="s">
        <v>765</v>
      </c>
      <c r="E386" s="693">
        <f>E385/$AL$387</f>
        <v>0</v>
      </c>
      <c r="F386" s="693">
        <f>F385/$AL$387</f>
        <v>0</v>
      </c>
      <c r="G386" s="282" t="str">
        <f t="shared" si="136"/>
        <v>A3</v>
      </c>
      <c r="H386" s="737"/>
      <c r="I386" s="737"/>
      <c r="J386" s="737" t="s">
        <v>954</v>
      </c>
      <c r="K386" s="737"/>
      <c r="L386" s="310" t="s">
        <v>141</v>
      </c>
      <c r="M386" s="288" t="s">
        <v>1173</v>
      </c>
      <c r="N386" s="310">
        <f>IFERROR(VLOOKUP($D386,TT.QHDN!$C$10:$S$11,8,0),0)</f>
        <v>0</v>
      </c>
      <c r="O386" s="310">
        <f>IFERROR(VLOOKUP($D386,TT.QHDN!$C$10:$S$11,16,0),0)</f>
        <v>1</v>
      </c>
      <c r="P386" s="313" t="s">
        <v>141</v>
      </c>
      <c r="Q386" s="1196" t="str">
        <f>P386</f>
        <v>B1</v>
      </c>
      <c r="R386" s="319"/>
      <c r="S386" s="693">
        <f>S385/$AL$387</f>
        <v>0</v>
      </c>
      <c r="T386" s="693">
        <f>T385/$AL$387</f>
        <v>0</v>
      </c>
      <c r="U386" s="176" t="str">
        <f>$Q386</f>
        <v>B1</v>
      </c>
      <c r="V386" s="179">
        <f t="shared" ref="V386" si="138">R386</f>
        <v>0</v>
      </c>
      <c r="W386" s="330">
        <f>IFERROR(VLOOKUP($D386,TT.QHDN!$C$10:$S$11,9,0),0)</f>
        <v>0</v>
      </c>
      <c r="X386" s="330">
        <f>IFERROR(VLOOKUP($D386,TT.QHDN!$C$10:$S$11,17,0),0)</f>
        <v>1</v>
      </c>
      <c r="Y386" s="92">
        <v>0</v>
      </c>
      <c r="Z386" s="4"/>
      <c r="AA386" s="4"/>
      <c r="AB386" s="228"/>
      <c r="AC386" s="565"/>
      <c r="AD386" s="1065"/>
      <c r="AE386" s="60" t="str">
        <f t="shared" si="106"/>
        <v>B1</v>
      </c>
      <c r="AF386" s="60"/>
      <c r="AG386" s="613" t="s">
        <v>846</v>
      </c>
      <c r="AH386" s="613"/>
      <c r="AI386" s="605">
        <f>AH386/$L383</f>
        <v>0</v>
      </c>
      <c r="AJ386" s="590"/>
      <c r="AK386" s="597" t="s">
        <v>864</v>
      </c>
      <c r="AL386" s="595">
        <f>COUNTIF($BE385:$BE386,"CBQL")</f>
        <v>1</v>
      </c>
      <c r="AM386" s="595">
        <f>COUNTIF($U385:$U385,"A1")</f>
        <v>0</v>
      </c>
      <c r="AN386" s="611">
        <f>AM386/$AL$386</f>
        <v>0</v>
      </c>
      <c r="AO386" s="595">
        <f>COUNTIF($U385:$U385,"A2")</f>
        <v>0</v>
      </c>
      <c r="AP386" s="611">
        <f>AO386/$AL$386</f>
        <v>0</v>
      </c>
      <c r="AQ386" s="595">
        <f>COUNTIF($U385:$U385,"A3")</f>
        <v>1</v>
      </c>
      <c r="AR386" s="611">
        <f>AQ386/$AL$386</f>
        <v>1</v>
      </c>
      <c r="AS386" s="595">
        <f>COUNTIF($U385:$U385,"A4")</f>
        <v>0</v>
      </c>
      <c r="AT386" s="611">
        <f>AS386/$AL$385</f>
        <v>0</v>
      </c>
      <c r="AU386" s="595"/>
      <c r="AV386" s="611"/>
      <c r="AW386" s="595"/>
      <c r="AX386" s="611"/>
      <c r="AY386" s="595"/>
      <c r="AZ386" s="611"/>
      <c r="BA386" s="595"/>
      <c r="BB386" s="611"/>
      <c r="BD386" s="60" t="s">
        <v>890</v>
      </c>
      <c r="BE386" s="60" t="s">
        <v>867</v>
      </c>
    </row>
    <row r="387" spans="1:59" ht="55.5" customHeight="1" x14ac:dyDescent="0.25">
      <c r="A387" s="62" t="s">
        <v>1096</v>
      </c>
      <c r="B387" s="62" t="s">
        <v>742</v>
      </c>
      <c r="C387" s="64" t="s">
        <v>1065</v>
      </c>
      <c r="D387" s="62"/>
      <c r="E387" s="652"/>
      <c r="F387" s="652"/>
      <c r="G387" s="280">
        <f>$L$388+$L$393</f>
        <v>7</v>
      </c>
      <c r="H387" s="234"/>
      <c r="I387" s="234"/>
      <c r="J387" s="234"/>
      <c r="K387" s="234"/>
      <c r="L387" s="500">
        <f>$L$388+$L$393</f>
        <v>7</v>
      </c>
      <c r="M387" s="286" t="str">
        <f>(COUNTIF($L$389:$L$396,"A1")&amp;"A1")&amp;" + "&amp;(COUNTIF($L$389:$L$396,"A2")&amp;"A2")&amp;" + "&amp;(COUNTIF($L$389:$L$396,"A3")&amp;"A3")&amp;" + "&amp;(COUNTIF($L$389:$L$396,"A4")&amp;"A4")</f>
        <v>0A1 + 3A2 + 0A3 + 4A4</v>
      </c>
      <c r="N387" s="500"/>
      <c r="O387" s="500"/>
      <c r="P387" s="311">
        <f>$Q$388+$Q$393</f>
        <v>7</v>
      </c>
      <c r="Q387" s="340">
        <f>$Q$388+$Q$393</f>
        <v>7</v>
      </c>
      <c r="R387" s="312" t="str">
        <f>(COUNTIF($Q$389:$Q$396,"A1")&amp;"A1")&amp;" + "&amp;(COUNTIF($Q$389:$Q$396,"A2")&amp;"A2")&amp;" + "&amp;(COUNTIF($Q$389:$Q$396,"A3")&amp;"A3")&amp;" + "&amp;(COUNTIF($Q$389:$Q$396,"A4")&amp;"A4")</f>
        <v>2A1 + 1A2 + 2A3 + 2A4</v>
      </c>
      <c r="S387" s="661"/>
      <c r="T387" s="661"/>
      <c r="U387" s="174">
        <f>$U$388+$U$393</f>
        <v>7</v>
      </c>
      <c r="V387" s="175" t="str">
        <f>(COUNTIF($U$389:$U$396,"A1")&amp;"A1")&amp;" + "&amp;(COUNTIF($U$389:$U$396,"A2")&amp;"A2")&amp;" + "&amp;(COUNTIF($U$389:$U$396,"A3")&amp;"A3")&amp;" + "&amp;(COUNTIF($U$389:$U$396,"A4")&amp;"A4")</f>
        <v>2A1 + 2A2 + 1A3 + 2A4</v>
      </c>
      <c r="W387" s="501"/>
      <c r="X387" s="501"/>
      <c r="Y387" s="556"/>
      <c r="Z387" s="95"/>
      <c r="AA387" s="95"/>
      <c r="AB387" s="242"/>
      <c r="AC387" s="338"/>
      <c r="AD387" s="213"/>
      <c r="AE387" s="60"/>
      <c r="AF387" s="60"/>
      <c r="AG387" s="613"/>
      <c r="AH387" s="614">
        <f>AH385+AH386</f>
        <v>2</v>
      </c>
      <c r="AI387" s="615">
        <f>AI385+AI386</f>
        <v>1</v>
      </c>
      <c r="AJ387" s="590"/>
      <c r="AK387" s="616" t="s">
        <v>865</v>
      </c>
      <c r="AL387" s="595">
        <f>COUNTIF($BE385:$BE386,"GV") + COUNTIF($BE385:$BE386,"NV")</f>
        <v>1</v>
      </c>
      <c r="AM387" s="595">
        <f>COUNTIF($U386:$U386,"A1")</f>
        <v>0</v>
      </c>
      <c r="AN387" s="611">
        <f>AM387/$AL$387</f>
        <v>0</v>
      </c>
      <c r="AO387" s="595">
        <f>COUNTIF($U386:$U386,"A2")</f>
        <v>0</v>
      </c>
      <c r="AP387" s="611">
        <f>AO387/$AL$387</f>
        <v>0</v>
      </c>
      <c r="AQ387" s="595">
        <f>COUNTIF($U386:$U386,"A3")</f>
        <v>0</v>
      </c>
      <c r="AR387" s="611">
        <f>AQ387/$AL$387</f>
        <v>0</v>
      </c>
      <c r="AS387" s="595">
        <f>COUNTIF($U386:$U386,"A4")</f>
        <v>0</v>
      </c>
      <c r="AT387" s="611">
        <f>AS387/$AL$385</f>
        <v>0</v>
      </c>
      <c r="AU387" s="595"/>
      <c r="AV387" s="611"/>
      <c r="AW387" s="595"/>
      <c r="AX387" s="611"/>
      <c r="AY387" s="595"/>
      <c r="AZ387" s="611"/>
      <c r="BA387" s="595"/>
      <c r="BB387" s="611"/>
      <c r="BF387" s="60">
        <f>COUNTIF($BE389:$BE396,"CBQL")</f>
        <v>2</v>
      </c>
      <c r="BG387" s="60">
        <f>COUNTIF($BE389:$BE396,"GV") + COUNTIF($BE389:$BE396,"NV")</f>
        <v>5</v>
      </c>
    </row>
    <row r="388" spans="1:59" s="57" customFormat="1" ht="37.5" customHeight="1" x14ac:dyDescent="0.25">
      <c r="A388" s="65" t="s">
        <v>45</v>
      </c>
      <c r="B388" s="65" t="s">
        <v>45</v>
      </c>
      <c r="C388" s="66" t="s">
        <v>46</v>
      </c>
      <c r="D388" s="65"/>
      <c r="E388" s="652"/>
      <c r="F388" s="652"/>
      <c r="G388" s="280">
        <f>COUNTA($L389:$L392)</f>
        <v>4</v>
      </c>
      <c r="H388" s="234"/>
      <c r="I388" s="234"/>
      <c r="J388" s="234"/>
      <c r="K388" s="234"/>
      <c r="L388" s="500">
        <f>COUNTA($L389:$L392)</f>
        <v>4</v>
      </c>
      <c r="M388" s="286" t="str">
        <f>(COUNTIF($L$389:$L$392,"A1")&amp;"A1")&amp;" + "&amp;(COUNTIF($L$389:$L$392,"A2")&amp;"A2")&amp;" + "&amp;(COUNTIF($L$389:$L$392,"A3")&amp;"A3")&amp;" + "&amp;(COUNTIF($L$389:$L$392,"A4")&amp;"A4")</f>
        <v>0A1 + 3A2 + 0A3 + 1A4</v>
      </c>
      <c r="N388" s="500"/>
      <c r="O388" s="500"/>
      <c r="P388" s="311">
        <f>COUNTA($Q$389:$Q$392)</f>
        <v>4</v>
      </c>
      <c r="Q388" s="340">
        <f>COUNTA($Q$389:$Q$392)</f>
        <v>4</v>
      </c>
      <c r="R388" s="312" t="str">
        <f>(COUNTIF($Q$389:$Q$392,"A1")&amp;"A1")&amp;" + "&amp;(COUNTIF($Q$389:$Q$392,"A2")&amp;"A2")&amp;" + "&amp;(COUNTIF($Q$389:$Q$392,"A3")&amp;"A3")&amp;" + "&amp;(COUNTIF($Q$389:$Q$392,"A4")&amp;"A4")</f>
        <v>2A1 + 1A2 + 1A3 + 0A4</v>
      </c>
      <c r="S388" s="661"/>
      <c r="T388" s="661"/>
      <c r="U388" s="174">
        <f>COUNTA($U$389:$U$392)</f>
        <v>4</v>
      </c>
      <c r="V388" s="175" t="str">
        <f>(COUNTIF($U$389:$U$392,"A1")&amp;"A1")&amp;" + "&amp;(COUNTIF($U$389:$U$392,"A2")&amp;"A2")&amp;" + "&amp;(COUNTIF($U$389:$U$392,"A3")&amp;"A3")&amp;" + "&amp;(COUNTIF($U$389:$U$392,"A4")&amp;"A4")</f>
        <v>2A1 + 2A2 + 0A3 + 0A4</v>
      </c>
      <c r="W388" s="501"/>
      <c r="X388" s="501"/>
      <c r="Y388" s="556"/>
      <c r="Z388" s="95"/>
      <c r="AA388" s="95"/>
      <c r="AB388" s="242"/>
      <c r="AC388" s="250"/>
      <c r="AD388" s="213"/>
      <c r="AE388" s="60"/>
      <c r="AF388" s="60"/>
      <c r="AG388" s="601"/>
      <c r="AH388" s="608"/>
      <c r="AI388" s="608"/>
      <c r="AJ388" s="158"/>
      <c r="AK388" s="158"/>
      <c r="AL388" s="59"/>
      <c r="AM388" s="59"/>
      <c r="AN388" s="59"/>
      <c r="AO388" s="59"/>
      <c r="AP388" s="59"/>
      <c r="AQ388" s="59"/>
      <c r="AR388" s="59"/>
      <c r="AS388" s="59"/>
      <c r="AT388" s="59"/>
      <c r="AU388" s="59"/>
      <c r="AV388" s="59"/>
      <c r="AW388" s="59"/>
      <c r="AX388" s="59"/>
      <c r="AY388" s="59"/>
      <c r="AZ388" s="59"/>
      <c r="BA388" s="59"/>
      <c r="BB388" s="59"/>
      <c r="BD388" s="60"/>
      <c r="BE388" s="60"/>
    </row>
    <row r="389" spans="1:59" s="57" customFormat="1" ht="45" customHeight="1" x14ac:dyDescent="0.25">
      <c r="A389" s="63">
        <f>IF(D389="","",SUBTOTAL(3,$D$8:D389))</f>
        <v>325</v>
      </c>
      <c r="B389" s="63" t="s">
        <v>5</v>
      </c>
      <c r="C389" s="10" t="s">
        <v>446</v>
      </c>
      <c r="D389" s="185" t="s">
        <v>611</v>
      </c>
      <c r="E389" s="691" t="s">
        <v>949</v>
      </c>
      <c r="F389" s="691" t="s">
        <v>950</v>
      </c>
      <c r="G389" s="282" t="str">
        <f t="shared" ref="G389:G391" si="139">IF($H389&lt;&gt;0,"A1",IF($I389&lt;&gt;0,"A2",IF($J389&lt;&gt;0,"A3","A4")))</f>
        <v>A2</v>
      </c>
      <c r="H389" s="234"/>
      <c r="I389" s="737" t="s">
        <v>965</v>
      </c>
      <c r="J389" s="737" t="s">
        <v>954</v>
      </c>
      <c r="K389" s="234"/>
      <c r="L389" s="289" t="s">
        <v>83</v>
      </c>
      <c r="M389" s="1279" t="s">
        <v>1150</v>
      </c>
      <c r="N389" s="291">
        <f>IFERROR(VLOOKUP($D389,'P.TTGD-CTSV'!$C$10:$AE$24,14,0),0)</f>
        <v>0</v>
      </c>
      <c r="O389" s="291">
        <f>IFERROR(VLOOKUP($D389,'P.TTGD-CTSV'!$C$10:$AE$24,28,0),0)</f>
        <v>0</v>
      </c>
      <c r="P389" s="313" t="str">
        <f t="shared" ref="P389" si="140">IF(AND($W389&gt;=2,$X389&gt;=3,H389&lt;&gt;0),"A1",IF(AND($W389&gt;=3,$X389&gt;=1,H389&lt;&gt;0),"A1",IF(AND($W389&gt;=2,$X389&gt;=2,I389&lt;&gt;0),"A2",IF(AND($W389&gt;=3,$X389&gt;=0,I389&lt;&gt;0),"A2",IF(AND(OR($W389&gt;=1,$X389&gt;=2),J389&lt;&gt;0),"A3","A4")))))</f>
        <v>A2</v>
      </c>
      <c r="Q389" s="1196" t="s">
        <v>85</v>
      </c>
      <c r="R389" s="317"/>
      <c r="S389" s="691" t="s">
        <v>949</v>
      </c>
      <c r="T389" s="691" t="s">
        <v>950</v>
      </c>
      <c r="U389" s="1289" t="s">
        <v>84</v>
      </c>
      <c r="V389" s="179">
        <f t="shared" ref="V389:V391" si="141">R389</f>
        <v>0</v>
      </c>
      <c r="W389" s="330">
        <f>IFERROR(VLOOKUP($D389,'TT DHDL'!$C$10:$AC$17,15,0),0)</f>
        <v>5</v>
      </c>
      <c r="X389" s="330">
        <f>IFERROR(VLOOKUP($D389,'TT DHDL'!$C$10:$AC$17,27,0),0)</f>
        <v>2</v>
      </c>
      <c r="Y389" s="1262">
        <v>5</v>
      </c>
      <c r="Z389" s="857"/>
      <c r="AA389" s="857"/>
      <c r="AB389" s="777"/>
      <c r="AC389" s="839"/>
      <c r="AD389" s="213"/>
      <c r="AE389" s="60" t="b">
        <f t="shared" si="106"/>
        <v>0</v>
      </c>
      <c r="AF389" s="60"/>
      <c r="AG389" s="607"/>
      <c r="AH389" s="608"/>
      <c r="AI389" s="608"/>
      <c r="AJ389" s="59"/>
      <c r="AK389" s="1327" t="s">
        <v>906</v>
      </c>
      <c r="AL389" s="1327"/>
      <c r="AM389" s="1327"/>
      <c r="AN389" s="1327"/>
      <c r="AO389" s="1327"/>
      <c r="AP389" s="1327"/>
      <c r="AQ389" s="1327"/>
      <c r="AR389" s="1327"/>
      <c r="AS389" s="1327"/>
      <c r="AT389" s="1327"/>
      <c r="AU389" s="1327"/>
      <c r="AV389" s="1327"/>
      <c r="AW389" s="1327"/>
      <c r="AX389" s="1327"/>
      <c r="AY389" s="1327"/>
      <c r="AZ389" s="1327"/>
      <c r="BA389" s="1327"/>
      <c r="BB389" s="1327"/>
      <c r="BD389" s="60" t="s">
        <v>891</v>
      </c>
      <c r="BE389" s="60" t="s">
        <v>866</v>
      </c>
    </row>
    <row r="390" spans="1:59" s="57" customFormat="1" ht="75" customHeight="1" x14ac:dyDescent="0.25">
      <c r="A390" s="63">
        <f>IF(D390="","",SUBTOTAL(3,$D$8:D392))</f>
        <v>328</v>
      </c>
      <c r="B390" s="74" t="s">
        <v>6</v>
      </c>
      <c r="C390" s="71" t="s">
        <v>259</v>
      </c>
      <c r="D390" s="82" t="s">
        <v>632</v>
      </c>
      <c r="E390" s="692">
        <f>COUNTIF($L391:$L396,"A1")</f>
        <v>0</v>
      </c>
      <c r="F390" s="692">
        <f>COUNTIF($L391:$L396,"A2")</f>
        <v>2</v>
      </c>
      <c r="G390" s="282" t="str">
        <f>IF($H390&lt;&gt;0,"A1",IF($I390&lt;&gt;0,"A2",IF($J390&lt;&gt;0,"A3","A4")))</f>
        <v>A2</v>
      </c>
      <c r="H390" s="234"/>
      <c r="I390" s="737" t="s">
        <v>1049</v>
      </c>
      <c r="J390" s="737" t="s">
        <v>954</v>
      </c>
      <c r="K390" s="737"/>
      <c r="L390" s="298" t="s">
        <v>84</v>
      </c>
      <c r="M390" s="1143" t="s">
        <v>1204</v>
      </c>
      <c r="N390" s="310">
        <f>IFERROR(VLOOKUP($D390,'TT DHDL'!$C$10:$AC$17,14,0),0)</f>
        <v>4</v>
      </c>
      <c r="O390" s="310">
        <f>IFERROR(VLOOKUP($D390,'TT DHDL'!$C$10:$AC$17,26,0),0)</f>
        <v>2</v>
      </c>
      <c r="P390" s="1186" t="s">
        <v>82</v>
      </c>
      <c r="Q390" s="341" t="str">
        <f t="shared" ref="Q390:Q396" si="142">P390</f>
        <v>A1</v>
      </c>
      <c r="R390" s="322"/>
      <c r="S390" s="692">
        <f>COUNTIF($U391:$U396,"A1")</f>
        <v>1</v>
      </c>
      <c r="T390" s="692">
        <f>COUNTIF($U391:$U396,"A2")</f>
        <v>1</v>
      </c>
      <c r="U390" s="176" t="str">
        <f>$Q390</f>
        <v>A1</v>
      </c>
      <c r="V390" s="179"/>
      <c r="W390" s="330">
        <f>IFERROR(VLOOKUP($D390,'TT DHDL'!$C$10:$AC$17,15,0),0)</f>
        <v>4</v>
      </c>
      <c r="X390" s="330">
        <f>IFERROR(VLOOKUP($D390,'TT DHDL'!$C$10:$AC$17,27,0),0)</f>
        <v>2</v>
      </c>
      <c r="Y390" s="1262">
        <v>1</v>
      </c>
      <c r="Z390" s="1116"/>
      <c r="AA390" s="83"/>
      <c r="AB390" s="228" t="s">
        <v>82</v>
      </c>
      <c r="AC390" s="839" t="s">
        <v>1174</v>
      </c>
      <c r="AD390" s="213"/>
      <c r="AE390" s="60" t="b">
        <f>IF($L390=$P390,$L390,FALSE)</f>
        <v>0</v>
      </c>
      <c r="AF390" s="60">
        <v>23</v>
      </c>
      <c r="AG390" s="60"/>
      <c r="AH390" s="542"/>
      <c r="AI390" s="542"/>
      <c r="AK390" s="589"/>
      <c r="AL390" s="589"/>
      <c r="AM390" s="589"/>
      <c r="AN390" s="589"/>
      <c r="AO390" s="589"/>
      <c r="AP390" s="589"/>
      <c r="AQ390" s="589"/>
      <c r="AR390" s="589"/>
      <c r="AS390" s="589"/>
      <c r="AT390" s="589"/>
      <c r="AU390" s="589"/>
      <c r="AV390" s="589"/>
      <c r="AW390" s="589"/>
      <c r="AX390" s="589"/>
      <c r="AY390" s="589"/>
      <c r="AZ390" s="589"/>
      <c r="BA390" s="589"/>
      <c r="BB390" s="589"/>
      <c r="BD390" s="60" t="s">
        <v>891</v>
      </c>
      <c r="BE390" s="60" t="s">
        <v>866</v>
      </c>
    </row>
    <row r="391" spans="1:59" s="57" customFormat="1" ht="33.75" customHeight="1" x14ac:dyDescent="0.25">
      <c r="A391" s="63">
        <f>IF(D391="","",SUBTOTAL(3,$D$8:D391))</f>
        <v>327</v>
      </c>
      <c r="B391" s="63" t="s">
        <v>10</v>
      </c>
      <c r="C391" s="10" t="s">
        <v>448</v>
      </c>
      <c r="D391" s="185" t="s">
        <v>612</v>
      </c>
      <c r="E391" s="693">
        <f>E390/$AL$394</f>
        <v>0</v>
      </c>
      <c r="F391" s="693">
        <f>F390/$AL$394</f>
        <v>0.4</v>
      </c>
      <c r="G391" s="282" t="str">
        <f t="shared" si="139"/>
        <v>A2</v>
      </c>
      <c r="H391" s="234"/>
      <c r="I391" s="737" t="s">
        <v>966</v>
      </c>
      <c r="J391" s="737" t="s">
        <v>954</v>
      </c>
      <c r="K391" s="234"/>
      <c r="L391" s="289" t="s">
        <v>84</v>
      </c>
      <c r="M391" s="1142"/>
      <c r="N391" s="310">
        <f>IFERROR(VLOOKUP($D391,'TT DHDL'!$C$10:$AC$17,14,0),0)</f>
        <v>3</v>
      </c>
      <c r="O391" s="310">
        <f>IFERROR(VLOOKUP($D391,'TT DHDL'!$C$10:$AC$17,26,0),0)</f>
        <v>1</v>
      </c>
      <c r="P391" s="313" t="str">
        <f t="shared" ref="P391:P392" si="143">IF(AND($W391&gt;=2,$X391&gt;=3,$Y391&gt;=1,H391&lt;&gt;0),"A1",IF(AND($W391&gt;=3,$X391&gt;=1,$Y391&gt;=1,H391&lt;&gt;0),"A1",IF(AND($W391&gt;=2,$X391&gt;=2,$Y391&gt;=1,I391&lt;&gt;0),"A2",IF(AND($W391&gt;=3,$X391&gt;=0,$Y391&gt;=1,I391&lt;&gt;0),"A2",IF(AND(OR($W391&gt;=1,$X391&gt;=2),J391&lt;&gt;0,$Y391&gt;=0),"A3","A4")))))</f>
        <v>A2</v>
      </c>
      <c r="Q391" s="341" t="str">
        <f t="shared" si="142"/>
        <v>A2</v>
      </c>
      <c r="R391" s="315"/>
      <c r="S391" s="693">
        <f>S390/$AL$394</f>
        <v>0.2</v>
      </c>
      <c r="T391" s="693">
        <f>T390/$AL$394</f>
        <v>0.2</v>
      </c>
      <c r="U391" s="176" t="str">
        <f>$Q391</f>
        <v>A2</v>
      </c>
      <c r="V391" s="179">
        <f t="shared" si="141"/>
        <v>0</v>
      </c>
      <c r="W391" s="330">
        <f>IFERROR(VLOOKUP($D391,'TT DHDL'!$C$10:$AC$17,15,0),0)</f>
        <v>3</v>
      </c>
      <c r="X391" s="330">
        <f>IFERROR(VLOOKUP($D391,'TT DHDL'!$C$10:$AC$17,27,0),0)</f>
        <v>1</v>
      </c>
      <c r="Y391" s="1262">
        <v>1</v>
      </c>
      <c r="Z391" s="842"/>
      <c r="AA391" s="842"/>
      <c r="AB391" s="777"/>
      <c r="AC391" s="839"/>
      <c r="AD391" s="213"/>
      <c r="AE391" s="60" t="str">
        <f t="shared" si="106"/>
        <v>A2</v>
      </c>
      <c r="AF391" s="60"/>
      <c r="AG391" s="1328" t="s">
        <v>915</v>
      </c>
      <c r="AH391" s="1328"/>
      <c r="AI391" s="1328"/>
      <c r="AJ391" s="59"/>
      <c r="AK391" s="598" t="s">
        <v>937</v>
      </c>
      <c r="AL391" s="598" t="s">
        <v>907</v>
      </c>
      <c r="AM391" s="1329" t="s">
        <v>897</v>
      </c>
      <c r="AN391" s="1329"/>
      <c r="AO391" s="1329" t="s">
        <v>898</v>
      </c>
      <c r="AP391" s="1329"/>
      <c r="AQ391" s="1329" t="s">
        <v>899</v>
      </c>
      <c r="AR391" s="1329"/>
      <c r="AS391" s="1329" t="s">
        <v>900</v>
      </c>
      <c r="AT391" s="1329"/>
      <c r="AU391" s="1329" t="s">
        <v>902</v>
      </c>
      <c r="AV391" s="1329"/>
      <c r="AW391" s="1329" t="s">
        <v>903</v>
      </c>
      <c r="AX391" s="1329"/>
      <c r="AY391" s="1329" t="s">
        <v>904</v>
      </c>
      <c r="AZ391" s="1329"/>
      <c r="BA391" s="1329" t="s">
        <v>905</v>
      </c>
      <c r="BB391" s="1329"/>
      <c r="BD391" s="60" t="s">
        <v>891</v>
      </c>
      <c r="BE391" s="60" t="s">
        <v>867</v>
      </c>
    </row>
    <row r="392" spans="1:59" s="57" customFormat="1" ht="61.5" customHeight="1" x14ac:dyDescent="0.25">
      <c r="A392" s="63">
        <f>IF(D392="","",SUBTOTAL(3,$D$8:D392))</f>
        <v>328</v>
      </c>
      <c r="B392" s="63" t="s">
        <v>6</v>
      </c>
      <c r="C392" s="10" t="s">
        <v>447</v>
      </c>
      <c r="D392" s="185" t="s">
        <v>613</v>
      </c>
      <c r="E392" s="652"/>
      <c r="F392" s="652"/>
      <c r="G392" s="282" t="str">
        <f>IF($H392&lt;&gt;0,"A1",IF($I392&lt;&gt;0,"A2",IF($J392&lt;&gt;0,"A3","A4")))</f>
        <v>A2</v>
      </c>
      <c r="H392" s="234"/>
      <c r="I392" s="737" t="s">
        <v>966</v>
      </c>
      <c r="J392" s="737" t="s">
        <v>954</v>
      </c>
      <c r="K392" s="234"/>
      <c r="L392" s="289" t="s">
        <v>84</v>
      </c>
      <c r="M392" s="1142"/>
      <c r="N392" s="310">
        <f>IFERROR(VLOOKUP($D392,'TT DHDL'!$C$10:$AC$17,14,0),0)</f>
        <v>3</v>
      </c>
      <c r="O392" s="310">
        <f>IFERROR(VLOOKUP($D392,'TT DHDL'!$C$10:$AC$17,26,0),0)</f>
        <v>3</v>
      </c>
      <c r="P392" s="313" t="str">
        <f t="shared" si="143"/>
        <v>A2</v>
      </c>
      <c r="Q392" s="1196" t="s">
        <v>82</v>
      </c>
      <c r="R392" s="325"/>
      <c r="S392" s="661"/>
      <c r="T392" s="661"/>
      <c r="U392" s="176" t="str">
        <f>$Q392</f>
        <v>A1</v>
      </c>
      <c r="V392" s="179"/>
      <c r="W392" s="330">
        <f>IFERROR(VLOOKUP($D392,'TT DHDL'!$C$10:$AC$17,15,0),0)</f>
        <v>3</v>
      </c>
      <c r="X392" s="330">
        <f>IFERROR(VLOOKUP($D392,'TT DHDL'!$C$10:$AC$17,27,0),0)</f>
        <v>3</v>
      </c>
      <c r="Y392" s="1262">
        <v>2</v>
      </c>
      <c r="Z392" s="842"/>
      <c r="AA392" s="842"/>
      <c r="AB392" s="777" t="s">
        <v>82</v>
      </c>
      <c r="AC392" s="839" t="s">
        <v>1112</v>
      </c>
      <c r="AD392" s="213"/>
      <c r="AE392" s="60" t="str">
        <f>IF($L392=$P392,$L392,FALSE)</f>
        <v>A2</v>
      </c>
      <c r="AF392" s="60"/>
      <c r="AG392" s="646" t="s">
        <v>845</v>
      </c>
      <c r="AH392" s="604">
        <v>3</v>
      </c>
      <c r="AI392" s="605">
        <f>AH392/$L387</f>
        <v>0.42857142857142855</v>
      </c>
      <c r="AJ392" s="590"/>
      <c r="AK392" s="594"/>
      <c r="AL392" s="595">
        <f>AL393+AL394</f>
        <v>7</v>
      </c>
      <c r="AM392" s="596" t="s">
        <v>896</v>
      </c>
      <c r="AN392" s="596" t="s">
        <v>844</v>
      </c>
      <c r="AO392" s="596" t="s">
        <v>896</v>
      </c>
      <c r="AP392" s="596" t="s">
        <v>844</v>
      </c>
      <c r="AQ392" s="596" t="s">
        <v>896</v>
      </c>
      <c r="AR392" s="596" t="s">
        <v>844</v>
      </c>
      <c r="AS392" s="596" t="s">
        <v>896</v>
      </c>
      <c r="AT392" s="596" t="s">
        <v>844</v>
      </c>
      <c r="AU392" s="596" t="s">
        <v>896</v>
      </c>
      <c r="AV392" s="596" t="s">
        <v>844</v>
      </c>
      <c r="AW392" s="596" t="s">
        <v>896</v>
      </c>
      <c r="AX392" s="596" t="s">
        <v>844</v>
      </c>
      <c r="AY392" s="596" t="s">
        <v>896</v>
      </c>
      <c r="AZ392" s="596" t="s">
        <v>844</v>
      </c>
      <c r="BA392" s="596" t="s">
        <v>896</v>
      </c>
      <c r="BB392" s="596" t="s">
        <v>844</v>
      </c>
      <c r="BD392" s="60" t="s">
        <v>891</v>
      </c>
      <c r="BE392" s="60" t="s">
        <v>867</v>
      </c>
    </row>
    <row r="393" spans="1:59" s="57" customFormat="1" ht="34.5" customHeight="1" x14ac:dyDescent="0.25">
      <c r="A393" s="65" t="s">
        <v>51</v>
      </c>
      <c r="B393" s="65" t="s">
        <v>51</v>
      </c>
      <c r="C393" s="66" t="s">
        <v>48</v>
      </c>
      <c r="D393" s="65"/>
      <c r="E393" s="652"/>
      <c r="F393" s="652"/>
      <c r="G393" s="280">
        <f>COUNTA($L394:$L396)</f>
        <v>3</v>
      </c>
      <c r="H393" s="234"/>
      <c r="I393" s="737"/>
      <c r="J393" s="737"/>
      <c r="K393" s="234"/>
      <c r="L393" s="500">
        <f>COUNTA($L394:$L396)</f>
        <v>3</v>
      </c>
      <c r="M393" s="286" t="str">
        <f>(COUNTIF($L$394:$L$396,"A2")&amp;"A2")&amp;" + "&amp;(COUNTIF($L$394:$L$396,"A3")&amp;"A3")&amp;" + "&amp;(COUNTIF($L$394:$L$396,"A4")&amp;"A4")</f>
        <v>0A2 + 0A3 + 3A4</v>
      </c>
      <c r="N393" s="297"/>
      <c r="O393" s="297"/>
      <c r="P393" s="311">
        <f>COUNTA($Q$394:$Q$396)</f>
        <v>3</v>
      </c>
      <c r="Q393" s="340">
        <f>COUNTA($Q$394:$Q$396)</f>
        <v>3</v>
      </c>
      <c r="R393" s="312" t="str">
        <f>(COUNTIF($Q$394:$Q$396,"A1")&amp;"A1")&amp;" + "&amp;(COUNTIF($Q$394:$Q$396,"A2")&amp;"A2")&amp;" + "&amp;(COUNTIF($Q$394:$Q$396,"A3")&amp;"A3")&amp;" + "&amp;(COUNTIF($Q$394:$Q$396,"A4")&amp;"A4")</f>
        <v>0A1 + 0A2 + 1A3 + 2A4</v>
      </c>
      <c r="S393" s="661"/>
      <c r="T393" s="661"/>
      <c r="U393" s="174">
        <f>COUNTA($U$394:$U$396)</f>
        <v>3</v>
      </c>
      <c r="V393" s="175" t="str">
        <f>(COUNTIF($U$394:$U$396,"A1")&amp;"A1")&amp;" + "&amp;(COUNTIF($U$394:$U$396,"A2")&amp;"A2")&amp;" + "&amp;(COUNTIF($U$394:$U$396,"A3")&amp;"A3")&amp;" + "&amp;(COUNTIF($U$394:$U$396,"A4")&amp;"A4")</f>
        <v>0A1 + 0A2 + 1A3 + 2A4</v>
      </c>
      <c r="W393" s="321"/>
      <c r="X393" s="321"/>
      <c r="Y393" s="1027"/>
      <c r="Z393" s="862"/>
      <c r="AA393" s="862"/>
      <c r="AB393" s="242"/>
      <c r="AC393" s="836"/>
      <c r="AD393" s="213"/>
      <c r="AE393" s="60"/>
      <c r="AF393" s="60"/>
      <c r="AG393" s="604" t="s">
        <v>846</v>
      </c>
      <c r="AH393" s="604"/>
      <c r="AI393" s="605">
        <f>AH393/$L387</f>
        <v>0</v>
      </c>
      <c r="AJ393" s="590"/>
      <c r="AK393" s="597" t="s">
        <v>864</v>
      </c>
      <c r="AL393" s="595">
        <f>COUNTIF($BE389:$BE396,"CBQL")</f>
        <v>2</v>
      </c>
      <c r="AM393" s="595">
        <f>COUNTIF($U389:$U390,"A1")</f>
        <v>1</v>
      </c>
      <c r="AN393" s="611">
        <f>AM393/$AL$393</f>
        <v>0.5</v>
      </c>
      <c r="AO393" s="595">
        <f>COUNTIF($U389:$U390,"A2")</f>
        <v>1</v>
      </c>
      <c r="AP393" s="611">
        <f>AO393/$AL$393</f>
        <v>0.5</v>
      </c>
      <c r="AQ393" s="595">
        <f>COUNTIF($U389:$U390,"A3")</f>
        <v>0</v>
      </c>
      <c r="AR393" s="611">
        <f>AQ393/$AL$393</f>
        <v>0</v>
      </c>
      <c r="AS393" s="595">
        <f>COUNTIF($U389:$U390,"A4")</f>
        <v>0</v>
      </c>
      <c r="AT393" s="611">
        <f>AS393/$AL$393</f>
        <v>0</v>
      </c>
      <c r="AU393" s="595"/>
      <c r="AV393" s="611"/>
      <c r="AW393" s="595"/>
      <c r="AX393" s="611"/>
      <c r="AY393" s="595"/>
      <c r="AZ393" s="611"/>
      <c r="BA393" s="595"/>
      <c r="BB393" s="611"/>
      <c r="BD393" s="60" t="s">
        <v>891</v>
      </c>
      <c r="BE393" s="60"/>
    </row>
    <row r="394" spans="1:59" s="78" customFormat="1" ht="36.75" customHeight="1" x14ac:dyDescent="0.25">
      <c r="A394" s="63">
        <f>IF(D394="","",SUBTOTAL(3,$D$8:D394))</f>
        <v>329</v>
      </c>
      <c r="B394" s="63" t="s">
        <v>11</v>
      </c>
      <c r="C394" s="10" t="s">
        <v>449</v>
      </c>
      <c r="D394" s="185" t="s">
        <v>615</v>
      </c>
      <c r="E394" s="652"/>
      <c r="F394" s="652"/>
      <c r="G394" s="282" t="str">
        <f t="shared" ref="G394:G396" si="144">IF($H394&lt;&gt;0,"A1",IF($I394&lt;&gt;0,"A2",IF($J394&lt;&gt;0,"A3","A4")))</f>
        <v>A2</v>
      </c>
      <c r="H394" s="234"/>
      <c r="I394" s="737" t="s">
        <v>966</v>
      </c>
      <c r="J394" s="737" t="s">
        <v>954</v>
      </c>
      <c r="K394" s="234"/>
      <c r="L394" s="291" t="s">
        <v>83</v>
      </c>
      <c r="M394" s="1141" t="s">
        <v>1175</v>
      </c>
      <c r="N394" s="310">
        <f>IFERROR(VLOOKUP($D394,'TT DHDL'!$C$10:$AC$17,14,0),0)</f>
        <v>0</v>
      </c>
      <c r="O394" s="310">
        <f>IFERROR(VLOOKUP($D394,'TT DHDL'!$C$10:$AC$17,26,0),0)</f>
        <v>2</v>
      </c>
      <c r="P394" s="313" t="s">
        <v>83</v>
      </c>
      <c r="Q394" s="341" t="str">
        <f t="shared" si="142"/>
        <v>A4</v>
      </c>
      <c r="R394" s="319"/>
      <c r="S394" s="672"/>
      <c r="T394" s="672"/>
      <c r="U394" s="176" t="str">
        <f>$Q394</f>
        <v>A4</v>
      </c>
      <c r="V394" s="178"/>
      <c r="W394" s="330">
        <f>IFERROR(VLOOKUP($D394,'TT DHDL'!$C$10:$AC$17,15,0),0)</f>
        <v>0</v>
      </c>
      <c r="X394" s="330">
        <f>IFERROR(VLOOKUP($D394,'TT DHDL'!$C$10:$AC$17,27,0),0)</f>
        <v>2</v>
      </c>
      <c r="Y394" s="1025"/>
      <c r="Z394" s="857"/>
      <c r="AA394" s="859"/>
      <c r="AB394" s="843"/>
      <c r="AC394" s="775"/>
      <c r="AD394" s="213"/>
      <c r="AE394" s="60" t="str">
        <f>IF($L394=$P394,$L394,FALSE)</f>
        <v>A4</v>
      </c>
      <c r="AF394" s="60"/>
      <c r="AG394" s="646"/>
      <c r="AH394" s="614">
        <f>AH392+AH393</f>
        <v>3</v>
      </c>
      <c r="AI394" s="615">
        <f>AI392+AI393</f>
        <v>0.42857142857142855</v>
      </c>
      <c r="AJ394" s="590"/>
      <c r="AK394" s="616" t="s">
        <v>865</v>
      </c>
      <c r="AL394" s="595">
        <f>COUNTIF($BE389:$BE396,"GV") + COUNTIF($BE389:$BE396,"NV")</f>
        <v>5</v>
      </c>
      <c r="AM394" s="595">
        <f>COUNTIF($U391:$U396,"A1")</f>
        <v>1</v>
      </c>
      <c r="AN394" s="611">
        <f>AM394/$AL$394</f>
        <v>0.2</v>
      </c>
      <c r="AO394" s="595">
        <f>COUNTIF($U391:$U396,"A2")</f>
        <v>1</v>
      </c>
      <c r="AP394" s="611">
        <f>AO394/$AL$394</f>
        <v>0.2</v>
      </c>
      <c r="AQ394" s="595">
        <f>COUNTIF($U391:$U396,"A3")</f>
        <v>1</v>
      </c>
      <c r="AR394" s="611">
        <f>AQ394/$AL$394</f>
        <v>0.2</v>
      </c>
      <c r="AS394" s="595">
        <f>COUNTIF($U391:$U396,"A4")</f>
        <v>2</v>
      </c>
      <c r="AT394" s="611">
        <f>AS394/$AL$394</f>
        <v>0.4</v>
      </c>
      <c r="AU394" s="595"/>
      <c r="AV394" s="611"/>
      <c r="AW394" s="595"/>
      <c r="AX394" s="611"/>
      <c r="AY394" s="595"/>
      <c r="AZ394" s="611"/>
      <c r="BA394" s="595"/>
      <c r="BB394" s="611"/>
      <c r="BD394" s="60" t="s">
        <v>891</v>
      </c>
      <c r="BE394" s="60" t="s">
        <v>867</v>
      </c>
    </row>
    <row r="395" spans="1:59" s="78" customFormat="1" ht="83.25" customHeight="1" x14ac:dyDescent="0.25">
      <c r="A395" s="63">
        <f>IF(D395="","",SUBTOTAL(3,$D$8:D396))</f>
        <v>331</v>
      </c>
      <c r="B395" s="63"/>
      <c r="C395" s="1176" t="s">
        <v>812</v>
      </c>
      <c r="D395" s="536" t="s">
        <v>813</v>
      </c>
      <c r="E395" s="686"/>
      <c r="F395" s="686"/>
      <c r="G395" s="282" t="str">
        <f>IF($H395&lt;&gt;0,"A1",IF($I395&lt;&gt;0,"A2",IF($J395&lt;&gt;0,"A3","A4")))</f>
        <v>A4</v>
      </c>
      <c r="H395" s="234"/>
      <c r="I395" s="234"/>
      <c r="J395" s="234"/>
      <c r="K395" s="239"/>
      <c r="L395" s="291" t="s">
        <v>83</v>
      </c>
      <c r="M395" s="1142"/>
      <c r="N395" s="310">
        <f>IFERROR(VLOOKUP($D395,'TT DHDL'!$C$10:$AC$17,14,0),0)</f>
        <v>3</v>
      </c>
      <c r="O395" s="310">
        <f>IFERROR(VLOOKUP($D395,'TT DHDL'!$C$10:$AC$17,26,0),0)</f>
        <v>2</v>
      </c>
      <c r="P395" s="313" t="str">
        <f t="shared" ref="P395:P396" si="145">IF(AND($W395&gt;=2,$X395&gt;=3,$Y395&gt;=1,H395&lt;&gt;0),"A1",IF(AND($W395&gt;=3,$X395&gt;=1,$Y395&gt;=1,H395&lt;&gt;0),"A1",IF(AND($W395&gt;=2,$X395&gt;=2,$Y395&gt;=1,I395&lt;&gt;0),"A2",IF(AND($W395&gt;=3,$X395&gt;=0,$Y395&gt;=1,I395&lt;&gt;0),"A2",IF(AND(OR($W395&gt;=1,$X395&gt;=2),J395&lt;&gt;0,$Y395&gt;=0),"A3","A4")))))</f>
        <v>A4</v>
      </c>
      <c r="Q395" s="1196" t="s">
        <v>85</v>
      </c>
      <c r="R395" s="325"/>
      <c r="S395" s="685"/>
      <c r="T395" s="685"/>
      <c r="U395" s="176" t="str">
        <f>$Q395</f>
        <v>A3</v>
      </c>
      <c r="V395" s="179"/>
      <c r="W395" s="330">
        <f>IFERROR(VLOOKUP($D395,'TT DHDL'!$C$10:$AC$17,15,0),0)</f>
        <v>3</v>
      </c>
      <c r="X395" s="330">
        <f>IFERROR(VLOOKUP($D395,'TT DHDL'!$C$10:$AC$17,27,0),0)</f>
        <v>2</v>
      </c>
      <c r="Y395" s="1080"/>
      <c r="Z395" s="842"/>
      <c r="AA395" s="842"/>
      <c r="AB395" s="777" t="s">
        <v>85</v>
      </c>
      <c r="AC395" s="839" t="s">
        <v>1107</v>
      </c>
      <c r="AD395" s="213"/>
      <c r="AE395" s="60" t="str">
        <f>IF($L395=$P395,$L395,FALSE)</f>
        <v>A4</v>
      </c>
      <c r="AF395" s="60"/>
      <c r="AG395" s="60"/>
      <c r="BD395" s="60" t="s">
        <v>891</v>
      </c>
      <c r="BE395" s="60" t="s">
        <v>867</v>
      </c>
    </row>
    <row r="396" spans="1:59" s="78" customFormat="1" ht="33" customHeight="1" x14ac:dyDescent="0.25">
      <c r="A396" s="63">
        <f>IF(D396="","",SUBTOTAL(3,$D$8:D396))</f>
        <v>331</v>
      </c>
      <c r="B396" s="63"/>
      <c r="C396" s="1176" t="s">
        <v>1127</v>
      </c>
      <c r="D396" s="536" t="s">
        <v>1128</v>
      </c>
      <c r="E396" s="686"/>
      <c r="F396" s="686"/>
      <c r="G396" s="282" t="str">
        <f t="shared" si="144"/>
        <v>A4</v>
      </c>
      <c r="H396" s="234"/>
      <c r="I396" s="234"/>
      <c r="J396" s="234"/>
      <c r="K396" s="239"/>
      <c r="L396" s="291" t="s">
        <v>83</v>
      </c>
      <c r="M396" s="1142"/>
      <c r="N396" s="310">
        <f>IFERROR(VLOOKUP($D396,'TT DHDL'!$C$10:$AC$17,14,0),0)</f>
        <v>1</v>
      </c>
      <c r="O396" s="310">
        <f>IFERROR(VLOOKUP($D396,'TT DHDL'!$C$10:$AC$17,26,0),0)</f>
        <v>1</v>
      </c>
      <c r="P396" s="313" t="str">
        <f t="shared" si="145"/>
        <v>A4</v>
      </c>
      <c r="Q396" s="341" t="str">
        <f t="shared" si="142"/>
        <v>A4</v>
      </c>
      <c r="R396" s="325"/>
      <c r="S396" s="685"/>
      <c r="T396" s="685"/>
      <c r="U396" s="176" t="str">
        <f>$Q396</f>
        <v>A4</v>
      </c>
      <c r="V396" s="179"/>
      <c r="W396" s="330">
        <f>IFERROR(VLOOKUP($D396,'TT DHDL'!$C$10:$AC$17,15,0),0)</f>
        <v>1</v>
      </c>
      <c r="X396" s="330">
        <f>IFERROR(VLOOKUP($D396,'TT DHDL'!$C$10:$AC$17,27,0),0)</f>
        <v>1</v>
      </c>
      <c r="Y396" s="1080"/>
      <c r="Z396" s="842"/>
      <c r="AA396" s="842"/>
      <c r="AB396" s="777"/>
      <c r="AC396" s="839"/>
      <c r="AD396" s="213"/>
      <c r="AE396" s="60" t="str">
        <f>IF($L396=$P396,$L396,FALSE)</f>
        <v>A4</v>
      </c>
      <c r="AF396" s="60"/>
      <c r="AG396" s="60"/>
      <c r="BD396" s="60" t="s">
        <v>891</v>
      </c>
      <c r="BE396" s="60" t="s">
        <v>867</v>
      </c>
    </row>
    <row r="397" spans="1:59" ht="9" customHeight="1" x14ac:dyDescent="0.25">
      <c r="A397" s="78"/>
      <c r="B397" s="78"/>
      <c r="C397" s="87"/>
      <c r="D397" s="78"/>
      <c r="E397" s="78"/>
      <c r="F397" s="78"/>
      <c r="G397" s="78"/>
      <c r="H397" s="88"/>
      <c r="I397" s="230"/>
      <c r="J397" s="88"/>
      <c r="K397" s="88"/>
      <c r="L397" s="78"/>
      <c r="M397" s="88"/>
      <c r="N397" s="78"/>
      <c r="O397" s="78"/>
      <c r="P397" s="78"/>
      <c r="Q397" s="58"/>
      <c r="R397" s="78"/>
      <c r="S397" s="78"/>
      <c r="T397" s="78"/>
      <c r="U397" s="78"/>
      <c r="V397" s="78"/>
      <c r="W397" s="78"/>
      <c r="X397" s="78"/>
      <c r="Y397" s="78"/>
      <c r="Z397" s="88"/>
      <c r="AA397" s="88"/>
      <c r="AB397" s="243"/>
      <c r="AC397" s="243"/>
      <c r="AD397" s="199"/>
    </row>
    <row r="398" spans="1:59" ht="8.25" customHeight="1" x14ac:dyDescent="0.25">
      <c r="N398" s="59"/>
      <c r="O398" s="59"/>
      <c r="P398" s="59"/>
      <c r="Q398" s="58"/>
      <c r="R398" s="59"/>
      <c r="S398" s="59"/>
      <c r="T398" s="59"/>
      <c r="U398" s="59"/>
      <c r="V398" s="59"/>
      <c r="W398" s="59"/>
      <c r="X398" s="59"/>
      <c r="Y398" s="59"/>
      <c r="AC398" s="244"/>
      <c r="AD398" s="197"/>
    </row>
    <row r="399" spans="1:59" ht="42.75" customHeight="1" x14ac:dyDescent="0.25">
      <c r="A399" s="13"/>
      <c r="B399" s="13"/>
      <c r="C399" s="1340" t="s">
        <v>1137</v>
      </c>
      <c r="D399" s="13"/>
      <c r="E399" s="13"/>
      <c r="F399" s="13"/>
      <c r="G399" s="1349" t="s">
        <v>2</v>
      </c>
      <c r="H399" s="1350"/>
      <c r="I399" s="1350"/>
      <c r="J399" s="1350"/>
      <c r="K399" s="1350"/>
      <c r="L399" s="1351"/>
      <c r="M399" s="1">
        <f>SUM(M400:M401)</f>
        <v>331</v>
      </c>
      <c r="Q399" s="58"/>
    </row>
    <row r="400" spans="1:59" s="121" customFormat="1" ht="30" customHeight="1" x14ac:dyDescent="0.25">
      <c r="A400" s="13"/>
      <c r="B400" s="13"/>
      <c r="C400" s="1340"/>
      <c r="D400" s="13"/>
      <c r="E400" s="13"/>
      <c r="F400" s="13"/>
      <c r="G400" s="1330" t="s">
        <v>552</v>
      </c>
      <c r="H400" s="1344"/>
      <c r="I400" s="1344"/>
      <c r="J400" s="1344"/>
      <c r="K400" s="1344"/>
      <c r="L400" s="1331"/>
      <c r="M400" s="1">
        <f>L7+L44+L13+L25+L74+L92+L102+L108+L138+L176+L193+L223+L246+L160+L276+L308+L319+L330+L350+L355+L365+L378+L384+L388</f>
        <v>267</v>
      </c>
      <c r="Q400" s="58"/>
      <c r="AB400" s="245"/>
      <c r="AC400" s="246"/>
      <c r="AD400" s="200"/>
      <c r="AE400" s="59"/>
      <c r="AF400" s="59"/>
      <c r="AG400" s="59"/>
      <c r="AH400" s="542"/>
      <c r="AI400" s="542"/>
      <c r="BD400" s="60"/>
      <c r="BE400" s="59"/>
      <c r="BF400" s="576"/>
      <c r="BG400" s="576"/>
    </row>
    <row r="401" spans="1:59" s="121" customFormat="1" ht="30" customHeight="1" x14ac:dyDescent="0.25">
      <c r="A401" s="13"/>
      <c r="B401" s="13"/>
      <c r="C401" s="1340"/>
      <c r="D401" s="13"/>
      <c r="E401" s="13"/>
      <c r="F401" s="13"/>
      <c r="G401" s="1330" t="s">
        <v>7</v>
      </c>
      <c r="H401" s="1344"/>
      <c r="I401" s="1344"/>
      <c r="J401" s="1344"/>
      <c r="K401" s="1344"/>
      <c r="L401" s="1331"/>
      <c r="M401" s="1">
        <f>L57+L19+L37+L82+L99+L104+L119+L273+L360+L372+L381+L393</f>
        <v>64</v>
      </c>
      <c r="Q401" s="58"/>
      <c r="AB401" s="245"/>
      <c r="AC401" s="246"/>
      <c r="AD401" s="200"/>
      <c r="AE401" s="59"/>
      <c r="AF401" s="59"/>
      <c r="AG401" s="59"/>
      <c r="AH401" s="542"/>
      <c r="AI401" s="542"/>
      <c r="BD401" s="60"/>
      <c r="BE401" s="59"/>
      <c r="BF401" s="576"/>
      <c r="BG401" s="576"/>
    </row>
    <row r="402" spans="1:59" s="121" customFormat="1" ht="20.25" customHeight="1" x14ac:dyDescent="0.25">
      <c r="A402" s="154"/>
      <c r="B402" s="154"/>
      <c r="C402" s="13"/>
      <c r="D402" s="96"/>
      <c r="E402" s="96"/>
      <c r="F402" s="96"/>
      <c r="G402" s="13"/>
      <c r="H402" s="237"/>
      <c r="I402" s="231"/>
      <c r="J402" s="238"/>
      <c r="K402" s="238"/>
      <c r="L402" s="94"/>
      <c r="Q402" s="58"/>
      <c r="AB402" s="245"/>
      <c r="AC402" s="246"/>
      <c r="AD402" s="200"/>
      <c r="AE402" s="59"/>
      <c r="AF402" s="59"/>
      <c r="AG402" s="59"/>
      <c r="AH402" s="542"/>
      <c r="AI402" s="542"/>
      <c r="BD402" s="60"/>
      <c r="BE402" s="59"/>
      <c r="BF402" s="576"/>
      <c r="BG402" s="576"/>
    </row>
    <row r="403" spans="1:59" s="121" customFormat="1" ht="20.100000000000001" customHeight="1" x14ac:dyDescent="0.25">
      <c r="A403" s="154"/>
      <c r="B403" s="154"/>
      <c r="C403" s="90"/>
      <c r="D403" s="97"/>
      <c r="E403" s="97"/>
      <c r="F403" s="97"/>
      <c r="H403" s="236"/>
      <c r="I403" s="232"/>
      <c r="J403" s="236"/>
      <c r="K403" s="236"/>
      <c r="L403" s="1388" t="s">
        <v>3</v>
      </c>
      <c r="M403" s="1389"/>
      <c r="P403" s="1347" t="s">
        <v>799</v>
      </c>
      <c r="Q403" s="1347"/>
      <c r="R403" s="1348"/>
      <c r="S403" s="12"/>
      <c r="T403" s="12"/>
      <c r="U403" s="1345" t="s">
        <v>625</v>
      </c>
      <c r="V403" s="1346"/>
      <c r="Z403" s="12"/>
      <c r="AA403" s="12"/>
      <c r="AB403" s="245"/>
      <c r="AC403" s="246"/>
      <c r="AD403" s="200"/>
      <c r="AE403" s="59"/>
      <c r="AF403" s="59"/>
      <c r="AG403" s="59"/>
      <c r="AH403" s="542"/>
      <c r="AI403" s="542"/>
      <c r="BD403" s="60"/>
      <c r="BE403" s="59"/>
      <c r="BF403" s="576"/>
      <c r="BG403" s="576"/>
    </row>
    <row r="404" spans="1:59" s="121" customFormat="1" ht="31.5" customHeight="1" x14ac:dyDescent="0.25">
      <c r="A404" s="154"/>
      <c r="D404" s="97"/>
      <c r="E404" s="97"/>
      <c r="F404" s="97"/>
      <c r="H404" s="236"/>
      <c r="I404" s="232"/>
      <c r="J404" s="236"/>
      <c r="K404" s="236"/>
      <c r="L404" s="500" t="s">
        <v>624</v>
      </c>
      <c r="M404" s="500">
        <f>SUM(M405:M416)</f>
        <v>331</v>
      </c>
      <c r="N404" s="156"/>
      <c r="P404" s="1338" t="s">
        <v>624</v>
      </c>
      <c r="Q404" s="1339"/>
      <c r="R404" s="335">
        <f>SUM(R405:R416)</f>
        <v>331</v>
      </c>
      <c r="U404" s="93" t="s">
        <v>624</v>
      </c>
      <c r="V404" s="93">
        <f>SUM(V405:V416)</f>
        <v>331</v>
      </c>
      <c r="AA404" s="12"/>
      <c r="AB404" s="245"/>
      <c r="AC404" s="246"/>
      <c r="AD404" s="200"/>
      <c r="AE404" s="59"/>
      <c r="AF404" s="59"/>
      <c r="AG404" s="59"/>
      <c r="AH404" s="542"/>
      <c r="AI404" s="542"/>
      <c r="BD404" s="60"/>
      <c r="BE404" s="59"/>
      <c r="BF404" s="576"/>
      <c r="BG404" s="576"/>
    </row>
    <row r="405" spans="1:59" s="121" customFormat="1" ht="22.5" customHeight="1" x14ac:dyDescent="0.25">
      <c r="A405" s="154"/>
      <c r="B405" s="154"/>
      <c r="D405" s="94"/>
      <c r="E405" s="94"/>
      <c r="F405" s="94"/>
      <c r="G405" s="12"/>
      <c r="H405" s="238"/>
      <c r="I405" s="233"/>
      <c r="J405" s="236"/>
      <c r="K405" s="236"/>
      <c r="L405" s="500" t="s">
        <v>82</v>
      </c>
      <c r="M405" s="500">
        <f xml:space="preserve"> COUNTIF($L$8:$L$396,"A1")</f>
        <v>38</v>
      </c>
      <c r="N405" s="156"/>
      <c r="P405" s="1338" t="s">
        <v>82</v>
      </c>
      <c r="Q405" s="1339"/>
      <c r="R405" s="335">
        <f xml:space="preserve"> COUNTIF($Q$8:$Q$396,"A1")</f>
        <v>60</v>
      </c>
      <c r="U405" s="93" t="s">
        <v>82</v>
      </c>
      <c r="V405" s="93">
        <f xml:space="preserve"> COUNTIF($U$8:$U$396,"A1")</f>
        <v>60</v>
      </c>
      <c r="AA405" s="12"/>
      <c r="AB405" s="245"/>
      <c r="AC405" s="246"/>
      <c r="AD405" s="200"/>
      <c r="AE405" s="59"/>
      <c r="AF405" s="59"/>
      <c r="AG405" s="59"/>
      <c r="AH405" s="542"/>
      <c r="AI405" s="542"/>
      <c r="BD405" s="60"/>
      <c r="BE405" s="59"/>
      <c r="BF405" s="576"/>
      <c r="BG405" s="576"/>
    </row>
    <row r="406" spans="1:59" s="121" customFormat="1" ht="22.5" customHeight="1" x14ac:dyDescent="0.25">
      <c r="A406" s="154"/>
      <c r="B406" s="154"/>
      <c r="C406" s="154"/>
      <c r="D406" s="154"/>
      <c r="E406" s="154"/>
      <c r="F406" s="154"/>
      <c r="G406" s="12"/>
      <c r="H406" s="238"/>
      <c r="I406" s="233"/>
      <c r="J406" s="236"/>
      <c r="K406" s="236"/>
      <c r="L406" s="500" t="s">
        <v>84</v>
      </c>
      <c r="M406" s="500">
        <f xml:space="preserve"> COUNTIF($L$8:$L$396,"A2")</f>
        <v>57</v>
      </c>
      <c r="N406" s="156"/>
      <c r="P406" s="1338" t="s">
        <v>84</v>
      </c>
      <c r="Q406" s="1339"/>
      <c r="R406" s="335">
        <f xml:space="preserve"> COUNTIF($Q$8:$Q$396,"A2")</f>
        <v>43</v>
      </c>
      <c r="U406" s="93" t="s">
        <v>84</v>
      </c>
      <c r="V406" s="93">
        <f xml:space="preserve"> COUNTIF($U$8:$U$396,"A2")</f>
        <v>47</v>
      </c>
      <c r="AA406" s="12"/>
      <c r="AB406" s="245"/>
      <c r="AC406" s="246"/>
      <c r="AD406" s="200"/>
      <c r="AE406" s="59"/>
      <c r="AF406" s="59"/>
      <c r="AG406" s="59"/>
      <c r="AH406" s="542"/>
      <c r="AI406" s="542"/>
      <c r="BD406" s="60"/>
      <c r="BE406" s="59"/>
      <c r="BF406" s="576"/>
      <c r="BG406" s="576"/>
    </row>
    <row r="407" spans="1:59" s="121" customFormat="1" ht="22.5" customHeight="1" x14ac:dyDescent="0.25">
      <c r="A407" s="154"/>
      <c r="B407" s="154"/>
      <c r="C407" s="154"/>
      <c r="D407" s="154"/>
      <c r="E407" s="154"/>
      <c r="F407" s="154"/>
      <c r="G407" s="12"/>
      <c r="H407" s="238"/>
      <c r="I407" s="233"/>
      <c r="J407" s="236"/>
      <c r="K407" s="236"/>
      <c r="L407" s="500" t="s">
        <v>85</v>
      </c>
      <c r="M407" s="500">
        <f xml:space="preserve"> COUNTIF($L$8:$L$396,"A3")</f>
        <v>98</v>
      </c>
      <c r="N407" s="156"/>
      <c r="P407" s="1338" t="s">
        <v>85</v>
      </c>
      <c r="Q407" s="1339"/>
      <c r="R407" s="335">
        <f xml:space="preserve"> COUNTIF($Q$8:$Q$396,"A3")</f>
        <v>117</v>
      </c>
      <c r="U407" s="93" t="s">
        <v>85</v>
      </c>
      <c r="V407" s="93">
        <f xml:space="preserve"> COUNTIF($U$8:$U$396,"A3")</f>
        <v>113</v>
      </c>
      <c r="AA407" s="12"/>
      <c r="AB407" s="245"/>
      <c r="AC407" s="246"/>
      <c r="AD407" s="200"/>
      <c r="AE407" s="59"/>
      <c r="AF407" s="59"/>
      <c r="AG407" s="59"/>
      <c r="AH407" s="542"/>
      <c r="AI407" s="542"/>
      <c r="BD407" s="60"/>
      <c r="BE407" s="59"/>
      <c r="BF407" s="576"/>
      <c r="BG407" s="576"/>
    </row>
    <row r="408" spans="1:59" s="121" customFormat="1" ht="22.5" customHeight="1" x14ac:dyDescent="0.25">
      <c r="A408" s="154"/>
      <c r="B408" s="154"/>
      <c r="C408" s="154"/>
      <c r="D408" s="154"/>
      <c r="E408" s="154"/>
      <c r="F408" s="154"/>
      <c r="G408" s="12"/>
      <c r="H408" s="238"/>
      <c r="I408" s="233"/>
      <c r="J408" s="236"/>
      <c r="K408" s="236"/>
      <c r="L408" s="500" t="s">
        <v>83</v>
      </c>
      <c r="M408" s="500">
        <f xml:space="preserve"> COUNTIF($L$8:$L$396,"A4")</f>
        <v>130</v>
      </c>
      <c r="N408" s="156"/>
      <c r="P408" s="1338" t="s">
        <v>83</v>
      </c>
      <c r="Q408" s="1339"/>
      <c r="R408" s="335">
        <f xml:space="preserve"> COUNTIF($Q$8:$Q$396,"A4")</f>
        <v>103</v>
      </c>
      <c r="U408" s="93" t="s">
        <v>83</v>
      </c>
      <c r="V408" s="93">
        <f xml:space="preserve"> COUNTIF($U$8:$U$396,"A4")</f>
        <v>103</v>
      </c>
      <c r="AA408" s="12"/>
      <c r="AB408" s="245"/>
      <c r="AC408" s="246"/>
      <c r="AD408" s="200"/>
      <c r="AE408" s="59"/>
      <c r="AF408" s="59"/>
      <c r="AG408" s="59"/>
      <c r="AH408" s="542"/>
      <c r="AI408" s="542"/>
      <c r="BD408" s="60"/>
      <c r="BE408" s="59"/>
      <c r="BF408" s="576"/>
      <c r="BG408" s="576"/>
    </row>
    <row r="409" spans="1:59" s="121" customFormat="1" ht="22.5" customHeight="1" x14ac:dyDescent="0.25">
      <c r="A409" s="154"/>
      <c r="B409" s="154"/>
      <c r="C409" s="154"/>
      <c r="D409" s="154"/>
      <c r="E409" s="154"/>
      <c r="F409" s="154"/>
      <c r="G409" s="12"/>
      <c r="H409" s="238"/>
      <c r="I409" s="233"/>
      <c r="J409" s="236"/>
      <c r="K409" s="236"/>
      <c r="L409" s="500" t="s">
        <v>141</v>
      </c>
      <c r="M409" s="500">
        <f xml:space="preserve"> COUNTIF($L$8:$L$396,"B1")</f>
        <v>2</v>
      </c>
      <c r="N409" s="156"/>
      <c r="P409" s="1338" t="s">
        <v>141</v>
      </c>
      <c r="Q409" s="1339"/>
      <c r="R409" s="335">
        <f xml:space="preserve"> COUNTIF($Q$8:$Q$396,"B1")</f>
        <v>4</v>
      </c>
      <c r="U409" s="93" t="s">
        <v>141</v>
      </c>
      <c r="V409" s="93">
        <f xml:space="preserve"> COUNTIF($U$8:$U$396,"B1")</f>
        <v>4</v>
      </c>
      <c r="AA409" s="12"/>
      <c r="AB409" s="245"/>
      <c r="AC409" s="246"/>
      <c r="AD409" s="200"/>
      <c r="AE409" s="59"/>
      <c r="AF409" s="59"/>
      <c r="AG409" s="59"/>
      <c r="AH409" s="542"/>
      <c r="AI409" s="542"/>
      <c r="BD409" s="60"/>
      <c r="BE409" s="59"/>
      <c r="BF409" s="576"/>
      <c r="BG409" s="576"/>
    </row>
    <row r="410" spans="1:59" s="121" customFormat="1" ht="20.25" customHeight="1" x14ac:dyDescent="0.25">
      <c r="A410" s="154"/>
      <c r="B410" s="154"/>
      <c r="C410" s="154"/>
      <c r="D410" s="154"/>
      <c r="E410" s="154"/>
      <c r="F410" s="154"/>
      <c r="G410" s="12"/>
      <c r="H410" s="238"/>
      <c r="I410" s="233"/>
      <c r="J410" s="236"/>
      <c r="K410" s="236"/>
      <c r="L410" s="500" t="s">
        <v>140</v>
      </c>
      <c r="M410" s="500">
        <f xml:space="preserve"> COUNTIF($L$8:$L$396,"B2")</f>
        <v>1</v>
      </c>
      <c r="N410" s="156"/>
      <c r="P410" s="1338" t="s">
        <v>140</v>
      </c>
      <c r="Q410" s="1339"/>
      <c r="R410" s="335">
        <f xml:space="preserve"> COUNTIF($Q$8:$Q$396,"B2")</f>
        <v>0</v>
      </c>
      <c r="U410" s="93" t="s">
        <v>140</v>
      </c>
      <c r="V410" s="93">
        <f xml:space="preserve"> COUNTIF($U$8:$U$396,"B2")</f>
        <v>0</v>
      </c>
      <c r="AA410" s="12"/>
      <c r="AB410" s="245"/>
      <c r="AC410" s="246"/>
      <c r="AD410" s="200"/>
      <c r="AE410" s="59"/>
      <c r="AF410" s="59"/>
      <c r="AG410" s="59"/>
      <c r="AH410" s="542"/>
      <c r="AI410" s="542"/>
      <c r="BD410" s="60"/>
      <c r="BE410" s="59"/>
    </row>
    <row r="411" spans="1:59" s="121" customFormat="1" hidden="1" x14ac:dyDescent="0.25">
      <c r="A411" s="154"/>
      <c r="B411" s="154"/>
      <c r="C411" s="154"/>
      <c r="D411" s="154"/>
      <c r="E411" s="154"/>
      <c r="F411" s="154"/>
      <c r="G411" s="12"/>
      <c r="H411" s="238"/>
      <c r="I411" s="238"/>
      <c r="J411" s="236"/>
      <c r="K411" s="236"/>
      <c r="L411" s="500" t="s">
        <v>312</v>
      </c>
      <c r="M411" s="500">
        <f xml:space="preserve"> COUNTIF($L$8:$L$396,"C1")</f>
        <v>1</v>
      </c>
      <c r="N411" s="156"/>
      <c r="P411" s="1338" t="s">
        <v>312</v>
      </c>
      <c r="Q411" s="1339"/>
      <c r="R411" s="335">
        <f xml:space="preserve"> COUNTIF($Q$8:$Q$396,"C1")</f>
        <v>0</v>
      </c>
      <c r="U411" s="93" t="s">
        <v>312</v>
      </c>
      <c r="V411" s="93">
        <f xml:space="preserve"> COUNTIF($U$8:$U$396,"C1")</f>
        <v>0</v>
      </c>
      <c r="AA411" s="12"/>
      <c r="AB411" s="245"/>
      <c r="AC411" s="246"/>
      <c r="AD411" s="200"/>
      <c r="AE411" s="59"/>
      <c r="AF411" s="59"/>
      <c r="AG411" s="59"/>
      <c r="AH411" s="542"/>
      <c r="AI411" s="542"/>
      <c r="BD411" s="60"/>
      <c r="BE411" s="59"/>
    </row>
    <row r="412" spans="1:59" s="60" customFormat="1" hidden="1" x14ac:dyDescent="0.25">
      <c r="A412" s="59"/>
      <c r="B412" s="59"/>
      <c r="C412" s="59"/>
      <c r="G412" s="12"/>
      <c r="H412" s="238"/>
      <c r="I412" s="238"/>
      <c r="J412" s="58"/>
      <c r="K412" s="58"/>
      <c r="L412" s="500" t="s">
        <v>621</v>
      </c>
      <c r="M412" s="500">
        <f xml:space="preserve"> COUNTIF($L$8:$L$396,"C2")</f>
        <v>0</v>
      </c>
      <c r="N412" s="157"/>
      <c r="P412" s="1338" t="s">
        <v>621</v>
      </c>
      <c r="Q412" s="1339"/>
      <c r="R412" s="335">
        <f xml:space="preserve"> COUNTIF($Q$8:$Q$396,"C2")</f>
        <v>0</v>
      </c>
      <c r="S412" s="58"/>
      <c r="T412" s="58"/>
      <c r="U412" s="93" t="s">
        <v>621</v>
      </c>
      <c r="V412" s="93">
        <f xml:space="preserve"> COUNTIF($U$8:$U$396,"C2")</f>
        <v>0</v>
      </c>
      <c r="W412" s="121"/>
      <c r="X412" s="121"/>
      <c r="Z412" s="58"/>
      <c r="AA412" s="719"/>
      <c r="AB412" s="241"/>
      <c r="AC412" s="241"/>
      <c r="AD412" s="198"/>
    </row>
    <row r="413" spans="1:59" s="60" customFormat="1" ht="19.5" hidden="1" customHeight="1" x14ac:dyDescent="0.25">
      <c r="A413" s="59"/>
      <c r="B413" s="59"/>
      <c r="C413" s="59"/>
      <c r="G413" s="12"/>
      <c r="H413" s="238"/>
      <c r="I413" s="238"/>
      <c r="J413" s="58"/>
      <c r="K413" s="58"/>
      <c r="L413" s="500" t="s">
        <v>622</v>
      </c>
      <c r="M413" s="500">
        <f xml:space="preserve"> COUNTIF($L$8:$L$396,"D")</f>
        <v>0</v>
      </c>
      <c r="N413" s="157"/>
      <c r="P413" s="1338" t="s">
        <v>622</v>
      </c>
      <c r="Q413" s="1339"/>
      <c r="R413" s="335">
        <f xml:space="preserve"> COUNTIF($Q$8:$Q$396,"D")</f>
        <v>0</v>
      </c>
      <c r="S413" s="58"/>
      <c r="T413" s="58"/>
      <c r="U413" s="93" t="s">
        <v>622</v>
      </c>
      <c r="V413" s="93">
        <f xml:space="preserve"> COUNTIF($U$8:$U$396,"D")</f>
        <v>0</v>
      </c>
      <c r="W413" s="121"/>
      <c r="X413" s="121"/>
      <c r="Z413" s="58"/>
      <c r="AA413" s="719"/>
      <c r="AB413" s="241"/>
      <c r="AC413" s="241"/>
      <c r="AD413" s="198"/>
    </row>
    <row r="414" spans="1:59" s="60" customFormat="1" ht="22.5" hidden="1" customHeight="1" x14ac:dyDescent="0.25">
      <c r="A414" s="59"/>
      <c r="B414" s="59"/>
      <c r="C414" s="59"/>
      <c r="G414" s="12"/>
      <c r="H414" s="238"/>
      <c r="I414" s="238"/>
      <c r="J414" s="58"/>
      <c r="K414" s="58"/>
      <c r="L414" s="500" t="s">
        <v>623</v>
      </c>
      <c r="M414" s="500">
        <f xml:space="preserve"> COUNTIF($L$8:$L$396,"E")</f>
        <v>0</v>
      </c>
      <c r="N414" s="157"/>
      <c r="P414" s="1338" t="s">
        <v>623</v>
      </c>
      <c r="Q414" s="1339"/>
      <c r="R414" s="335">
        <f xml:space="preserve"> COUNTIF($Q$8:$Q$396,"E")</f>
        <v>0</v>
      </c>
      <c r="S414" s="58"/>
      <c r="T414" s="58"/>
      <c r="U414" s="93" t="s">
        <v>623</v>
      </c>
      <c r="V414" s="93">
        <f xml:space="preserve"> COUNTIF($U$8:$U$396,"E")</f>
        <v>0</v>
      </c>
      <c r="W414" s="121"/>
      <c r="X414" s="121"/>
      <c r="Z414" s="58"/>
      <c r="AA414" s="719"/>
      <c r="AB414" s="241"/>
      <c r="AC414" s="241"/>
      <c r="AD414" s="198"/>
    </row>
    <row r="415" spans="1:59" s="60" customFormat="1" ht="22.5" customHeight="1" x14ac:dyDescent="0.25">
      <c r="A415" s="59"/>
      <c r="B415" s="59"/>
      <c r="C415" s="59"/>
      <c r="G415" s="12"/>
      <c r="H415" s="238"/>
      <c r="I415" s="233"/>
      <c r="J415" s="58"/>
      <c r="K415" s="58"/>
      <c r="L415" s="500" t="s">
        <v>20</v>
      </c>
      <c r="M415" s="500">
        <f xml:space="preserve"> COUNTIF($L$8:$L$396,"A DN")</f>
        <v>2</v>
      </c>
      <c r="N415" s="157"/>
      <c r="P415" s="1338" t="s">
        <v>20</v>
      </c>
      <c r="Q415" s="1339"/>
      <c r="R415" s="335">
        <f xml:space="preserve"> COUNTIF($Q$8:$Q$396,"A DN")</f>
        <v>2</v>
      </c>
      <c r="S415" s="58"/>
      <c r="T415" s="58"/>
      <c r="U415" s="93" t="s">
        <v>20</v>
      </c>
      <c r="V415" s="93">
        <f xml:space="preserve"> COUNTIF($U$8:$U$396,"A DN")</f>
        <v>2</v>
      </c>
      <c r="W415" s="121"/>
      <c r="X415" s="121"/>
      <c r="Z415" s="58"/>
      <c r="AA415" s="719"/>
      <c r="AB415" s="241"/>
      <c r="AC415" s="241"/>
      <c r="AD415" s="198"/>
    </row>
    <row r="416" spans="1:59" s="60" customFormat="1" ht="22.5" customHeight="1" x14ac:dyDescent="0.25">
      <c r="A416" s="59"/>
      <c r="B416" s="59"/>
      <c r="C416" s="59"/>
      <c r="G416" s="12"/>
      <c r="H416" s="238"/>
      <c r="I416" s="233"/>
      <c r="J416" s="58"/>
      <c r="K416" s="58"/>
      <c r="L416" s="791" t="s">
        <v>743</v>
      </c>
      <c r="M416" s="791">
        <f xml:space="preserve"> COUNTIF($L$8:$L$396,"KXL")</f>
        <v>2</v>
      </c>
      <c r="N416" s="157"/>
      <c r="P416" s="1338" t="s">
        <v>743</v>
      </c>
      <c r="Q416" s="1339"/>
      <c r="R416" s="335">
        <f xml:space="preserve"> COUNTIF($Q$8:$Q$396,"KXL")</f>
        <v>2</v>
      </c>
      <c r="S416" s="58"/>
      <c r="T416" s="58"/>
      <c r="U416" s="93" t="s">
        <v>743</v>
      </c>
      <c r="V416" s="93">
        <f xml:space="preserve"> COUNTIF($U$8:$U$396,"KXL")</f>
        <v>2</v>
      </c>
      <c r="W416" s="121"/>
      <c r="X416" s="121"/>
      <c r="Z416" s="58"/>
      <c r="AA416" s="719"/>
      <c r="AB416" s="241"/>
      <c r="AC416" s="241"/>
      <c r="AD416" s="198"/>
    </row>
    <row r="417" spans="1:59" s="60" customFormat="1" ht="32.25" customHeight="1" x14ac:dyDescent="0.25">
      <c r="A417" s="59"/>
      <c r="B417" s="59"/>
      <c r="C417" s="59"/>
      <c r="H417" s="58"/>
      <c r="I417" s="229"/>
      <c r="J417" s="58"/>
      <c r="K417" s="58"/>
      <c r="M417" s="58"/>
      <c r="N417" s="59"/>
      <c r="Q417" s="155"/>
      <c r="W417" s="121"/>
      <c r="X417" s="121"/>
      <c r="Z417" s="12"/>
      <c r="AA417" s="59"/>
      <c r="AB417" s="241"/>
      <c r="AC417" s="241"/>
      <c r="AD417" s="198"/>
    </row>
    <row r="418" spans="1:59" s="412" customFormat="1" ht="16.5" x14ac:dyDescent="0.25">
      <c r="A418" s="567"/>
      <c r="B418" s="617"/>
      <c r="C418" s="618" t="s">
        <v>1182</v>
      </c>
      <c r="D418" s="567"/>
      <c r="E418" s="567"/>
      <c r="F418" s="567"/>
      <c r="S418" s="554"/>
      <c r="T418" s="554"/>
    </row>
    <row r="419" spans="1:59" s="412" customFormat="1" ht="16.5" x14ac:dyDescent="0.25">
      <c r="A419" s="567"/>
      <c r="B419" s="618"/>
      <c r="C419" s="618" t="s">
        <v>814</v>
      </c>
      <c r="D419" s="567"/>
      <c r="E419" s="567"/>
      <c r="F419" s="567"/>
      <c r="S419" s="554"/>
      <c r="T419" s="554"/>
    </row>
    <row r="420" spans="1:59" s="412" customFormat="1" ht="16.5" x14ac:dyDescent="0.25">
      <c r="A420" s="567"/>
      <c r="B420" s="552"/>
      <c r="C420" s="552" t="s">
        <v>1183</v>
      </c>
      <c r="D420" s="567"/>
      <c r="E420" s="567"/>
      <c r="F420" s="567"/>
      <c r="S420" s="554"/>
      <c r="T420" s="554"/>
    </row>
    <row r="421" spans="1:59" s="412" customFormat="1" ht="16.5" x14ac:dyDescent="0.25">
      <c r="A421" s="567"/>
      <c r="B421" s="552"/>
      <c r="C421" s="552" t="s">
        <v>1214</v>
      </c>
      <c r="D421" s="567"/>
      <c r="E421" s="567"/>
      <c r="F421" s="567"/>
      <c r="S421" s="554"/>
      <c r="T421" s="554"/>
    </row>
    <row r="422" spans="1:59" s="412" customFormat="1" ht="16.5" x14ac:dyDescent="0.25">
      <c r="A422" s="567"/>
      <c r="B422" s="552"/>
      <c r="C422" s="552" t="s">
        <v>1215</v>
      </c>
      <c r="D422" s="567"/>
      <c r="E422" s="567"/>
      <c r="F422" s="567"/>
      <c r="S422" s="554"/>
      <c r="T422" s="554"/>
    </row>
    <row r="423" spans="1:59" s="412" customFormat="1" ht="16.5" x14ac:dyDescent="0.25">
      <c r="A423" s="567"/>
      <c r="B423" s="552"/>
      <c r="C423" s="552" t="s">
        <v>1216</v>
      </c>
      <c r="D423" s="567"/>
      <c r="E423" s="567"/>
      <c r="F423" s="567"/>
      <c r="S423" s="554"/>
      <c r="T423" s="554"/>
    </row>
    <row r="424" spans="1:59" s="412" customFormat="1" ht="16.5" x14ac:dyDescent="0.25">
      <c r="A424" s="567"/>
      <c r="B424" s="553"/>
      <c r="C424" s="552" t="s">
        <v>1217</v>
      </c>
      <c r="D424" s="567"/>
      <c r="E424" s="567"/>
      <c r="F424" s="567"/>
      <c r="S424" s="554"/>
      <c r="T424" s="554"/>
    </row>
    <row r="425" spans="1:59" s="412" customFormat="1" ht="16.5" x14ac:dyDescent="0.25">
      <c r="A425" s="567"/>
      <c r="B425" s="553"/>
      <c r="C425" s="552" t="s">
        <v>1218</v>
      </c>
      <c r="D425" s="567"/>
      <c r="E425" s="567"/>
      <c r="F425" s="567"/>
      <c r="S425" s="554"/>
      <c r="T425" s="554"/>
    </row>
    <row r="426" spans="1:59" s="412" customFormat="1" ht="16.5" x14ac:dyDescent="0.25">
      <c r="A426" s="567"/>
      <c r="B426" s="553"/>
      <c r="C426" s="1099" t="s">
        <v>1219</v>
      </c>
      <c r="D426" s="567"/>
      <c r="E426" s="567"/>
      <c r="F426" s="567"/>
      <c r="S426" s="554"/>
      <c r="T426" s="554"/>
    </row>
    <row r="427" spans="1:59" s="412" customFormat="1" ht="16.5" x14ac:dyDescent="0.25">
      <c r="A427" s="567"/>
      <c r="B427" s="553"/>
      <c r="C427" s="1099" t="s">
        <v>1220</v>
      </c>
      <c r="D427" s="567"/>
      <c r="E427" s="567"/>
      <c r="F427" s="567"/>
      <c r="S427" s="554"/>
      <c r="T427" s="554"/>
    </row>
    <row r="428" spans="1:59" s="412" customFormat="1" ht="16.5" x14ac:dyDescent="0.25">
      <c r="A428" s="567"/>
      <c r="B428" s="553"/>
      <c r="C428" s="1099"/>
      <c r="D428" s="567"/>
      <c r="E428" s="567"/>
      <c r="F428" s="567"/>
      <c r="S428" s="554"/>
      <c r="T428" s="554"/>
    </row>
    <row r="429" spans="1:59" s="412" customFormat="1" ht="16.5" x14ac:dyDescent="0.25">
      <c r="A429" s="567"/>
      <c r="B429" s="553"/>
      <c r="C429" s="1099"/>
      <c r="D429" s="567"/>
      <c r="E429" s="567"/>
      <c r="F429" s="567"/>
      <c r="S429" s="554"/>
      <c r="T429" s="554"/>
    </row>
    <row r="430" spans="1:59" s="1036" customFormat="1" ht="21.75" customHeight="1" x14ac:dyDescent="0.25">
      <c r="A430" s="1028"/>
      <c r="B430" s="1029"/>
      <c r="C430" s="1030" t="s">
        <v>848</v>
      </c>
      <c r="D430" s="1031"/>
      <c r="E430" s="1031"/>
      <c r="F430" s="1031"/>
      <c r="G430" s="1031"/>
      <c r="H430" s="1031"/>
      <c r="I430" s="1031"/>
      <c r="J430" s="1031"/>
      <c r="K430" s="1031"/>
      <c r="L430" s="1031"/>
      <c r="M430" s="1028"/>
      <c r="N430" s="1032"/>
      <c r="O430" s="1032"/>
      <c r="P430" s="1032"/>
      <c r="Q430" s="1033"/>
      <c r="R430" s="1032"/>
      <c r="S430" s="1032"/>
      <c r="T430" s="1032"/>
      <c r="U430" s="1032"/>
      <c r="V430" s="1032"/>
      <c r="W430" s="1032"/>
      <c r="X430" s="1032"/>
      <c r="Y430" s="554"/>
      <c r="Z430" s="1032"/>
      <c r="AA430" s="1032"/>
      <c r="AB430" s="1034"/>
      <c r="AC430" s="1035"/>
      <c r="AD430" s="1035"/>
      <c r="AE430" s="1035"/>
      <c r="AF430" s="1035"/>
      <c r="AG430" s="1035"/>
      <c r="BD430" s="1037"/>
      <c r="BF430" s="1037"/>
      <c r="BG430" s="1037"/>
    </row>
    <row r="431" spans="1:59" s="1036" customFormat="1" ht="18" customHeight="1" x14ac:dyDescent="0.25">
      <c r="C431" s="1038" t="s">
        <v>938</v>
      </c>
      <c r="D431" s="1037"/>
      <c r="E431" s="1037"/>
      <c r="F431" s="1037"/>
      <c r="G431" s="1039" t="s">
        <v>1221</v>
      </c>
      <c r="H431" s="1040"/>
      <c r="I431" s="1041"/>
      <c r="J431" s="1040"/>
      <c r="K431" s="1040"/>
      <c r="L431" s="1042" t="s">
        <v>1222</v>
      </c>
      <c r="N431" s="1037"/>
      <c r="O431" s="1037"/>
      <c r="P431" s="1037"/>
      <c r="R431" s="1037"/>
      <c r="S431" s="1037"/>
      <c r="T431" s="1037"/>
      <c r="U431" s="1037"/>
      <c r="V431" s="1037"/>
      <c r="W431" s="1037"/>
      <c r="X431" s="1037"/>
      <c r="Y431" s="1037"/>
      <c r="Z431" s="1040"/>
      <c r="AA431" s="1040"/>
      <c r="AB431" s="1037"/>
      <c r="AC431" s="1035"/>
      <c r="AD431" s="1035"/>
      <c r="AE431" s="1035"/>
      <c r="AF431" s="1035"/>
      <c r="AG431" s="1035"/>
      <c r="AH431" s="1035"/>
      <c r="AI431" s="1035"/>
      <c r="BD431" s="1037"/>
      <c r="BF431" s="1037"/>
      <c r="BG431" s="1037"/>
    </row>
    <row r="432" spans="1:59" s="1036" customFormat="1" ht="18" customHeight="1" x14ac:dyDescent="0.25">
      <c r="C432" s="1038" t="s">
        <v>850</v>
      </c>
      <c r="D432" s="1037"/>
      <c r="E432" s="1037"/>
      <c r="F432" s="1037"/>
      <c r="G432" s="1039" t="s">
        <v>1223</v>
      </c>
      <c r="H432" s="1040"/>
      <c r="I432" s="1041"/>
      <c r="J432" s="1040"/>
      <c r="K432" s="1040"/>
      <c r="L432" s="1042" t="s">
        <v>1224</v>
      </c>
      <c r="N432" s="1037"/>
      <c r="O432" s="1037"/>
      <c r="P432" s="1037"/>
      <c r="R432" s="1037"/>
      <c r="S432" s="1037"/>
      <c r="T432" s="1037"/>
      <c r="U432" s="1037"/>
      <c r="V432" s="1037"/>
      <c r="W432" s="1037"/>
      <c r="X432" s="1037"/>
      <c r="Y432" s="1037"/>
      <c r="Z432" s="1040"/>
      <c r="AA432" s="1040"/>
      <c r="AB432" s="1037"/>
      <c r="AC432" s="1035"/>
      <c r="AD432" s="1035"/>
      <c r="AE432" s="1035"/>
      <c r="AF432" s="1035"/>
      <c r="AG432" s="1035"/>
      <c r="AH432" s="1035"/>
      <c r="AI432" s="1035"/>
      <c r="BD432" s="1037"/>
      <c r="BF432" s="1037"/>
      <c r="BG432" s="1037"/>
    </row>
    <row r="433" spans="1:59" s="1036" customFormat="1" ht="18" customHeight="1" x14ac:dyDescent="0.25">
      <c r="A433" s="1029"/>
      <c r="B433" s="1029"/>
      <c r="C433" s="1043" t="s">
        <v>849</v>
      </c>
      <c r="D433" s="1044"/>
      <c r="E433" s="1044"/>
      <c r="F433" s="1044"/>
      <c r="G433" s="1045" t="s">
        <v>1225</v>
      </c>
      <c r="H433" s="1046"/>
      <c r="I433" s="1047"/>
      <c r="J433" s="1046"/>
      <c r="K433" s="1046"/>
      <c r="L433" s="1048" t="s">
        <v>1226</v>
      </c>
      <c r="N433" s="1037"/>
      <c r="O433" s="1037"/>
      <c r="P433" s="1037"/>
      <c r="R433" s="1037"/>
      <c r="S433" s="1037"/>
      <c r="T433" s="1037"/>
      <c r="U433" s="1037"/>
      <c r="V433" s="1037"/>
      <c r="W433" s="1037"/>
      <c r="X433" s="1037"/>
      <c r="Y433" s="1037"/>
      <c r="Z433" s="1040"/>
      <c r="AA433" s="1040"/>
      <c r="AB433" s="1037"/>
      <c r="AC433" s="1035"/>
      <c r="AD433" s="1035"/>
      <c r="AE433" s="1035"/>
      <c r="AF433" s="1035"/>
      <c r="AG433" s="1035"/>
      <c r="AH433" s="1035"/>
      <c r="AI433" s="1035"/>
      <c r="BD433" s="1037"/>
      <c r="BF433" s="1037"/>
      <c r="BG433" s="1037"/>
    </row>
    <row r="434" spans="1:59" s="1036" customFormat="1" ht="18" customHeight="1" x14ac:dyDescent="0.25">
      <c r="A434" s="1029"/>
      <c r="B434" s="1029"/>
      <c r="C434" s="1043" t="s">
        <v>1227</v>
      </c>
      <c r="D434" s="1044"/>
      <c r="E434" s="1044"/>
      <c r="F434" s="1044"/>
      <c r="G434" s="1045" t="s">
        <v>1117</v>
      </c>
      <c r="H434" s="1046"/>
      <c r="I434" s="1047"/>
      <c r="J434" s="1046"/>
      <c r="K434" s="1046"/>
      <c r="L434" s="1048" t="s">
        <v>1228</v>
      </c>
      <c r="N434" s="1037"/>
      <c r="O434" s="1037"/>
      <c r="P434" s="1037"/>
      <c r="R434" s="1037"/>
      <c r="S434" s="1037"/>
      <c r="T434" s="1037"/>
      <c r="U434" s="1037"/>
      <c r="V434" s="1037"/>
      <c r="W434" s="1037"/>
      <c r="X434" s="1037"/>
      <c r="Y434" s="1037"/>
      <c r="Z434" s="1040"/>
      <c r="AA434" s="1040"/>
      <c r="AB434" s="1037"/>
      <c r="AC434" s="1035"/>
      <c r="AD434" s="1035"/>
      <c r="AE434" s="1035"/>
      <c r="AF434" s="1035"/>
      <c r="AG434" s="1035"/>
      <c r="AH434" s="1035"/>
      <c r="AI434" s="1035"/>
      <c r="BD434" s="1037"/>
      <c r="BF434" s="1037"/>
      <c r="BG434" s="1037"/>
    </row>
    <row r="435" spans="1:59" s="412" customFormat="1" ht="16.5" x14ac:dyDescent="0.25">
      <c r="A435" s="567"/>
      <c r="B435" s="552"/>
      <c r="C435" s="552"/>
      <c r="D435" s="567"/>
      <c r="E435" s="567"/>
      <c r="F435" s="567"/>
      <c r="S435" s="554"/>
      <c r="T435" s="554"/>
      <c r="AH435" s="1049"/>
      <c r="AI435" s="1049"/>
      <c r="BD435" s="1049"/>
      <c r="BF435" s="1049"/>
      <c r="BG435" s="1049"/>
    </row>
    <row r="436" spans="1:59" ht="27.75" customHeight="1" x14ac:dyDescent="0.25">
      <c r="A436" s="1283" t="s">
        <v>0</v>
      </c>
      <c r="B436" s="1324" t="s">
        <v>781</v>
      </c>
      <c r="C436" s="1324"/>
      <c r="D436" s="1325" t="s">
        <v>782</v>
      </c>
      <c r="E436" s="1325"/>
      <c r="F436" s="1325"/>
      <c r="G436" s="1325"/>
      <c r="H436" s="1325"/>
      <c r="I436" s="1325"/>
      <c r="J436" s="1325"/>
      <c r="K436" s="1325"/>
      <c r="L436" s="1325"/>
      <c r="M436" s="1326" t="s">
        <v>783</v>
      </c>
      <c r="N436" s="1326"/>
      <c r="O436" s="1326"/>
      <c r="P436" s="1326"/>
      <c r="Q436" s="1326"/>
      <c r="R436" s="1326"/>
      <c r="S436" s="1326"/>
      <c r="T436" s="1326"/>
      <c r="U436" s="1326"/>
      <c r="V436" s="1326"/>
      <c r="W436" s="1326"/>
      <c r="X436" s="1326"/>
      <c r="Y436" s="1326"/>
      <c r="Z436" s="1326"/>
      <c r="AA436" s="1283" t="s">
        <v>4</v>
      </c>
      <c r="AB436" s="1050"/>
      <c r="AC436" s="1051"/>
      <c r="AD436" s="1051"/>
      <c r="AE436" s="1051"/>
      <c r="AF436" s="1051"/>
      <c r="AG436" s="1051"/>
    </row>
    <row r="437" spans="1:59" ht="40.5" customHeight="1" x14ac:dyDescent="0.25">
      <c r="A437" s="1284">
        <v>1</v>
      </c>
      <c r="B437" s="1285"/>
      <c r="C437" s="1054" t="s">
        <v>1229</v>
      </c>
      <c r="D437" s="1286"/>
      <c r="E437" s="1286"/>
      <c r="F437" s="1286"/>
      <c r="G437" s="1322" t="s">
        <v>835</v>
      </c>
      <c r="H437" s="1322"/>
      <c r="I437" s="1322"/>
      <c r="J437" s="1322"/>
      <c r="K437" s="1322"/>
      <c r="L437" s="1322"/>
      <c r="M437" s="1323" t="s">
        <v>1230</v>
      </c>
      <c r="N437" s="1323"/>
      <c r="O437" s="1323"/>
      <c r="P437" s="1323"/>
      <c r="Q437" s="1323"/>
      <c r="R437" s="1323"/>
      <c r="S437" s="1323"/>
      <c r="T437" s="1323"/>
      <c r="U437" s="1323"/>
      <c r="V437" s="1323"/>
      <c r="W437" s="1323"/>
      <c r="X437" s="1323"/>
      <c r="Y437" s="1323"/>
      <c r="Z437" s="1323"/>
      <c r="AA437" s="1287"/>
      <c r="AB437" s="1052"/>
      <c r="AC437" s="1051"/>
      <c r="AD437" s="1051"/>
      <c r="AE437" s="1051"/>
      <c r="AF437" s="1051"/>
      <c r="AG437" s="1051"/>
      <c r="AH437" s="1053"/>
      <c r="AI437" s="1053"/>
    </row>
    <row r="438" spans="1:59" ht="40.5" customHeight="1" x14ac:dyDescent="0.25">
      <c r="A438" s="1284">
        <v>2</v>
      </c>
      <c r="B438" s="1285"/>
      <c r="C438" s="1054" t="s">
        <v>1231</v>
      </c>
      <c r="D438" s="1286"/>
      <c r="E438" s="1286"/>
      <c r="F438" s="1286"/>
      <c r="G438" s="1322" t="s">
        <v>835</v>
      </c>
      <c r="H438" s="1322"/>
      <c r="I438" s="1322"/>
      <c r="J438" s="1322"/>
      <c r="K438" s="1322"/>
      <c r="L438" s="1322"/>
      <c r="M438" s="1323" t="s">
        <v>1232</v>
      </c>
      <c r="N438" s="1323"/>
      <c r="O438" s="1323"/>
      <c r="P438" s="1323"/>
      <c r="Q438" s="1323"/>
      <c r="R438" s="1323"/>
      <c r="S438" s="1323"/>
      <c r="T438" s="1323"/>
      <c r="U438" s="1323"/>
      <c r="V438" s="1323"/>
      <c r="W438" s="1323"/>
      <c r="X438" s="1323"/>
      <c r="Y438" s="1323"/>
      <c r="Z438" s="1323"/>
      <c r="AA438" s="1287"/>
      <c r="AB438" s="1052"/>
      <c r="AC438" s="1051"/>
      <c r="AD438" s="1051"/>
      <c r="AE438" s="1051"/>
      <c r="AF438" s="1051"/>
      <c r="AG438" s="1051"/>
      <c r="AH438" s="1053"/>
      <c r="AI438" s="1053"/>
    </row>
    <row r="439" spans="1:59" ht="55.5" customHeight="1" x14ac:dyDescent="0.25">
      <c r="A439" s="1284">
        <v>3</v>
      </c>
      <c r="B439" s="1285"/>
      <c r="C439" s="1288" t="s">
        <v>1233</v>
      </c>
      <c r="D439" s="1286"/>
      <c r="E439" s="1286"/>
      <c r="F439" s="1286"/>
      <c r="G439" s="1322" t="s">
        <v>835</v>
      </c>
      <c r="H439" s="1322"/>
      <c r="I439" s="1322"/>
      <c r="J439" s="1322"/>
      <c r="K439" s="1322"/>
      <c r="L439" s="1322"/>
      <c r="M439" s="1323" t="s">
        <v>1234</v>
      </c>
      <c r="N439" s="1323"/>
      <c r="O439" s="1323"/>
      <c r="P439" s="1323"/>
      <c r="Q439" s="1323"/>
      <c r="R439" s="1323"/>
      <c r="S439" s="1323"/>
      <c r="T439" s="1323"/>
      <c r="U439" s="1323"/>
      <c r="V439" s="1323"/>
      <c r="W439" s="1323"/>
      <c r="X439" s="1323"/>
      <c r="Y439" s="1323"/>
      <c r="Z439" s="1323"/>
      <c r="AA439" s="1287"/>
      <c r="AB439" s="1052"/>
      <c r="AC439" s="1051"/>
      <c r="AD439" s="1051"/>
      <c r="AE439" s="1051"/>
      <c r="AF439" s="1051"/>
      <c r="AG439" s="1051"/>
      <c r="AH439" s="1053"/>
      <c r="AI439" s="1053"/>
    </row>
    <row r="440" spans="1:59" ht="62.25" customHeight="1" x14ac:dyDescent="0.25">
      <c r="A440" s="1284">
        <v>4</v>
      </c>
      <c r="B440" s="1285"/>
      <c r="C440" s="1288" t="s">
        <v>1235</v>
      </c>
      <c r="D440" s="1286"/>
      <c r="E440" s="1286"/>
      <c r="F440" s="1286"/>
      <c r="G440" s="1322" t="s">
        <v>835</v>
      </c>
      <c r="H440" s="1322"/>
      <c r="I440" s="1322"/>
      <c r="J440" s="1322"/>
      <c r="K440" s="1322"/>
      <c r="L440" s="1322"/>
      <c r="M440" s="1323" t="s">
        <v>1236</v>
      </c>
      <c r="N440" s="1323"/>
      <c r="O440" s="1323"/>
      <c r="P440" s="1323"/>
      <c r="Q440" s="1323"/>
      <c r="R440" s="1323"/>
      <c r="S440" s="1323"/>
      <c r="T440" s="1323"/>
      <c r="U440" s="1323"/>
      <c r="V440" s="1323"/>
      <c r="W440" s="1323"/>
      <c r="X440" s="1323"/>
      <c r="Y440" s="1323"/>
      <c r="Z440" s="1323"/>
      <c r="AA440" s="1287"/>
      <c r="AB440" s="1052"/>
      <c r="AC440" s="1051"/>
      <c r="AD440" s="1051"/>
      <c r="AE440" s="1051"/>
      <c r="AF440" s="1051"/>
      <c r="AG440" s="1051"/>
      <c r="AH440" s="1053"/>
      <c r="AI440" s="1053"/>
    </row>
    <row r="441" spans="1:59" ht="39" customHeight="1" x14ac:dyDescent="0.25">
      <c r="A441" s="1284">
        <v>5</v>
      </c>
      <c r="B441" s="1285"/>
      <c r="C441" s="1288" t="s">
        <v>1237</v>
      </c>
      <c r="D441" s="1286"/>
      <c r="E441" s="1286"/>
      <c r="F441" s="1286"/>
      <c r="G441" s="1322" t="s">
        <v>835</v>
      </c>
      <c r="H441" s="1322"/>
      <c r="I441" s="1322"/>
      <c r="J441" s="1322"/>
      <c r="K441" s="1322"/>
      <c r="L441" s="1322"/>
      <c r="M441" s="1323" t="s">
        <v>1238</v>
      </c>
      <c r="N441" s="1323"/>
      <c r="O441" s="1323"/>
      <c r="P441" s="1323"/>
      <c r="Q441" s="1323"/>
      <c r="R441" s="1323"/>
      <c r="S441" s="1323"/>
      <c r="T441" s="1323"/>
      <c r="U441" s="1323"/>
      <c r="V441" s="1323"/>
      <c r="W441" s="1323"/>
      <c r="X441" s="1323"/>
      <c r="Y441" s="1323"/>
      <c r="Z441" s="1323"/>
      <c r="AA441" s="1287"/>
      <c r="AB441" s="1052"/>
      <c r="AC441" s="1051"/>
      <c r="AD441" s="1051"/>
      <c r="AE441" s="1051"/>
      <c r="AF441" s="1051"/>
      <c r="AG441" s="1051"/>
      <c r="AH441" s="1053"/>
      <c r="AI441" s="1053"/>
    </row>
    <row r="442" spans="1:59" ht="45" customHeight="1" x14ac:dyDescent="0.25">
      <c r="A442" s="1284">
        <v>6</v>
      </c>
      <c r="B442" s="1285"/>
      <c r="C442" s="1054" t="s">
        <v>1239</v>
      </c>
      <c r="D442" s="1286"/>
      <c r="E442" s="1286"/>
      <c r="F442" s="1286"/>
      <c r="G442" s="1322" t="s">
        <v>807</v>
      </c>
      <c r="H442" s="1322"/>
      <c r="I442" s="1322"/>
      <c r="J442" s="1322"/>
      <c r="K442" s="1322"/>
      <c r="L442" s="1322"/>
      <c r="M442" s="1323" t="s">
        <v>1240</v>
      </c>
      <c r="N442" s="1323"/>
      <c r="O442" s="1323"/>
      <c r="P442" s="1323"/>
      <c r="Q442" s="1323"/>
      <c r="R442" s="1323"/>
      <c r="S442" s="1323"/>
      <c r="T442" s="1323"/>
      <c r="U442" s="1323"/>
      <c r="V442" s="1323"/>
      <c r="W442" s="1323"/>
      <c r="X442" s="1323"/>
      <c r="Y442" s="1323"/>
      <c r="Z442" s="1323"/>
      <c r="AA442" s="1287"/>
      <c r="AB442" s="1052"/>
      <c r="AC442" s="1051"/>
      <c r="AD442" s="1051"/>
      <c r="AE442" s="1051"/>
      <c r="AF442" s="1051"/>
      <c r="AG442" s="1051"/>
      <c r="AH442" s="1053"/>
      <c r="AI442" s="1053"/>
    </row>
    <row r="443" spans="1:59" ht="45" customHeight="1" x14ac:dyDescent="0.25">
      <c r="A443" s="1284">
        <v>7</v>
      </c>
      <c r="B443" s="1285"/>
      <c r="C443" s="1054" t="s">
        <v>1241</v>
      </c>
      <c r="D443" s="1286"/>
      <c r="E443" s="1286"/>
      <c r="F443" s="1286"/>
      <c r="G443" s="1322" t="s">
        <v>807</v>
      </c>
      <c r="H443" s="1322"/>
      <c r="I443" s="1322"/>
      <c r="J443" s="1322"/>
      <c r="K443" s="1322"/>
      <c r="L443" s="1322"/>
      <c r="M443" s="1323" t="s">
        <v>1242</v>
      </c>
      <c r="N443" s="1323"/>
      <c r="O443" s="1323"/>
      <c r="P443" s="1323"/>
      <c r="Q443" s="1323"/>
      <c r="R443" s="1323"/>
      <c r="S443" s="1323"/>
      <c r="T443" s="1323"/>
      <c r="U443" s="1323"/>
      <c r="V443" s="1323"/>
      <c r="W443" s="1323"/>
      <c r="X443" s="1323"/>
      <c r="Y443" s="1323"/>
      <c r="Z443" s="1323"/>
      <c r="AA443" s="1287"/>
      <c r="AB443" s="1052"/>
      <c r="AC443" s="1051"/>
      <c r="AD443" s="1051"/>
      <c r="AE443" s="1051"/>
      <c r="AF443" s="1051"/>
      <c r="AG443" s="1051"/>
      <c r="AH443" s="1053"/>
      <c r="AI443" s="1053"/>
    </row>
    <row r="444" spans="1:59" ht="45" customHeight="1" x14ac:dyDescent="0.25">
      <c r="A444" s="1284">
        <v>8</v>
      </c>
      <c r="B444" s="1285"/>
      <c r="C444" s="1054" t="s">
        <v>1243</v>
      </c>
      <c r="D444" s="1286"/>
      <c r="E444" s="1286"/>
      <c r="F444" s="1286"/>
      <c r="G444" s="1322" t="s">
        <v>807</v>
      </c>
      <c r="H444" s="1322"/>
      <c r="I444" s="1322"/>
      <c r="J444" s="1322"/>
      <c r="K444" s="1322"/>
      <c r="L444" s="1322"/>
      <c r="M444" s="1323" t="s">
        <v>1244</v>
      </c>
      <c r="N444" s="1323"/>
      <c r="O444" s="1323"/>
      <c r="P444" s="1323"/>
      <c r="Q444" s="1323"/>
      <c r="R444" s="1323"/>
      <c r="S444" s="1323"/>
      <c r="T444" s="1323"/>
      <c r="U444" s="1323"/>
      <c r="V444" s="1323"/>
      <c r="W444" s="1323"/>
      <c r="X444" s="1323"/>
      <c r="Y444" s="1323"/>
      <c r="Z444" s="1323"/>
      <c r="AA444" s="1287"/>
      <c r="AB444" s="1052"/>
      <c r="AC444" s="1051"/>
      <c r="AD444" s="1051"/>
      <c r="AE444" s="1051"/>
      <c r="AF444" s="1051"/>
      <c r="AG444" s="1051"/>
      <c r="AH444" s="1053"/>
      <c r="AI444" s="1053"/>
    </row>
    <row r="445" spans="1:59" ht="63" customHeight="1" x14ac:dyDescent="0.25">
      <c r="A445" s="1284">
        <v>9</v>
      </c>
      <c r="B445" s="1285"/>
      <c r="C445" s="1054" t="s">
        <v>1245</v>
      </c>
      <c r="D445" s="1286"/>
      <c r="E445" s="1286"/>
      <c r="F445" s="1286"/>
      <c r="G445" s="1322" t="s">
        <v>807</v>
      </c>
      <c r="H445" s="1322"/>
      <c r="I445" s="1322"/>
      <c r="J445" s="1322"/>
      <c r="K445" s="1322"/>
      <c r="L445" s="1322"/>
      <c r="M445" s="1323" t="s">
        <v>1246</v>
      </c>
      <c r="N445" s="1323"/>
      <c r="O445" s="1323"/>
      <c r="P445" s="1323"/>
      <c r="Q445" s="1323"/>
      <c r="R445" s="1323"/>
      <c r="S445" s="1323"/>
      <c r="T445" s="1323"/>
      <c r="U445" s="1323"/>
      <c r="V445" s="1323"/>
      <c r="W445" s="1323"/>
      <c r="X445" s="1323"/>
      <c r="Y445" s="1323"/>
      <c r="Z445" s="1323"/>
      <c r="AA445" s="1287"/>
      <c r="AB445" s="1052"/>
      <c r="AC445" s="1051"/>
      <c r="AD445" s="1051"/>
      <c r="AE445" s="1051"/>
      <c r="AF445" s="1051"/>
      <c r="AG445" s="1051"/>
      <c r="AH445" s="1053"/>
      <c r="AI445" s="1053"/>
    </row>
    <row r="446" spans="1:59" ht="45" customHeight="1" x14ac:dyDescent="0.25">
      <c r="A446" s="1284">
        <v>10</v>
      </c>
      <c r="B446" s="1285"/>
      <c r="C446" s="1054" t="s">
        <v>1247</v>
      </c>
      <c r="D446" s="1286"/>
      <c r="E446" s="1286"/>
      <c r="F446" s="1286"/>
      <c r="G446" s="1322" t="s">
        <v>807</v>
      </c>
      <c r="H446" s="1322"/>
      <c r="I446" s="1322"/>
      <c r="J446" s="1322"/>
      <c r="K446" s="1322"/>
      <c r="L446" s="1322"/>
      <c r="M446" s="1323" t="s">
        <v>1248</v>
      </c>
      <c r="N446" s="1323"/>
      <c r="O446" s="1323"/>
      <c r="P446" s="1323"/>
      <c r="Q446" s="1323"/>
      <c r="R446" s="1323"/>
      <c r="S446" s="1323"/>
      <c r="T446" s="1323"/>
      <c r="U446" s="1323"/>
      <c r="V446" s="1323"/>
      <c r="W446" s="1323"/>
      <c r="X446" s="1323"/>
      <c r="Y446" s="1323"/>
      <c r="Z446" s="1323"/>
      <c r="AA446" s="1287"/>
      <c r="AB446" s="1052"/>
      <c r="AC446" s="1051"/>
      <c r="AD446" s="1051"/>
      <c r="AE446" s="1051"/>
      <c r="AF446" s="1051"/>
      <c r="AG446" s="1051"/>
      <c r="AH446" s="1053"/>
      <c r="AI446" s="1053"/>
    </row>
    <row r="447" spans="1:59" ht="45" customHeight="1" x14ac:dyDescent="0.25">
      <c r="A447" s="1284">
        <v>11</v>
      </c>
      <c r="B447" s="1285"/>
      <c r="C447" s="1054" t="s">
        <v>1249</v>
      </c>
      <c r="D447" s="1286"/>
      <c r="E447" s="1286"/>
      <c r="F447" s="1286"/>
      <c r="G447" s="1322" t="s">
        <v>807</v>
      </c>
      <c r="H447" s="1322"/>
      <c r="I447" s="1322"/>
      <c r="J447" s="1322"/>
      <c r="K447" s="1322"/>
      <c r="L447" s="1322"/>
      <c r="M447" s="1323" t="s">
        <v>1250</v>
      </c>
      <c r="N447" s="1323"/>
      <c r="O447" s="1323"/>
      <c r="P447" s="1323"/>
      <c r="Q447" s="1323"/>
      <c r="R447" s="1323"/>
      <c r="S447" s="1323"/>
      <c r="T447" s="1323"/>
      <c r="U447" s="1323"/>
      <c r="V447" s="1323"/>
      <c r="W447" s="1323"/>
      <c r="X447" s="1323"/>
      <c r="Y447" s="1323"/>
      <c r="Z447" s="1323"/>
      <c r="AA447" s="1287"/>
      <c r="AB447" s="1052"/>
      <c r="AC447" s="1051"/>
      <c r="AD447" s="1051"/>
      <c r="AE447" s="1051"/>
      <c r="AF447" s="1051"/>
      <c r="AG447" s="1051"/>
      <c r="AH447" s="1053"/>
      <c r="AI447" s="1053"/>
    </row>
    <row r="448" spans="1:59" ht="45" customHeight="1" x14ac:dyDescent="0.25">
      <c r="A448" s="1284">
        <v>12</v>
      </c>
      <c r="B448" s="1285"/>
      <c r="C448" s="1054" t="s">
        <v>1251</v>
      </c>
      <c r="D448" s="1286"/>
      <c r="E448" s="1286"/>
      <c r="F448" s="1286"/>
      <c r="G448" s="1322" t="s">
        <v>807</v>
      </c>
      <c r="H448" s="1322"/>
      <c r="I448" s="1322"/>
      <c r="J448" s="1322"/>
      <c r="K448" s="1322"/>
      <c r="L448" s="1322"/>
      <c r="M448" s="1323" t="s">
        <v>1252</v>
      </c>
      <c r="N448" s="1323"/>
      <c r="O448" s="1323"/>
      <c r="P448" s="1323"/>
      <c r="Q448" s="1323"/>
      <c r="R448" s="1323"/>
      <c r="S448" s="1323"/>
      <c r="T448" s="1323"/>
      <c r="U448" s="1323"/>
      <c r="V448" s="1323"/>
      <c r="W448" s="1323"/>
      <c r="X448" s="1323"/>
      <c r="Y448" s="1323"/>
      <c r="Z448" s="1323"/>
      <c r="AA448" s="1287"/>
      <c r="AB448" s="1052"/>
      <c r="AC448" s="1051"/>
      <c r="AD448" s="1051"/>
      <c r="AE448" s="1051"/>
      <c r="AF448" s="1051"/>
      <c r="AG448" s="1051"/>
      <c r="AH448" s="1053"/>
      <c r="AI448" s="1053"/>
    </row>
    <row r="449" spans="1:35" ht="45" customHeight="1" x14ac:dyDescent="0.25">
      <c r="A449" s="1284">
        <v>13</v>
      </c>
      <c r="B449" s="1285"/>
      <c r="C449" s="1054" t="s">
        <v>1253</v>
      </c>
      <c r="D449" s="1286"/>
      <c r="E449" s="1286"/>
      <c r="F449" s="1286"/>
      <c r="G449" s="1322" t="s">
        <v>807</v>
      </c>
      <c r="H449" s="1322"/>
      <c r="I449" s="1322"/>
      <c r="J449" s="1322"/>
      <c r="K449" s="1322"/>
      <c r="L449" s="1322"/>
      <c r="M449" s="1323" t="s">
        <v>1254</v>
      </c>
      <c r="N449" s="1323"/>
      <c r="O449" s="1323"/>
      <c r="P449" s="1323"/>
      <c r="Q449" s="1323"/>
      <c r="R449" s="1323"/>
      <c r="S449" s="1323"/>
      <c r="T449" s="1323"/>
      <c r="U449" s="1323"/>
      <c r="V449" s="1323"/>
      <c r="W449" s="1323"/>
      <c r="X449" s="1323"/>
      <c r="Y449" s="1323"/>
      <c r="Z449" s="1323"/>
      <c r="AA449" s="1287"/>
      <c r="AB449" s="1052"/>
      <c r="AC449" s="1051"/>
      <c r="AD449" s="1051"/>
      <c r="AE449" s="1051"/>
      <c r="AF449" s="1051"/>
      <c r="AG449" s="1051"/>
      <c r="AH449" s="1053"/>
      <c r="AI449" s="1053"/>
    </row>
    <row r="450" spans="1:35" ht="45" customHeight="1" x14ac:dyDescent="0.25">
      <c r="A450" s="1284">
        <v>14</v>
      </c>
      <c r="B450" s="1285"/>
      <c r="C450" s="1054" t="s">
        <v>1255</v>
      </c>
      <c r="D450" s="1286"/>
      <c r="E450" s="1286"/>
      <c r="F450" s="1286"/>
      <c r="G450" s="1322" t="s">
        <v>807</v>
      </c>
      <c r="H450" s="1322"/>
      <c r="I450" s="1322"/>
      <c r="J450" s="1322"/>
      <c r="K450" s="1322"/>
      <c r="L450" s="1322"/>
      <c r="M450" s="1323" t="s">
        <v>1256</v>
      </c>
      <c r="N450" s="1323"/>
      <c r="O450" s="1323"/>
      <c r="P450" s="1323"/>
      <c r="Q450" s="1323"/>
      <c r="R450" s="1323"/>
      <c r="S450" s="1323"/>
      <c r="T450" s="1323"/>
      <c r="U450" s="1323"/>
      <c r="V450" s="1323"/>
      <c r="W450" s="1323"/>
      <c r="X450" s="1323"/>
      <c r="Y450" s="1323"/>
      <c r="Z450" s="1323"/>
      <c r="AA450" s="1287"/>
      <c r="AB450" s="1052"/>
      <c r="AC450" s="1051"/>
      <c r="AD450" s="1051"/>
      <c r="AE450" s="1051"/>
      <c r="AF450" s="1051"/>
      <c r="AG450" s="1051"/>
      <c r="AH450" s="1053"/>
      <c r="AI450" s="1053"/>
    </row>
    <row r="451" spans="1:35" ht="45" customHeight="1" x14ac:dyDescent="0.25">
      <c r="A451" s="1284">
        <v>15</v>
      </c>
      <c r="B451" s="1285"/>
      <c r="C451" s="1054" t="s">
        <v>1257</v>
      </c>
      <c r="D451" s="1286"/>
      <c r="E451" s="1286"/>
      <c r="F451" s="1286"/>
      <c r="G451" s="1322" t="s">
        <v>791</v>
      </c>
      <c r="H451" s="1322"/>
      <c r="I451" s="1322"/>
      <c r="J451" s="1322"/>
      <c r="K451" s="1322"/>
      <c r="L451" s="1322"/>
      <c r="M451" s="1323" t="s">
        <v>1258</v>
      </c>
      <c r="N451" s="1323"/>
      <c r="O451" s="1323"/>
      <c r="P451" s="1323"/>
      <c r="Q451" s="1323"/>
      <c r="R451" s="1323"/>
      <c r="S451" s="1323"/>
      <c r="T451" s="1323"/>
      <c r="U451" s="1323"/>
      <c r="V451" s="1323"/>
      <c r="W451" s="1323"/>
      <c r="X451" s="1323"/>
      <c r="Y451" s="1323"/>
      <c r="Z451" s="1323"/>
      <c r="AA451" s="1287"/>
      <c r="AB451" s="1052"/>
      <c r="AC451" s="1051"/>
      <c r="AD451" s="1051"/>
      <c r="AE451" s="1051"/>
      <c r="AF451" s="1051"/>
      <c r="AG451" s="1051"/>
      <c r="AH451" s="1053"/>
      <c r="AI451" s="1053"/>
    </row>
    <row r="452" spans="1:35" ht="45" customHeight="1" x14ac:dyDescent="0.25">
      <c r="A452" s="1284">
        <v>16</v>
      </c>
      <c r="B452" s="1285"/>
      <c r="C452" s="1054" t="s">
        <v>1259</v>
      </c>
      <c r="D452" s="1286"/>
      <c r="E452" s="1286"/>
      <c r="F452" s="1286"/>
      <c r="G452" s="1322" t="s">
        <v>791</v>
      </c>
      <c r="H452" s="1322"/>
      <c r="I452" s="1322"/>
      <c r="J452" s="1322"/>
      <c r="K452" s="1322"/>
      <c r="L452" s="1322"/>
      <c r="M452" s="1323" t="s">
        <v>1260</v>
      </c>
      <c r="N452" s="1323"/>
      <c r="O452" s="1323"/>
      <c r="P452" s="1323"/>
      <c r="Q452" s="1323"/>
      <c r="R452" s="1323"/>
      <c r="S452" s="1323"/>
      <c r="T452" s="1323"/>
      <c r="U452" s="1323"/>
      <c r="V452" s="1323"/>
      <c r="W452" s="1323"/>
      <c r="X452" s="1323"/>
      <c r="Y452" s="1323"/>
      <c r="Z452" s="1323"/>
      <c r="AA452" s="1287"/>
      <c r="AB452" s="1052"/>
      <c r="AC452" s="1051"/>
      <c r="AD452" s="1051"/>
      <c r="AE452" s="1051"/>
      <c r="AF452" s="1051"/>
      <c r="AG452" s="1051"/>
      <c r="AH452" s="1053"/>
      <c r="AI452" s="1053"/>
    </row>
    <row r="453" spans="1:35" ht="81.75" customHeight="1" x14ac:dyDescent="0.25">
      <c r="A453" s="1284">
        <v>17</v>
      </c>
      <c r="B453" s="1285"/>
      <c r="C453" s="1288" t="s">
        <v>1261</v>
      </c>
      <c r="D453" s="1286"/>
      <c r="E453" s="1286"/>
      <c r="F453" s="1286"/>
      <c r="G453" s="1322" t="s">
        <v>791</v>
      </c>
      <c r="H453" s="1322"/>
      <c r="I453" s="1322"/>
      <c r="J453" s="1322"/>
      <c r="K453" s="1322"/>
      <c r="L453" s="1322"/>
      <c r="M453" s="1323" t="s">
        <v>1262</v>
      </c>
      <c r="N453" s="1323"/>
      <c r="O453" s="1323"/>
      <c r="P453" s="1323"/>
      <c r="Q453" s="1323"/>
      <c r="R453" s="1323"/>
      <c r="S453" s="1323"/>
      <c r="T453" s="1323"/>
      <c r="U453" s="1323"/>
      <c r="V453" s="1323"/>
      <c r="W453" s="1323"/>
      <c r="X453" s="1323"/>
      <c r="Y453" s="1323"/>
      <c r="Z453" s="1323"/>
      <c r="AA453" s="1287"/>
      <c r="AB453" s="1052"/>
      <c r="AC453" s="1051"/>
      <c r="AD453" s="1051"/>
      <c r="AE453" s="1051"/>
      <c r="AF453" s="1051"/>
      <c r="AG453" s="1051"/>
      <c r="AH453" s="1053"/>
      <c r="AI453" s="1053"/>
    </row>
    <row r="454" spans="1:35" ht="62.25" customHeight="1" x14ac:dyDescent="0.25">
      <c r="A454" s="1284">
        <v>18</v>
      </c>
      <c r="B454" s="1285"/>
      <c r="C454" s="1288" t="s">
        <v>1263</v>
      </c>
      <c r="D454" s="1286"/>
      <c r="E454" s="1286"/>
      <c r="F454" s="1286"/>
      <c r="G454" s="1322" t="s">
        <v>791</v>
      </c>
      <c r="H454" s="1322"/>
      <c r="I454" s="1322"/>
      <c r="J454" s="1322"/>
      <c r="K454" s="1322"/>
      <c r="L454" s="1322"/>
      <c r="M454" s="1323" t="s">
        <v>1264</v>
      </c>
      <c r="N454" s="1323"/>
      <c r="O454" s="1323"/>
      <c r="P454" s="1323"/>
      <c r="Q454" s="1323"/>
      <c r="R454" s="1323"/>
      <c r="S454" s="1323"/>
      <c r="T454" s="1323"/>
      <c r="U454" s="1323"/>
      <c r="V454" s="1323"/>
      <c r="W454" s="1323"/>
      <c r="X454" s="1323"/>
      <c r="Y454" s="1323"/>
      <c r="Z454" s="1323"/>
      <c r="AA454" s="1287"/>
      <c r="AB454" s="1052"/>
      <c r="AC454" s="1051"/>
      <c r="AD454" s="1051"/>
      <c r="AE454" s="1051"/>
      <c r="AF454" s="1051"/>
      <c r="AG454" s="1051"/>
      <c r="AH454" s="1053"/>
      <c r="AI454" s="1053"/>
    </row>
    <row r="455" spans="1:35" ht="45" customHeight="1" x14ac:dyDescent="0.25">
      <c r="A455" s="1284">
        <v>19</v>
      </c>
      <c r="B455" s="1285"/>
      <c r="C455" s="1054" t="s">
        <v>1265</v>
      </c>
      <c r="D455" s="1286"/>
      <c r="E455" s="1286"/>
      <c r="F455" s="1286"/>
      <c r="G455" s="1322" t="s">
        <v>791</v>
      </c>
      <c r="H455" s="1322"/>
      <c r="I455" s="1322"/>
      <c r="J455" s="1322"/>
      <c r="K455" s="1322"/>
      <c r="L455" s="1322"/>
      <c r="M455" s="1323" t="s">
        <v>1266</v>
      </c>
      <c r="N455" s="1323"/>
      <c r="O455" s="1323"/>
      <c r="P455" s="1323"/>
      <c r="Q455" s="1323"/>
      <c r="R455" s="1323"/>
      <c r="S455" s="1323"/>
      <c r="T455" s="1323"/>
      <c r="U455" s="1323"/>
      <c r="V455" s="1323"/>
      <c r="W455" s="1323"/>
      <c r="X455" s="1323"/>
      <c r="Y455" s="1323"/>
      <c r="Z455" s="1323"/>
      <c r="AA455" s="1287"/>
      <c r="AB455" s="1052"/>
      <c r="AC455" s="1051"/>
      <c r="AD455" s="1051"/>
      <c r="AE455" s="1051"/>
      <c r="AF455" s="1051"/>
      <c r="AG455" s="1051"/>
      <c r="AH455" s="1053"/>
      <c r="AI455" s="1053"/>
    </row>
    <row r="456" spans="1:35" ht="55.5" customHeight="1" x14ac:dyDescent="0.25">
      <c r="A456" s="1284">
        <v>20</v>
      </c>
      <c r="B456" s="1285"/>
      <c r="C456" s="1288" t="s">
        <v>1267</v>
      </c>
      <c r="D456" s="1286"/>
      <c r="E456" s="1286"/>
      <c r="F456" s="1286"/>
      <c r="G456" s="1322" t="s">
        <v>791</v>
      </c>
      <c r="H456" s="1322"/>
      <c r="I456" s="1322"/>
      <c r="J456" s="1322"/>
      <c r="K456" s="1322"/>
      <c r="L456" s="1322"/>
      <c r="M456" s="1323" t="s">
        <v>1268</v>
      </c>
      <c r="N456" s="1323"/>
      <c r="O456" s="1323"/>
      <c r="P456" s="1323"/>
      <c r="Q456" s="1323"/>
      <c r="R456" s="1323"/>
      <c r="S456" s="1323"/>
      <c r="T456" s="1323"/>
      <c r="U456" s="1323"/>
      <c r="V456" s="1323"/>
      <c r="W456" s="1323"/>
      <c r="X456" s="1323"/>
      <c r="Y456" s="1323"/>
      <c r="Z456" s="1323"/>
      <c r="AA456" s="1287"/>
      <c r="AB456" s="1052"/>
      <c r="AC456" s="1051"/>
      <c r="AD456" s="1051"/>
      <c r="AE456" s="1051"/>
      <c r="AF456" s="1051"/>
      <c r="AG456" s="1051"/>
      <c r="AH456" s="1053"/>
      <c r="AI456" s="1053"/>
    </row>
    <row r="457" spans="1:35" ht="55.5" customHeight="1" x14ac:dyDescent="0.25">
      <c r="A457" s="1284">
        <v>21</v>
      </c>
      <c r="B457" s="1285"/>
      <c r="C457" s="1288" t="s">
        <v>1269</v>
      </c>
      <c r="D457" s="1286"/>
      <c r="E457" s="1286"/>
      <c r="F457" s="1286"/>
      <c r="G457" s="1322" t="s">
        <v>1098</v>
      </c>
      <c r="H457" s="1322"/>
      <c r="I457" s="1322"/>
      <c r="J457" s="1322"/>
      <c r="K457" s="1322"/>
      <c r="L457" s="1322"/>
      <c r="M457" s="1323" t="s">
        <v>1270</v>
      </c>
      <c r="N457" s="1323"/>
      <c r="O457" s="1323"/>
      <c r="P457" s="1323"/>
      <c r="Q457" s="1323"/>
      <c r="R457" s="1323"/>
      <c r="S457" s="1323"/>
      <c r="T457" s="1323"/>
      <c r="U457" s="1323"/>
      <c r="V457" s="1323"/>
      <c r="W457" s="1323"/>
      <c r="X457" s="1323"/>
      <c r="Y457" s="1323"/>
      <c r="Z457" s="1323"/>
      <c r="AA457" s="1287"/>
      <c r="AB457" s="1052"/>
      <c r="AC457" s="1051"/>
      <c r="AD457" s="1051"/>
      <c r="AE457" s="1051"/>
      <c r="AF457" s="1051"/>
      <c r="AG457" s="1051"/>
      <c r="AH457" s="1053"/>
      <c r="AI457" s="1053"/>
    </row>
    <row r="458" spans="1:35" ht="62.25" customHeight="1" x14ac:dyDescent="0.25">
      <c r="A458" s="1284">
        <v>22</v>
      </c>
      <c r="B458" s="1285"/>
      <c r="C458" s="1288" t="s">
        <v>1271</v>
      </c>
      <c r="D458" s="1286"/>
      <c r="E458" s="1286"/>
      <c r="F458" s="1286"/>
      <c r="G458" s="1322" t="s">
        <v>1098</v>
      </c>
      <c r="H458" s="1322"/>
      <c r="I458" s="1322"/>
      <c r="J458" s="1322"/>
      <c r="K458" s="1322"/>
      <c r="L458" s="1322"/>
      <c r="M458" s="1323" t="s">
        <v>1272</v>
      </c>
      <c r="N458" s="1323"/>
      <c r="O458" s="1323"/>
      <c r="P458" s="1323"/>
      <c r="Q458" s="1323"/>
      <c r="R458" s="1323"/>
      <c r="S458" s="1323"/>
      <c r="T458" s="1323"/>
      <c r="U458" s="1323"/>
      <c r="V458" s="1323"/>
      <c r="W458" s="1323"/>
      <c r="X458" s="1323"/>
      <c r="Y458" s="1323"/>
      <c r="Z458" s="1323"/>
      <c r="AA458" s="1287"/>
      <c r="AB458" s="1052"/>
      <c r="AC458" s="1051"/>
      <c r="AD458" s="1051"/>
      <c r="AE458" s="1051"/>
      <c r="AF458" s="1051"/>
      <c r="AG458" s="1051"/>
      <c r="AH458" s="1053"/>
      <c r="AI458" s="1053"/>
    </row>
    <row r="459" spans="1:35" x14ac:dyDescent="0.25">
      <c r="Q459" s="59"/>
      <c r="AB459" s="1055"/>
      <c r="AC459" s="1055"/>
    </row>
    <row r="460" spans="1:35" x14ac:dyDescent="0.25">
      <c r="Q460" s="59"/>
      <c r="AB460" s="1055"/>
      <c r="AC460" s="1055"/>
    </row>
    <row r="461" spans="1:35" x14ac:dyDescent="0.25">
      <c r="Q461" s="59"/>
      <c r="AB461" s="1055"/>
      <c r="AC461" s="1055"/>
    </row>
    <row r="462" spans="1:35" x14ac:dyDescent="0.25">
      <c r="Q462" s="59"/>
      <c r="AB462" s="1055"/>
      <c r="AC462" s="1055"/>
    </row>
    <row r="463" spans="1:35" x14ac:dyDescent="0.25">
      <c r="Q463" s="59"/>
      <c r="AB463" s="1055"/>
      <c r="AC463" s="1055"/>
    </row>
    <row r="464" spans="1:35" x14ac:dyDescent="0.25">
      <c r="Q464" s="59"/>
      <c r="AB464" s="1055"/>
      <c r="AC464" s="1055"/>
    </row>
    <row r="465" spans="17:29" x14ac:dyDescent="0.25">
      <c r="Q465" s="59"/>
      <c r="AB465" s="1055"/>
      <c r="AC465" s="1055"/>
    </row>
    <row r="466" spans="17:29" x14ac:dyDescent="0.25">
      <c r="Q466" s="59"/>
      <c r="AB466" s="1055"/>
      <c r="AC466" s="1055"/>
    </row>
    <row r="467" spans="17:29" x14ac:dyDescent="0.25">
      <c r="Q467" s="59"/>
      <c r="AB467" s="1055"/>
      <c r="AC467" s="1055"/>
    </row>
    <row r="468" spans="17:29" x14ac:dyDescent="0.25">
      <c r="Q468" s="59"/>
      <c r="AB468" s="1055"/>
      <c r="AC468" s="1055"/>
    </row>
    <row r="469" spans="17:29" x14ac:dyDescent="0.25">
      <c r="Q469" s="59"/>
      <c r="AB469" s="1055"/>
      <c r="AC469" s="1055"/>
    </row>
    <row r="470" spans="17:29" x14ac:dyDescent="0.25">
      <c r="Q470" s="59"/>
      <c r="AB470" s="1055"/>
      <c r="AC470" s="1055"/>
    </row>
    <row r="471" spans="17:29" x14ac:dyDescent="0.25">
      <c r="Q471" s="59"/>
      <c r="AB471" s="1055"/>
      <c r="AC471" s="1055"/>
    </row>
    <row r="472" spans="17:29" x14ac:dyDescent="0.25">
      <c r="Q472" s="59"/>
      <c r="AB472" s="1055"/>
      <c r="AC472" s="1055"/>
    </row>
    <row r="473" spans="17:29" x14ac:dyDescent="0.25">
      <c r="Q473" s="59"/>
      <c r="AB473" s="1055"/>
      <c r="AC473" s="1055"/>
    </row>
    <row r="474" spans="17:29" x14ac:dyDescent="0.25">
      <c r="Q474" s="59"/>
      <c r="AB474" s="1055"/>
      <c r="AC474" s="1055"/>
    </row>
    <row r="475" spans="17:29" x14ac:dyDescent="0.25">
      <c r="Q475" s="59"/>
      <c r="AB475" s="1055"/>
      <c r="AC475" s="1055"/>
    </row>
    <row r="476" spans="17:29" x14ac:dyDescent="0.25">
      <c r="Q476" s="59"/>
      <c r="AB476" s="1055"/>
      <c r="AC476" s="1055"/>
    </row>
    <row r="477" spans="17:29" x14ac:dyDescent="0.25">
      <c r="Q477" s="59"/>
      <c r="AB477" s="1055"/>
      <c r="AC477" s="1055"/>
    </row>
    <row r="478" spans="17:29" x14ac:dyDescent="0.25">
      <c r="Q478" s="59"/>
      <c r="AB478" s="1055"/>
      <c r="AC478" s="1055"/>
    </row>
    <row r="479" spans="17:29" x14ac:dyDescent="0.25">
      <c r="Q479" s="59"/>
      <c r="AB479" s="1055"/>
      <c r="AC479" s="1055"/>
    </row>
    <row r="480" spans="17:29" x14ac:dyDescent="0.25">
      <c r="Q480" s="59"/>
      <c r="AB480" s="1055"/>
      <c r="AC480" s="1055"/>
    </row>
    <row r="481" spans="17:29" x14ac:dyDescent="0.25">
      <c r="Q481" s="59"/>
      <c r="AB481" s="1055"/>
      <c r="AC481" s="1055"/>
    </row>
    <row r="482" spans="17:29" x14ac:dyDescent="0.25">
      <c r="Q482" s="59"/>
      <c r="AB482" s="1055"/>
      <c r="AC482" s="1055"/>
    </row>
    <row r="483" spans="17:29" x14ac:dyDescent="0.25">
      <c r="Q483" s="59"/>
      <c r="AB483" s="1055"/>
      <c r="AC483" s="1055"/>
    </row>
    <row r="484" spans="17:29" x14ac:dyDescent="0.25">
      <c r="Q484" s="59"/>
      <c r="AB484" s="1055"/>
      <c r="AC484" s="1055"/>
    </row>
    <row r="485" spans="17:29" x14ac:dyDescent="0.25">
      <c r="Q485" s="59"/>
      <c r="AB485" s="1055"/>
      <c r="AC485" s="1055"/>
    </row>
    <row r="486" spans="17:29" x14ac:dyDescent="0.25">
      <c r="Q486" s="59"/>
    </row>
    <row r="487" spans="17:29" x14ac:dyDescent="0.25">
      <c r="Q487" s="59"/>
    </row>
    <row r="488" spans="17:29" x14ac:dyDescent="0.25">
      <c r="Q488" s="59"/>
    </row>
    <row r="489" spans="17:29" x14ac:dyDescent="0.25">
      <c r="Q489" s="59"/>
    </row>
    <row r="490" spans="17:29" x14ac:dyDescent="0.25">
      <c r="Q490" s="59"/>
    </row>
    <row r="491" spans="17:29" x14ac:dyDescent="0.25">
      <c r="Q491" s="59"/>
    </row>
    <row r="492" spans="17:29" x14ac:dyDescent="0.25">
      <c r="Q492" s="59"/>
    </row>
    <row r="493" spans="17:29" x14ac:dyDescent="0.25">
      <c r="Q493" s="59"/>
    </row>
    <row r="494" spans="17:29" x14ac:dyDescent="0.25">
      <c r="Q494" s="59"/>
    </row>
    <row r="495" spans="17:29" x14ac:dyDescent="0.25">
      <c r="Q495" s="59"/>
    </row>
    <row r="496" spans="17:29" x14ac:dyDescent="0.25">
      <c r="Q496" s="59"/>
    </row>
    <row r="497" spans="17:17" x14ac:dyDescent="0.25">
      <c r="Q497" s="59"/>
    </row>
    <row r="498" spans="17:17" x14ac:dyDescent="0.25">
      <c r="Q498" s="59"/>
    </row>
    <row r="499" spans="17:17" x14ac:dyDescent="0.25">
      <c r="Q499" s="59"/>
    </row>
    <row r="500" spans="17:17" x14ac:dyDescent="0.25">
      <c r="Q500" s="59"/>
    </row>
    <row r="501" spans="17:17" x14ac:dyDescent="0.25">
      <c r="Q501" s="59"/>
    </row>
    <row r="502" spans="17:17" x14ac:dyDescent="0.25">
      <c r="Q502" s="59"/>
    </row>
    <row r="503" spans="17:17" x14ac:dyDescent="0.25">
      <c r="Q503" s="59"/>
    </row>
    <row r="504" spans="17:17" x14ac:dyDescent="0.25">
      <c r="Q504" s="59"/>
    </row>
    <row r="505" spans="17:17" x14ac:dyDescent="0.25">
      <c r="Q505" s="59"/>
    </row>
    <row r="506" spans="17:17" x14ac:dyDescent="0.25">
      <c r="Q506" s="59"/>
    </row>
    <row r="507" spans="17:17" x14ac:dyDescent="0.25">
      <c r="Q507" s="59"/>
    </row>
    <row r="508" spans="17:17" x14ac:dyDescent="0.25">
      <c r="Q508" s="59"/>
    </row>
    <row r="509" spans="17:17" x14ac:dyDescent="0.25">
      <c r="Q509" s="59"/>
    </row>
    <row r="510" spans="17:17" x14ac:dyDescent="0.25">
      <c r="Q510" s="59"/>
    </row>
    <row r="511" spans="17:17" x14ac:dyDescent="0.25">
      <c r="Q511" s="59"/>
    </row>
    <row r="512" spans="17:17" x14ac:dyDescent="0.25">
      <c r="Q512" s="59"/>
    </row>
    <row r="513" spans="17:17" x14ac:dyDescent="0.25">
      <c r="Q513" s="59"/>
    </row>
    <row r="514" spans="17:17" x14ac:dyDescent="0.25">
      <c r="Q514" s="59"/>
    </row>
    <row r="515" spans="17:17" x14ac:dyDescent="0.25">
      <c r="Q515" s="59"/>
    </row>
    <row r="516" spans="17:17" x14ac:dyDescent="0.25">
      <c r="Q516" s="59"/>
    </row>
    <row r="517" spans="17:17" x14ac:dyDescent="0.25">
      <c r="Q517" s="59"/>
    </row>
    <row r="518" spans="17:17" x14ac:dyDescent="0.25">
      <c r="Q518" s="59"/>
    </row>
    <row r="519" spans="17:17" x14ac:dyDescent="0.25">
      <c r="Q519" s="59"/>
    </row>
    <row r="520" spans="17:17" x14ac:dyDescent="0.25">
      <c r="Q520" s="59"/>
    </row>
    <row r="521" spans="17:17" x14ac:dyDescent="0.25">
      <c r="Q521" s="59"/>
    </row>
    <row r="522" spans="17:17" x14ac:dyDescent="0.25">
      <c r="Q522" s="59"/>
    </row>
    <row r="523" spans="17:17" x14ac:dyDescent="0.25">
      <c r="Q523" s="59"/>
    </row>
    <row r="524" spans="17:17" x14ac:dyDescent="0.25">
      <c r="Q524" s="59"/>
    </row>
    <row r="525" spans="17:17" x14ac:dyDescent="0.25">
      <c r="Q525" s="59"/>
    </row>
    <row r="526" spans="17:17" x14ac:dyDescent="0.25">
      <c r="Q526" s="59"/>
    </row>
    <row r="527" spans="17:17" x14ac:dyDescent="0.25">
      <c r="Q527" s="59"/>
    </row>
    <row r="528" spans="17:17" x14ac:dyDescent="0.25">
      <c r="Q528" s="59"/>
    </row>
    <row r="529" spans="17:17" x14ac:dyDescent="0.25">
      <c r="Q529" s="59"/>
    </row>
    <row r="530" spans="17:17" x14ac:dyDescent="0.25">
      <c r="Q530" s="59"/>
    </row>
    <row r="531" spans="17:17" x14ac:dyDescent="0.25">
      <c r="Q531" s="59"/>
    </row>
    <row r="532" spans="17:17" x14ac:dyDescent="0.25">
      <c r="Q532" s="59"/>
    </row>
    <row r="533" spans="17:17" x14ac:dyDescent="0.25">
      <c r="Q533" s="59"/>
    </row>
    <row r="534" spans="17:17" x14ac:dyDescent="0.25">
      <c r="Q534" s="59"/>
    </row>
    <row r="535" spans="17:17" x14ac:dyDescent="0.25">
      <c r="Q535" s="59"/>
    </row>
    <row r="536" spans="17:17" x14ac:dyDescent="0.25">
      <c r="Q536" s="59"/>
    </row>
    <row r="537" spans="17:17" x14ac:dyDescent="0.25">
      <c r="Q537" s="59"/>
    </row>
    <row r="538" spans="17:17" x14ac:dyDescent="0.25">
      <c r="Q538" s="59"/>
    </row>
    <row r="539" spans="17:17" x14ac:dyDescent="0.25">
      <c r="Q539" s="59"/>
    </row>
    <row r="540" spans="17:17" x14ac:dyDescent="0.25">
      <c r="Q540" s="59"/>
    </row>
    <row r="541" spans="17:17" x14ac:dyDescent="0.25">
      <c r="Q541" s="59"/>
    </row>
    <row r="542" spans="17:17" x14ac:dyDescent="0.25">
      <c r="Q542" s="59"/>
    </row>
    <row r="543" spans="17:17" x14ac:dyDescent="0.25">
      <c r="Q543" s="59"/>
    </row>
    <row r="544" spans="17:17" x14ac:dyDescent="0.25">
      <c r="Q544" s="59"/>
    </row>
    <row r="545" spans="17:17" x14ac:dyDescent="0.25">
      <c r="Q545" s="59"/>
    </row>
    <row r="546" spans="17:17" x14ac:dyDescent="0.25">
      <c r="Q546" s="59"/>
    </row>
    <row r="547" spans="17:17" x14ac:dyDescent="0.25">
      <c r="Q547" s="59"/>
    </row>
    <row r="548" spans="17:17" x14ac:dyDescent="0.25">
      <c r="Q548" s="59"/>
    </row>
    <row r="549" spans="17:17" x14ac:dyDescent="0.25">
      <c r="Q549" s="59"/>
    </row>
    <row r="550" spans="17:17" x14ac:dyDescent="0.25">
      <c r="Q550" s="59"/>
    </row>
    <row r="551" spans="17:17" x14ac:dyDescent="0.25">
      <c r="Q551" s="59"/>
    </row>
    <row r="552" spans="17:17" x14ac:dyDescent="0.25">
      <c r="Q552" s="59"/>
    </row>
    <row r="553" spans="17:17" x14ac:dyDescent="0.25">
      <c r="Q553" s="59"/>
    </row>
    <row r="554" spans="17:17" x14ac:dyDescent="0.25">
      <c r="Q554" s="59"/>
    </row>
    <row r="555" spans="17:17" x14ac:dyDescent="0.25">
      <c r="Q555" s="59"/>
    </row>
    <row r="556" spans="17:17" x14ac:dyDescent="0.25">
      <c r="Q556" s="59"/>
    </row>
    <row r="557" spans="17:17" x14ac:dyDescent="0.25">
      <c r="Q557" s="59"/>
    </row>
    <row r="558" spans="17:17" x14ac:dyDescent="0.25">
      <c r="Q558" s="59"/>
    </row>
    <row r="559" spans="17:17" x14ac:dyDescent="0.25">
      <c r="Q559" s="59"/>
    </row>
    <row r="560" spans="17:17" x14ac:dyDescent="0.25">
      <c r="Q560" s="59"/>
    </row>
    <row r="561" spans="17:17" x14ac:dyDescent="0.25">
      <c r="Q561" s="59"/>
    </row>
    <row r="562" spans="17:17" x14ac:dyDescent="0.25">
      <c r="Q562" s="59"/>
    </row>
    <row r="563" spans="17:17" x14ac:dyDescent="0.25">
      <c r="Q563" s="59"/>
    </row>
    <row r="564" spans="17:17" x14ac:dyDescent="0.25">
      <c r="Q564" s="59"/>
    </row>
    <row r="565" spans="17:17" x14ac:dyDescent="0.25">
      <c r="Q565" s="59"/>
    </row>
    <row r="566" spans="17:17" x14ac:dyDescent="0.25">
      <c r="Q566" s="59"/>
    </row>
    <row r="567" spans="17:17" x14ac:dyDescent="0.25">
      <c r="Q567" s="59"/>
    </row>
    <row r="568" spans="17:17" x14ac:dyDescent="0.25">
      <c r="Q568" s="59"/>
    </row>
    <row r="569" spans="17:17" x14ac:dyDescent="0.25">
      <c r="Q569" s="59"/>
    </row>
    <row r="570" spans="17:17" x14ac:dyDescent="0.25">
      <c r="Q570" s="59"/>
    </row>
    <row r="571" spans="17:17" x14ac:dyDescent="0.25">
      <c r="Q571" s="59"/>
    </row>
    <row r="572" spans="17:17" x14ac:dyDescent="0.25">
      <c r="Q572" s="59"/>
    </row>
    <row r="573" spans="17:17" x14ac:dyDescent="0.25">
      <c r="Q573" s="59"/>
    </row>
    <row r="574" spans="17:17" x14ac:dyDescent="0.25">
      <c r="Q574" s="59"/>
    </row>
    <row r="575" spans="17:17" x14ac:dyDescent="0.25">
      <c r="Q575" s="59"/>
    </row>
    <row r="576" spans="17:17" x14ac:dyDescent="0.25">
      <c r="Q576" s="59"/>
    </row>
    <row r="577" spans="17:17" x14ac:dyDescent="0.25">
      <c r="Q577" s="59"/>
    </row>
    <row r="578" spans="17:17" x14ac:dyDescent="0.25">
      <c r="Q578" s="59"/>
    </row>
    <row r="579" spans="17:17" x14ac:dyDescent="0.25">
      <c r="Q579" s="59"/>
    </row>
    <row r="580" spans="17:17" x14ac:dyDescent="0.25">
      <c r="Q580" s="59"/>
    </row>
    <row r="581" spans="17:17" x14ac:dyDescent="0.25">
      <c r="Q581" s="59"/>
    </row>
    <row r="582" spans="17:17" x14ac:dyDescent="0.25">
      <c r="Q582" s="59"/>
    </row>
    <row r="583" spans="17:17" x14ac:dyDescent="0.25">
      <c r="Q583" s="59"/>
    </row>
    <row r="584" spans="17:17" x14ac:dyDescent="0.25">
      <c r="Q584" s="59"/>
    </row>
    <row r="585" spans="17:17" x14ac:dyDescent="0.25">
      <c r="Q585" s="59"/>
    </row>
    <row r="586" spans="17:17" x14ac:dyDescent="0.25">
      <c r="Q586" s="59"/>
    </row>
    <row r="587" spans="17:17" x14ac:dyDescent="0.25">
      <c r="Q587" s="59"/>
    </row>
    <row r="588" spans="17:17" x14ac:dyDescent="0.25">
      <c r="Q588" s="59"/>
    </row>
    <row r="589" spans="17:17" x14ac:dyDescent="0.25">
      <c r="Q589" s="59"/>
    </row>
    <row r="590" spans="17:17" x14ac:dyDescent="0.25">
      <c r="Q590" s="59"/>
    </row>
    <row r="591" spans="17:17" x14ac:dyDescent="0.25">
      <c r="Q591" s="59"/>
    </row>
    <row r="592" spans="17:17" x14ac:dyDescent="0.25">
      <c r="Q592" s="59"/>
    </row>
    <row r="593" spans="17:17" x14ac:dyDescent="0.25">
      <c r="Q593" s="59"/>
    </row>
    <row r="594" spans="17:17" x14ac:dyDescent="0.25">
      <c r="Q594" s="59"/>
    </row>
    <row r="595" spans="17:17" x14ac:dyDescent="0.25">
      <c r="Q595" s="59"/>
    </row>
    <row r="596" spans="17:17" x14ac:dyDescent="0.25">
      <c r="Q596" s="59"/>
    </row>
    <row r="597" spans="17:17" x14ac:dyDescent="0.25">
      <c r="Q597" s="59"/>
    </row>
    <row r="598" spans="17:17" x14ac:dyDescent="0.25">
      <c r="Q598" s="59"/>
    </row>
    <row r="599" spans="17:17" x14ac:dyDescent="0.25">
      <c r="Q599" s="59"/>
    </row>
    <row r="600" spans="17:17" x14ac:dyDescent="0.25">
      <c r="Q600" s="59"/>
    </row>
    <row r="601" spans="17:17" x14ac:dyDescent="0.25">
      <c r="Q601" s="59"/>
    </row>
    <row r="602" spans="17:17" x14ac:dyDescent="0.25">
      <c r="Q602" s="59"/>
    </row>
    <row r="603" spans="17:17" x14ac:dyDescent="0.25">
      <c r="Q603" s="59"/>
    </row>
    <row r="604" spans="17:17" x14ac:dyDescent="0.25">
      <c r="Q604" s="59"/>
    </row>
    <row r="605" spans="17:17" x14ac:dyDescent="0.25">
      <c r="Q605" s="59"/>
    </row>
    <row r="606" spans="17:17" x14ac:dyDescent="0.25">
      <c r="Q606" s="59"/>
    </row>
    <row r="607" spans="17:17" x14ac:dyDescent="0.25">
      <c r="Q607" s="59"/>
    </row>
    <row r="608" spans="17:17" x14ac:dyDescent="0.25">
      <c r="Q608" s="59"/>
    </row>
    <row r="609" spans="17:17" x14ac:dyDescent="0.25">
      <c r="Q609" s="59"/>
    </row>
    <row r="610" spans="17:17" x14ac:dyDescent="0.25">
      <c r="Q610" s="59"/>
    </row>
    <row r="611" spans="17:17" x14ac:dyDescent="0.25">
      <c r="Q611" s="59"/>
    </row>
    <row r="612" spans="17:17" x14ac:dyDescent="0.25">
      <c r="Q612" s="59"/>
    </row>
    <row r="613" spans="17:17" x14ac:dyDescent="0.25">
      <c r="Q613" s="59"/>
    </row>
    <row r="614" spans="17:17" x14ac:dyDescent="0.25">
      <c r="Q614" s="59"/>
    </row>
    <row r="615" spans="17:17" x14ac:dyDescent="0.25">
      <c r="Q615" s="59"/>
    </row>
    <row r="616" spans="17:17" x14ac:dyDescent="0.25">
      <c r="Q616" s="59"/>
    </row>
    <row r="617" spans="17:17" x14ac:dyDescent="0.25">
      <c r="Q617" s="59"/>
    </row>
    <row r="618" spans="17:17" x14ac:dyDescent="0.25">
      <c r="Q618" s="59"/>
    </row>
    <row r="619" spans="17:17" x14ac:dyDescent="0.25">
      <c r="Q619" s="59"/>
    </row>
    <row r="620" spans="17:17" x14ac:dyDescent="0.25">
      <c r="Q620" s="59"/>
    </row>
    <row r="621" spans="17:17" x14ac:dyDescent="0.25">
      <c r="Q621" s="59"/>
    </row>
    <row r="622" spans="17:17" x14ac:dyDescent="0.25">
      <c r="Q622" s="59"/>
    </row>
    <row r="623" spans="17:17" x14ac:dyDescent="0.25">
      <c r="Q623" s="59"/>
    </row>
    <row r="624" spans="17:17" x14ac:dyDescent="0.25">
      <c r="Q624" s="59"/>
    </row>
    <row r="625" spans="17:17" x14ac:dyDescent="0.25">
      <c r="Q625" s="59"/>
    </row>
    <row r="626" spans="17:17" x14ac:dyDescent="0.25">
      <c r="Q626" s="59"/>
    </row>
    <row r="627" spans="17:17" x14ac:dyDescent="0.25">
      <c r="Q627" s="59"/>
    </row>
    <row r="628" spans="17:17" x14ac:dyDescent="0.25">
      <c r="Q628" s="59"/>
    </row>
    <row r="629" spans="17:17" x14ac:dyDescent="0.25">
      <c r="Q629" s="59"/>
    </row>
    <row r="630" spans="17:17" x14ac:dyDescent="0.25">
      <c r="Q630" s="59"/>
    </row>
    <row r="631" spans="17:17" x14ac:dyDescent="0.25">
      <c r="Q631" s="59"/>
    </row>
    <row r="632" spans="17:17" x14ac:dyDescent="0.25">
      <c r="Q632" s="59"/>
    </row>
    <row r="633" spans="17:17" x14ac:dyDescent="0.25">
      <c r="Q633" s="59"/>
    </row>
    <row r="634" spans="17:17" x14ac:dyDescent="0.25">
      <c r="Q634" s="59"/>
    </row>
    <row r="635" spans="17:17" x14ac:dyDescent="0.25">
      <c r="Q635" s="59"/>
    </row>
    <row r="636" spans="17:17" x14ac:dyDescent="0.25">
      <c r="Q636" s="59"/>
    </row>
    <row r="637" spans="17:17" x14ac:dyDescent="0.25">
      <c r="Q637" s="59"/>
    </row>
    <row r="638" spans="17:17" x14ac:dyDescent="0.25">
      <c r="Q638" s="59"/>
    </row>
    <row r="639" spans="17:17" x14ac:dyDescent="0.25">
      <c r="Q639" s="59"/>
    </row>
    <row r="640" spans="17:17" x14ac:dyDescent="0.25">
      <c r="Q640" s="59"/>
    </row>
    <row r="641" spans="17:17" x14ac:dyDescent="0.25">
      <c r="Q641" s="59"/>
    </row>
    <row r="642" spans="17:17" x14ac:dyDescent="0.25">
      <c r="Q642" s="59"/>
    </row>
    <row r="643" spans="17:17" x14ac:dyDescent="0.25">
      <c r="Q643" s="59"/>
    </row>
    <row r="644" spans="17:17" x14ac:dyDescent="0.25">
      <c r="Q644" s="59"/>
    </row>
    <row r="645" spans="17:17" x14ac:dyDescent="0.25">
      <c r="Q645" s="59"/>
    </row>
    <row r="646" spans="17:17" x14ac:dyDescent="0.25">
      <c r="Q646" s="59"/>
    </row>
    <row r="647" spans="17:17" x14ac:dyDescent="0.25">
      <c r="Q647" s="59"/>
    </row>
    <row r="648" spans="17:17" x14ac:dyDescent="0.25">
      <c r="Q648" s="59"/>
    </row>
    <row r="649" spans="17:17" x14ac:dyDescent="0.25">
      <c r="Q649" s="59"/>
    </row>
    <row r="650" spans="17:17" x14ac:dyDescent="0.25">
      <c r="Q650" s="59"/>
    </row>
    <row r="651" spans="17:17" x14ac:dyDescent="0.25">
      <c r="Q651" s="59"/>
    </row>
    <row r="652" spans="17:17" x14ac:dyDescent="0.25">
      <c r="Q652" s="59"/>
    </row>
    <row r="653" spans="17:17" x14ac:dyDescent="0.25">
      <c r="Q653" s="59"/>
    </row>
    <row r="654" spans="17:17" x14ac:dyDescent="0.25">
      <c r="Q654" s="59"/>
    </row>
    <row r="655" spans="17:17" x14ac:dyDescent="0.25">
      <c r="Q655" s="59"/>
    </row>
    <row r="656" spans="17:17" x14ac:dyDescent="0.25">
      <c r="Q656" s="59"/>
    </row>
    <row r="657" spans="17:17" x14ac:dyDescent="0.25">
      <c r="Q657" s="59"/>
    </row>
    <row r="658" spans="17:17" x14ac:dyDescent="0.25">
      <c r="Q658" s="59"/>
    </row>
    <row r="659" spans="17:17" x14ac:dyDescent="0.25">
      <c r="Q659" s="59"/>
    </row>
    <row r="660" spans="17:17" x14ac:dyDescent="0.25">
      <c r="Q660" s="59"/>
    </row>
    <row r="661" spans="17:17" x14ac:dyDescent="0.25">
      <c r="Q661" s="59"/>
    </row>
    <row r="662" spans="17:17" x14ac:dyDescent="0.25">
      <c r="Q662" s="59"/>
    </row>
    <row r="663" spans="17:17" x14ac:dyDescent="0.25">
      <c r="Q663" s="59"/>
    </row>
    <row r="664" spans="17:17" x14ac:dyDescent="0.25">
      <c r="Q664" s="59"/>
    </row>
    <row r="665" spans="17:17" x14ac:dyDescent="0.25">
      <c r="Q665" s="59"/>
    </row>
    <row r="666" spans="17:17" x14ac:dyDescent="0.25">
      <c r="Q666" s="59"/>
    </row>
    <row r="667" spans="17:17" x14ac:dyDescent="0.25">
      <c r="Q667" s="59"/>
    </row>
    <row r="668" spans="17:17" x14ac:dyDescent="0.25">
      <c r="Q668" s="59"/>
    </row>
    <row r="669" spans="17:17" x14ac:dyDescent="0.25">
      <c r="Q669" s="59"/>
    </row>
    <row r="670" spans="17:17" x14ac:dyDescent="0.25">
      <c r="Q670" s="59"/>
    </row>
    <row r="671" spans="17:17" x14ac:dyDescent="0.25">
      <c r="Q671" s="59"/>
    </row>
    <row r="672" spans="17:17" x14ac:dyDescent="0.25">
      <c r="Q672" s="59"/>
    </row>
    <row r="673" spans="17:17" x14ac:dyDescent="0.25">
      <c r="Q673" s="59"/>
    </row>
    <row r="674" spans="17:17" x14ac:dyDescent="0.25">
      <c r="Q674" s="59"/>
    </row>
    <row r="675" spans="17:17" x14ac:dyDescent="0.25">
      <c r="Q675" s="59"/>
    </row>
    <row r="676" spans="17:17" x14ac:dyDescent="0.25">
      <c r="Q676" s="59"/>
    </row>
    <row r="677" spans="17:17" x14ac:dyDescent="0.25">
      <c r="Q677" s="59"/>
    </row>
    <row r="678" spans="17:17" x14ac:dyDescent="0.25">
      <c r="Q678" s="59"/>
    </row>
    <row r="679" spans="17:17" x14ac:dyDescent="0.25">
      <c r="Q679" s="59"/>
    </row>
    <row r="680" spans="17:17" x14ac:dyDescent="0.25">
      <c r="Q680" s="59"/>
    </row>
    <row r="681" spans="17:17" x14ac:dyDescent="0.25">
      <c r="Q681" s="59"/>
    </row>
    <row r="682" spans="17:17" x14ac:dyDescent="0.25">
      <c r="Q682" s="59"/>
    </row>
    <row r="683" spans="17:17" x14ac:dyDescent="0.25">
      <c r="Q683" s="59"/>
    </row>
    <row r="684" spans="17:17" x14ac:dyDescent="0.25">
      <c r="Q684" s="59"/>
    </row>
    <row r="685" spans="17:17" x14ac:dyDescent="0.25">
      <c r="Q685" s="59"/>
    </row>
    <row r="686" spans="17:17" x14ac:dyDescent="0.25">
      <c r="Q686" s="59"/>
    </row>
    <row r="687" spans="17:17" x14ac:dyDescent="0.25">
      <c r="Q687" s="59"/>
    </row>
    <row r="688" spans="17:17" x14ac:dyDescent="0.25">
      <c r="Q688" s="59"/>
    </row>
    <row r="689" spans="17:17" x14ac:dyDescent="0.25">
      <c r="Q689" s="59"/>
    </row>
    <row r="690" spans="17:17" x14ac:dyDescent="0.25">
      <c r="Q690" s="59"/>
    </row>
    <row r="691" spans="17:17" x14ac:dyDescent="0.25">
      <c r="Q691" s="59"/>
    </row>
    <row r="692" spans="17:17" x14ac:dyDescent="0.25">
      <c r="Q692" s="59"/>
    </row>
    <row r="693" spans="17:17" x14ac:dyDescent="0.25">
      <c r="Q693" s="59"/>
    </row>
    <row r="694" spans="17:17" x14ac:dyDescent="0.25">
      <c r="Q694" s="59"/>
    </row>
    <row r="695" spans="17:17" x14ac:dyDescent="0.25">
      <c r="Q695" s="59"/>
    </row>
    <row r="696" spans="17:17" x14ac:dyDescent="0.25">
      <c r="Q696" s="59"/>
    </row>
    <row r="697" spans="17:17" x14ac:dyDescent="0.25">
      <c r="Q697" s="59"/>
    </row>
    <row r="698" spans="17:17" x14ac:dyDescent="0.25">
      <c r="Q698" s="59"/>
    </row>
    <row r="699" spans="17:17" x14ac:dyDescent="0.25">
      <c r="Q699" s="59"/>
    </row>
    <row r="700" spans="17:17" x14ac:dyDescent="0.25">
      <c r="Q700" s="59"/>
    </row>
    <row r="701" spans="17:17" x14ac:dyDescent="0.25">
      <c r="Q701" s="59"/>
    </row>
    <row r="702" spans="17:17" x14ac:dyDescent="0.25">
      <c r="Q702" s="59"/>
    </row>
    <row r="703" spans="17:17" x14ac:dyDescent="0.25">
      <c r="Q703" s="59"/>
    </row>
    <row r="704" spans="17:17" x14ac:dyDescent="0.25">
      <c r="Q704" s="59"/>
    </row>
    <row r="705" spans="17:17" x14ac:dyDescent="0.25">
      <c r="Q705" s="59"/>
    </row>
    <row r="706" spans="17:17" x14ac:dyDescent="0.25">
      <c r="Q706" s="59"/>
    </row>
    <row r="707" spans="17:17" x14ac:dyDescent="0.25">
      <c r="Q707" s="59"/>
    </row>
    <row r="708" spans="17:17" x14ac:dyDescent="0.25">
      <c r="Q708" s="59"/>
    </row>
    <row r="709" spans="17:17" x14ac:dyDescent="0.25">
      <c r="Q709" s="59"/>
    </row>
    <row r="710" spans="17:17" x14ac:dyDescent="0.25">
      <c r="Q710" s="59"/>
    </row>
    <row r="711" spans="17:17" x14ac:dyDescent="0.25">
      <c r="Q711" s="59"/>
    </row>
    <row r="712" spans="17:17" x14ac:dyDescent="0.25">
      <c r="Q712" s="59"/>
    </row>
    <row r="713" spans="17:17" x14ac:dyDescent="0.25">
      <c r="Q713" s="59"/>
    </row>
    <row r="714" spans="17:17" x14ac:dyDescent="0.25">
      <c r="Q714" s="59"/>
    </row>
    <row r="715" spans="17:17" x14ac:dyDescent="0.25">
      <c r="Q715" s="59"/>
    </row>
    <row r="716" spans="17:17" x14ac:dyDescent="0.25">
      <c r="Q716" s="59"/>
    </row>
    <row r="717" spans="17:17" x14ac:dyDescent="0.25">
      <c r="Q717" s="59"/>
    </row>
    <row r="718" spans="17:17" x14ac:dyDescent="0.25">
      <c r="Q718" s="59"/>
    </row>
    <row r="719" spans="17:17" x14ac:dyDescent="0.25">
      <c r="Q719" s="59"/>
    </row>
    <row r="720" spans="17:17" x14ac:dyDescent="0.25">
      <c r="Q720" s="59"/>
    </row>
    <row r="721" spans="17:17" x14ac:dyDescent="0.25">
      <c r="Q721" s="59"/>
    </row>
    <row r="722" spans="17:17" x14ac:dyDescent="0.25">
      <c r="Q722" s="59"/>
    </row>
    <row r="723" spans="17:17" x14ac:dyDescent="0.25">
      <c r="Q723" s="59"/>
    </row>
    <row r="724" spans="17:17" x14ac:dyDescent="0.25">
      <c r="Q724" s="59"/>
    </row>
    <row r="725" spans="17:17" x14ac:dyDescent="0.25">
      <c r="Q725" s="59"/>
    </row>
    <row r="726" spans="17:17" x14ac:dyDescent="0.25">
      <c r="Q726" s="59"/>
    </row>
    <row r="727" spans="17:17" x14ac:dyDescent="0.25">
      <c r="Q727" s="59"/>
    </row>
    <row r="728" spans="17:17" x14ac:dyDescent="0.25">
      <c r="Q728" s="59"/>
    </row>
    <row r="729" spans="17:17" x14ac:dyDescent="0.25">
      <c r="Q729" s="59"/>
    </row>
    <row r="730" spans="17:17" x14ac:dyDescent="0.25">
      <c r="Q730" s="59"/>
    </row>
    <row r="731" spans="17:17" x14ac:dyDescent="0.25">
      <c r="Q731" s="59"/>
    </row>
    <row r="732" spans="17:17" x14ac:dyDescent="0.25">
      <c r="Q732" s="59"/>
    </row>
    <row r="733" spans="17:17" x14ac:dyDescent="0.25">
      <c r="Q733" s="59"/>
    </row>
    <row r="734" spans="17:17" x14ac:dyDescent="0.25">
      <c r="Q734" s="59"/>
    </row>
    <row r="735" spans="17:17" x14ac:dyDescent="0.25">
      <c r="Q735" s="59"/>
    </row>
    <row r="736" spans="17:17" x14ac:dyDescent="0.25">
      <c r="Q736" s="59"/>
    </row>
    <row r="737" spans="17:17" x14ac:dyDescent="0.25">
      <c r="Q737" s="59"/>
    </row>
    <row r="738" spans="17:17" x14ac:dyDescent="0.25">
      <c r="Q738" s="59"/>
    </row>
    <row r="739" spans="17:17" x14ac:dyDescent="0.25">
      <c r="Q739" s="59"/>
    </row>
    <row r="740" spans="17:17" x14ac:dyDescent="0.25">
      <c r="Q740" s="59"/>
    </row>
    <row r="741" spans="17:17" x14ac:dyDescent="0.25">
      <c r="Q741" s="59"/>
    </row>
    <row r="742" spans="17:17" x14ac:dyDescent="0.25">
      <c r="Q742" s="59"/>
    </row>
    <row r="743" spans="17:17" x14ac:dyDescent="0.25">
      <c r="Q743" s="59"/>
    </row>
    <row r="744" spans="17:17" x14ac:dyDescent="0.25">
      <c r="Q744" s="59"/>
    </row>
    <row r="745" spans="17:17" x14ac:dyDescent="0.25">
      <c r="Q745" s="59"/>
    </row>
    <row r="746" spans="17:17" x14ac:dyDescent="0.25">
      <c r="Q746" s="59"/>
    </row>
    <row r="747" spans="17:17" x14ac:dyDescent="0.25">
      <c r="Q747" s="59"/>
    </row>
    <row r="748" spans="17:17" x14ac:dyDescent="0.25">
      <c r="Q748" s="59"/>
    </row>
    <row r="749" spans="17:17" x14ac:dyDescent="0.25">
      <c r="Q749" s="59"/>
    </row>
    <row r="750" spans="17:17" x14ac:dyDescent="0.25">
      <c r="Q750" s="59"/>
    </row>
    <row r="751" spans="17:17" x14ac:dyDescent="0.25">
      <c r="Q751" s="59"/>
    </row>
    <row r="752" spans="17:17" x14ac:dyDescent="0.25">
      <c r="Q752" s="59"/>
    </row>
    <row r="753" spans="17:17" x14ac:dyDescent="0.25">
      <c r="Q753" s="59"/>
    </row>
    <row r="754" spans="17:17" x14ac:dyDescent="0.25">
      <c r="Q754" s="59"/>
    </row>
    <row r="755" spans="17:17" x14ac:dyDescent="0.25">
      <c r="Q755" s="59"/>
    </row>
    <row r="756" spans="17:17" x14ac:dyDescent="0.25">
      <c r="Q756" s="59"/>
    </row>
    <row r="757" spans="17:17" x14ac:dyDescent="0.25">
      <c r="Q757" s="59"/>
    </row>
    <row r="758" spans="17:17" x14ac:dyDescent="0.25">
      <c r="Q758" s="59"/>
    </row>
    <row r="759" spans="17:17" x14ac:dyDescent="0.25">
      <c r="Q759" s="59"/>
    </row>
    <row r="760" spans="17:17" x14ac:dyDescent="0.25">
      <c r="Q760" s="59"/>
    </row>
    <row r="761" spans="17:17" x14ac:dyDescent="0.25">
      <c r="Q761" s="59"/>
    </row>
    <row r="762" spans="17:17" x14ac:dyDescent="0.25">
      <c r="Q762" s="59"/>
    </row>
    <row r="763" spans="17:17" x14ac:dyDescent="0.25">
      <c r="Q763" s="59"/>
    </row>
    <row r="764" spans="17:17" x14ac:dyDescent="0.25">
      <c r="Q764" s="59"/>
    </row>
    <row r="765" spans="17:17" x14ac:dyDescent="0.25">
      <c r="Q765" s="59"/>
    </row>
    <row r="766" spans="17:17" x14ac:dyDescent="0.25">
      <c r="Q766" s="59"/>
    </row>
    <row r="767" spans="17:17" x14ac:dyDescent="0.25">
      <c r="Q767" s="59"/>
    </row>
    <row r="768" spans="17:17" x14ac:dyDescent="0.25">
      <c r="Q768" s="59"/>
    </row>
    <row r="769" spans="17:17" x14ac:dyDescent="0.25">
      <c r="Q769" s="59"/>
    </row>
    <row r="770" spans="17:17" x14ac:dyDescent="0.25">
      <c r="Q770" s="59"/>
    </row>
    <row r="771" spans="17:17" x14ac:dyDescent="0.25">
      <c r="Q771" s="59"/>
    </row>
    <row r="772" spans="17:17" x14ac:dyDescent="0.25">
      <c r="Q772" s="59"/>
    </row>
    <row r="773" spans="17:17" x14ac:dyDescent="0.25">
      <c r="Q773" s="59"/>
    </row>
    <row r="774" spans="17:17" x14ac:dyDescent="0.25">
      <c r="Q774" s="59"/>
    </row>
    <row r="775" spans="17:17" x14ac:dyDescent="0.25">
      <c r="Q775" s="59"/>
    </row>
    <row r="776" spans="17:17" x14ac:dyDescent="0.25">
      <c r="Q776" s="59"/>
    </row>
    <row r="777" spans="17:17" x14ac:dyDescent="0.25">
      <c r="Q777" s="59"/>
    </row>
    <row r="778" spans="17:17" x14ac:dyDescent="0.25">
      <c r="Q778" s="59"/>
    </row>
    <row r="779" spans="17:17" x14ac:dyDescent="0.25">
      <c r="Q779" s="59"/>
    </row>
    <row r="780" spans="17:17" x14ac:dyDescent="0.25">
      <c r="Q780" s="59"/>
    </row>
    <row r="781" spans="17:17" x14ac:dyDescent="0.25">
      <c r="Q781" s="59"/>
    </row>
    <row r="782" spans="17:17" x14ac:dyDescent="0.25">
      <c r="Q782" s="59"/>
    </row>
    <row r="783" spans="17:17" x14ac:dyDescent="0.25">
      <c r="Q783" s="59"/>
    </row>
    <row r="784" spans="17:17" x14ac:dyDescent="0.25">
      <c r="Q784" s="59"/>
    </row>
    <row r="785" spans="17:17" x14ac:dyDescent="0.25">
      <c r="Q785" s="59"/>
    </row>
    <row r="786" spans="17:17" x14ac:dyDescent="0.25">
      <c r="Q786" s="59"/>
    </row>
    <row r="787" spans="17:17" x14ac:dyDescent="0.25">
      <c r="Q787" s="59"/>
    </row>
    <row r="788" spans="17:17" x14ac:dyDescent="0.25">
      <c r="Q788" s="59"/>
    </row>
    <row r="789" spans="17:17" x14ac:dyDescent="0.25">
      <c r="Q789" s="59"/>
    </row>
    <row r="790" spans="17:17" x14ac:dyDescent="0.25">
      <c r="Q790" s="59"/>
    </row>
    <row r="791" spans="17:17" x14ac:dyDescent="0.25">
      <c r="Q791" s="59"/>
    </row>
    <row r="792" spans="17:17" x14ac:dyDescent="0.25">
      <c r="Q792" s="59"/>
    </row>
    <row r="793" spans="17:17" x14ac:dyDescent="0.25">
      <c r="Q793" s="59"/>
    </row>
    <row r="794" spans="17:17" x14ac:dyDescent="0.25">
      <c r="Q794" s="59"/>
    </row>
    <row r="795" spans="17:17" x14ac:dyDescent="0.25">
      <c r="Q795" s="59"/>
    </row>
    <row r="796" spans="17:17" x14ac:dyDescent="0.25">
      <c r="Q796" s="59"/>
    </row>
    <row r="797" spans="17:17" x14ac:dyDescent="0.25">
      <c r="Q797" s="59"/>
    </row>
    <row r="798" spans="17:17" x14ac:dyDescent="0.25">
      <c r="Q798" s="59"/>
    </row>
    <row r="799" spans="17:17" x14ac:dyDescent="0.25">
      <c r="Q799" s="59"/>
    </row>
    <row r="800" spans="17:17" x14ac:dyDescent="0.25">
      <c r="Q800" s="59"/>
    </row>
    <row r="801" spans="17:17" x14ac:dyDescent="0.25">
      <c r="Q801" s="59"/>
    </row>
    <row r="802" spans="17:17" x14ac:dyDescent="0.25">
      <c r="Q802" s="59"/>
    </row>
    <row r="803" spans="17:17" x14ac:dyDescent="0.25">
      <c r="Q803" s="59"/>
    </row>
    <row r="804" spans="17:17" x14ac:dyDescent="0.25">
      <c r="Q804" s="59"/>
    </row>
    <row r="805" spans="17:17" x14ac:dyDescent="0.25">
      <c r="Q805" s="59"/>
    </row>
    <row r="806" spans="17:17" x14ac:dyDescent="0.25">
      <c r="Q806" s="59"/>
    </row>
    <row r="807" spans="17:17" x14ac:dyDescent="0.25">
      <c r="Q807" s="59"/>
    </row>
    <row r="808" spans="17:17" x14ac:dyDescent="0.25">
      <c r="Q808" s="59"/>
    </row>
    <row r="809" spans="17:17" x14ac:dyDescent="0.25">
      <c r="Q809" s="59"/>
    </row>
    <row r="810" spans="17:17" x14ac:dyDescent="0.25">
      <c r="Q810" s="59"/>
    </row>
    <row r="811" spans="17:17" x14ac:dyDescent="0.25">
      <c r="Q811" s="59"/>
    </row>
    <row r="812" spans="17:17" x14ac:dyDescent="0.25">
      <c r="Q812" s="59"/>
    </row>
    <row r="813" spans="17:17" x14ac:dyDescent="0.25">
      <c r="Q813" s="59"/>
    </row>
    <row r="814" spans="17:17" x14ac:dyDescent="0.25">
      <c r="Q814" s="59"/>
    </row>
    <row r="815" spans="17:17" x14ac:dyDescent="0.25">
      <c r="Q815" s="59"/>
    </row>
    <row r="816" spans="17:17" x14ac:dyDescent="0.25">
      <c r="Q816" s="59"/>
    </row>
    <row r="817" spans="17:17" x14ac:dyDescent="0.25">
      <c r="Q817" s="59"/>
    </row>
    <row r="818" spans="17:17" x14ac:dyDescent="0.25">
      <c r="Q818" s="59"/>
    </row>
    <row r="819" spans="17:17" x14ac:dyDescent="0.25">
      <c r="Q819" s="59"/>
    </row>
    <row r="820" spans="17:17" x14ac:dyDescent="0.25">
      <c r="Q820" s="59"/>
    </row>
    <row r="821" spans="17:17" x14ac:dyDescent="0.25">
      <c r="Q821" s="59"/>
    </row>
    <row r="822" spans="17:17" x14ac:dyDescent="0.25">
      <c r="Q822" s="59"/>
    </row>
    <row r="823" spans="17:17" x14ac:dyDescent="0.25">
      <c r="Q823" s="59"/>
    </row>
    <row r="824" spans="17:17" x14ac:dyDescent="0.25">
      <c r="Q824" s="59"/>
    </row>
    <row r="825" spans="17:17" x14ac:dyDescent="0.25">
      <c r="Q825" s="59"/>
    </row>
    <row r="826" spans="17:17" x14ac:dyDescent="0.25">
      <c r="Q826" s="59"/>
    </row>
    <row r="827" spans="17:17" x14ac:dyDescent="0.25">
      <c r="Q827" s="59"/>
    </row>
    <row r="828" spans="17:17" x14ac:dyDescent="0.25">
      <c r="Q828" s="59"/>
    </row>
    <row r="829" spans="17:17" x14ac:dyDescent="0.25">
      <c r="Q829" s="59"/>
    </row>
    <row r="830" spans="17:17" x14ac:dyDescent="0.25">
      <c r="Q830" s="59"/>
    </row>
    <row r="831" spans="17:17" x14ac:dyDescent="0.25">
      <c r="Q831" s="59"/>
    </row>
    <row r="832" spans="17:17" x14ac:dyDescent="0.25">
      <c r="Q832" s="59"/>
    </row>
    <row r="833" spans="17:17" x14ac:dyDescent="0.25">
      <c r="Q833" s="59"/>
    </row>
    <row r="834" spans="17:17" x14ac:dyDescent="0.25">
      <c r="Q834" s="59"/>
    </row>
    <row r="835" spans="17:17" x14ac:dyDescent="0.25">
      <c r="Q835" s="59"/>
    </row>
    <row r="836" spans="17:17" x14ac:dyDescent="0.25">
      <c r="Q836" s="59"/>
    </row>
    <row r="837" spans="17:17" x14ac:dyDescent="0.25">
      <c r="Q837" s="59"/>
    </row>
    <row r="838" spans="17:17" x14ac:dyDescent="0.25">
      <c r="Q838" s="59"/>
    </row>
    <row r="839" spans="17:17" x14ac:dyDescent="0.25">
      <c r="Q839" s="59"/>
    </row>
    <row r="840" spans="17:17" x14ac:dyDescent="0.25">
      <c r="Q840" s="59"/>
    </row>
    <row r="841" spans="17:17" x14ac:dyDescent="0.25">
      <c r="Q841" s="59"/>
    </row>
    <row r="842" spans="17:17" x14ac:dyDescent="0.25">
      <c r="Q842" s="59"/>
    </row>
    <row r="843" spans="17:17" x14ac:dyDescent="0.25">
      <c r="Q843" s="59"/>
    </row>
    <row r="844" spans="17:17" x14ac:dyDescent="0.25">
      <c r="Q844" s="59"/>
    </row>
    <row r="845" spans="17:17" x14ac:dyDescent="0.25">
      <c r="Q845" s="59"/>
    </row>
    <row r="846" spans="17:17" x14ac:dyDescent="0.25">
      <c r="Q846" s="59"/>
    </row>
    <row r="847" spans="17:17" x14ac:dyDescent="0.25">
      <c r="Q847" s="59"/>
    </row>
    <row r="848" spans="17:17" x14ac:dyDescent="0.25">
      <c r="Q848" s="59"/>
    </row>
    <row r="849" spans="17:17" x14ac:dyDescent="0.25">
      <c r="Q849" s="59"/>
    </row>
    <row r="850" spans="17:17" x14ac:dyDescent="0.25">
      <c r="Q850" s="59"/>
    </row>
    <row r="851" spans="17:17" x14ac:dyDescent="0.25">
      <c r="Q851" s="59"/>
    </row>
    <row r="852" spans="17:17" x14ac:dyDescent="0.25">
      <c r="Q852" s="59"/>
    </row>
    <row r="853" spans="17:17" x14ac:dyDescent="0.25">
      <c r="Q853" s="59"/>
    </row>
    <row r="854" spans="17:17" x14ac:dyDescent="0.25">
      <c r="Q854" s="59"/>
    </row>
    <row r="855" spans="17:17" x14ac:dyDescent="0.25">
      <c r="Q855" s="59"/>
    </row>
    <row r="856" spans="17:17" x14ac:dyDescent="0.25">
      <c r="Q856" s="59"/>
    </row>
    <row r="857" spans="17:17" x14ac:dyDescent="0.25">
      <c r="Q857" s="59"/>
    </row>
  </sheetData>
  <sheetProtection formatCells="0" formatColumns="0" formatRows="0"/>
  <autoFilter ref="A7:BE396"/>
  <mergeCells count="347">
    <mergeCell ref="L403:M403"/>
    <mergeCell ref="P415:Q415"/>
    <mergeCell ref="P416:Q416"/>
    <mergeCell ref="P413:Q413"/>
    <mergeCell ref="AK160:BB160"/>
    <mergeCell ref="AM161:AN161"/>
    <mergeCell ref="AO161:AP161"/>
    <mergeCell ref="AQ161:AR161"/>
    <mergeCell ref="AS161:AT161"/>
    <mergeCell ref="AU161:AV161"/>
    <mergeCell ref="AW161:AX161"/>
    <mergeCell ref="AY161:AZ161"/>
    <mergeCell ref="BA161:BB161"/>
    <mergeCell ref="AK389:BB389"/>
    <mergeCell ref="AG391:AI391"/>
    <mergeCell ref="AM391:AN391"/>
    <mergeCell ref="AO391:AP391"/>
    <mergeCell ref="AQ391:AR391"/>
    <mergeCell ref="AS391:AT391"/>
    <mergeCell ref="AU391:AV391"/>
    <mergeCell ref="AW391:AX391"/>
    <mergeCell ref="AY391:AZ391"/>
    <mergeCell ref="BA391:BB391"/>
    <mergeCell ref="AK383:BB383"/>
    <mergeCell ref="AG384:AI384"/>
    <mergeCell ref="AM384:AN384"/>
    <mergeCell ref="AO384:AP384"/>
    <mergeCell ref="AQ384:AR384"/>
    <mergeCell ref="AS384:AT384"/>
    <mergeCell ref="AU384:AV384"/>
    <mergeCell ref="AW384:AX384"/>
    <mergeCell ref="AY384:AZ384"/>
    <mergeCell ref="BA384:BB384"/>
    <mergeCell ref="AO378:AP378"/>
    <mergeCell ref="AQ378:AR378"/>
    <mergeCell ref="AS378:AT378"/>
    <mergeCell ref="AU378:AV378"/>
    <mergeCell ref="AW378:AX378"/>
    <mergeCell ref="AY378:AZ378"/>
    <mergeCell ref="BA378:BB378"/>
    <mergeCell ref="AK364:BB364"/>
    <mergeCell ref="AG365:AI365"/>
    <mergeCell ref="AM365:AN365"/>
    <mergeCell ref="AO365:AP365"/>
    <mergeCell ref="AQ365:AR365"/>
    <mergeCell ref="AS365:AT365"/>
    <mergeCell ref="AU365:AV365"/>
    <mergeCell ref="AW365:AX365"/>
    <mergeCell ref="AY365:AZ365"/>
    <mergeCell ref="BA365:BB365"/>
    <mergeCell ref="AK377:BB377"/>
    <mergeCell ref="AG378:AI378"/>
    <mergeCell ref="AM378:AN378"/>
    <mergeCell ref="AK355:BB355"/>
    <mergeCell ref="AG356:AI356"/>
    <mergeCell ref="AM356:AN356"/>
    <mergeCell ref="AO356:AP356"/>
    <mergeCell ref="AQ356:AR356"/>
    <mergeCell ref="AS356:AT356"/>
    <mergeCell ref="AU356:AV356"/>
    <mergeCell ref="AW356:AX356"/>
    <mergeCell ref="AY356:AZ356"/>
    <mergeCell ref="BA356:BB356"/>
    <mergeCell ref="AK349:BB349"/>
    <mergeCell ref="AG350:AI350"/>
    <mergeCell ref="AM350:AN350"/>
    <mergeCell ref="AO350:AP350"/>
    <mergeCell ref="AQ350:AR350"/>
    <mergeCell ref="AS350:AT350"/>
    <mergeCell ref="AU350:AV350"/>
    <mergeCell ref="AW350:AX350"/>
    <mergeCell ref="AY350:AZ350"/>
    <mergeCell ref="BA350:BB350"/>
    <mergeCell ref="AK329:BB329"/>
    <mergeCell ref="AG330:AI330"/>
    <mergeCell ref="AM330:AN330"/>
    <mergeCell ref="AO330:AP330"/>
    <mergeCell ref="AQ330:AR330"/>
    <mergeCell ref="AS330:AT330"/>
    <mergeCell ref="AU330:AV330"/>
    <mergeCell ref="AW330:AX330"/>
    <mergeCell ref="AY330:AZ330"/>
    <mergeCell ref="BA330:BB330"/>
    <mergeCell ref="AK318:BB318"/>
    <mergeCell ref="AG319:AI319"/>
    <mergeCell ref="AM319:AN319"/>
    <mergeCell ref="AO319:AP319"/>
    <mergeCell ref="AQ319:AR319"/>
    <mergeCell ref="AS319:AT319"/>
    <mergeCell ref="AU319:AV319"/>
    <mergeCell ref="AW319:AX319"/>
    <mergeCell ref="AY319:AZ319"/>
    <mergeCell ref="BA319:BB319"/>
    <mergeCell ref="Z1:AC1"/>
    <mergeCell ref="Y4:Y6"/>
    <mergeCell ref="Z4:Z6"/>
    <mergeCell ref="AA4:AA6"/>
    <mergeCell ref="AB4:AC4"/>
    <mergeCell ref="A1:M1"/>
    <mergeCell ref="D4:D6"/>
    <mergeCell ref="C4:C6"/>
    <mergeCell ref="A4:A6"/>
    <mergeCell ref="B4:B6"/>
    <mergeCell ref="A2:AD2"/>
    <mergeCell ref="S4:T6"/>
    <mergeCell ref="L4:O4"/>
    <mergeCell ref="P4:R4"/>
    <mergeCell ref="N5:O5"/>
    <mergeCell ref="R5:R6"/>
    <mergeCell ref="L5:L6"/>
    <mergeCell ref="H4:J4"/>
    <mergeCell ref="G4:G6"/>
    <mergeCell ref="AC364:AC365"/>
    <mergeCell ref="AC307:AC308"/>
    <mergeCell ref="AE4:AE6"/>
    <mergeCell ref="P5:P6"/>
    <mergeCell ref="Q5:Q6"/>
    <mergeCell ref="W4:X5"/>
    <mergeCell ref="U4:V4"/>
    <mergeCell ref="U5:U6"/>
    <mergeCell ref="AD4:AD6"/>
    <mergeCell ref="AB5:AB6"/>
    <mergeCell ref="AC43:AC44"/>
    <mergeCell ref="AC354:AC355"/>
    <mergeCell ref="AD73:AD74"/>
    <mergeCell ref="AG160:AI160"/>
    <mergeCell ref="AM92:AN92"/>
    <mergeCell ref="C399:C401"/>
    <mergeCell ref="M5:M6"/>
    <mergeCell ref="AC5:AC6"/>
    <mergeCell ref="V5:V6"/>
    <mergeCell ref="G401:L401"/>
    <mergeCell ref="P409:Q409"/>
    <mergeCell ref="P404:Q404"/>
    <mergeCell ref="P405:Q405"/>
    <mergeCell ref="P407:Q407"/>
    <mergeCell ref="U403:V403"/>
    <mergeCell ref="P406:Q406"/>
    <mergeCell ref="P403:R403"/>
    <mergeCell ref="P408:Q408"/>
    <mergeCell ref="G400:L400"/>
    <mergeCell ref="G399:L399"/>
    <mergeCell ref="K4:K6"/>
    <mergeCell ref="AC377:AC378"/>
    <mergeCell ref="AC107:AC108"/>
    <mergeCell ref="E4:F6"/>
    <mergeCell ref="AC245:AC246"/>
    <mergeCell ref="AC73:AC74"/>
    <mergeCell ref="AC329:AC330"/>
    <mergeCell ref="AW276:AX276"/>
    <mergeCell ref="AY276:AZ276"/>
    <mergeCell ref="BA276:BB276"/>
    <mergeCell ref="AK307:BB307"/>
    <mergeCell ref="AG308:AI308"/>
    <mergeCell ref="AM308:AN308"/>
    <mergeCell ref="AO308:AP308"/>
    <mergeCell ref="AQ308:AR308"/>
    <mergeCell ref="AS308:AT308"/>
    <mergeCell ref="AU308:AV308"/>
    <mergeCell ref="AW308:AX308"/>
    <mergeCell ref="AY308:AZ308"/>
    <mergeCell ref="BA308:BB308"/>
    <mergeCell ref="AO92:AP92"/>
    <mergeCell ref="AQ92:AR92"/>
    <mergeCell ref="AS92:AT92"/>
    <mergeCell ref="AU92:AV92"/>
    <mergeCell ref="AW92:AX92"/>
    <mergeCell ref="AY92:AZ92"/>
    <mergeCell ref="BA92:BB92"/>
    <mergeCell ref="AK101:BB101"/>
    <mergeCell ref="AG44:AI44"/>
    <mergeCell ref="AG92:AI92"/>
    <mergeCell ref="AU74:AV74"/>
    <mergeCell ref="AW74:AX74"/>
    <mergeCell ref="AY74:AZ74"/>
    <mergeCell ref="AG74:AI74"/>
    <mergeCell ref="AM74:AN74"/>
    <mergeCell ref="AK43:BB43"/>
    <mergeCell ref="AM44:AN44"/>
    <mergeCell ref="AO44:AP44"/>
    <mergeCell ref="AQ44:AR44"/>
    <mergeCell ref="AS44:AT44"/>
    <mergeCell ref="AU44:AV44"/>
    <mergeCell ref="AW44:AX44"/>
    <mergeCell ref="AY44:AZ44"/>
    <mergeCell ref="BA44:BB44"/>
    <mergeCell ref="AK11:BB11"/>
    <mergeCell ref="AK24:BB24"/>
    <mergeCell ref="AM12:AN12"/>
    <mergeCell ref="AO12:AP12"/>
    <mergeCell ref="AQ12:AR12"/>
    <mergeCell ref="AS12:AT12"/>
    <mergeCell ref="AU12:AV12"/>
    <mergeCell ref="P412:Q412"/>
    <mergeCell ref="P414:Q414"/>
    <mergeCell ref="P411:Q411"/>
    <mergeCell ref="P410:Q410"/>
    <mergeCell ref="AK275:BB275"/>
    <mergeCell ref="AG276:AI276"/>
    <mergeCell ref="AM276:AN276"/>
    <mergeCell ref="AO276:AP276"/>
    <mergeCell ref="AQ276:AR276"/>
    <mergeCell ref="AS276:AT276"/>
    <mergeCell ref="AU276:AV276"/>
    <mergeCell ref="BA74:BB74"/>
    <mergeCell ref="AK73:BB73"/>
    <mergeCell ref="AO74:AP74"/>
    <mergeCell ref="AQ74:AR74"/>
    <mergeCell ref="AS74:AT74"/>
    <mergeCell ref="AK91:BB91"/>
    <mergeCell ref="BJ29:BK29"/>
    <mergeCell ref="BL29:BM29"/>
    <mergeCell ref="BN29:BO29"/>
    <mergeCell ref="AC12:AC13"/>
    <mergeCell ref="AG12:AI12"/>
    <mergeCell ref="AG25:AI25"/>
    <mergeCell ref="BH29:BI29"/>
    <mergeCell ref="AW25:AX25"/>
    <mergeCell ref="AY25:AZ25"/>
    <mergeCell ref="BA25:BB25"/>
    <mergeCell ref="AM25:AN25"/>
    <mergeCell ref="AO25:AP25"/>
    <mergeCell ref="AQ25:AR25"/>
    <mergeCell ref="AS25:AT25"/>
    <mergeCell ref="AU25:AV25"/>
    <mergeCell ref="AW12:AX12"/>
    <mergeCell ref="AY12:AZ12"/>
    <mergeCell ref="BA12:BB12"/>
    <mergeCell ref="AD12:AD13"/>
    <mergeCell ref="AD24:AD25"/>
    <mergeCell ref="AC15:AC18"/>
    <mergeCell ref="AQ102:AR102"/>
    <mergeCell ref="AS102:AT102"/>
    <mergeCell ref="AU102:AV102"/>
    <mergeCell ref="AW102:AX102"/>
    <mergeCell ref="AY102:AZ102"/>
    <mergeCell ref="BA102:BB102"/>
    <mergeCell ref="AK107:BB107"/>
    <mergeCell ref="AG108:AI108"/>
    <mergeCell ref="AM108:AN108"/>
    <mergeCell ref="AO108:AP108"/>
    <mergeCell ref="AQ108:AR108"/>
    <mergeCell ref="AY108:AZ108"/>
    <mergeCell ref="BA108:BB108"/>
    <mergeCell ref="AG102:AI102"/>
    <mergeCell ref="AM102:AN102"/>
    <mergeCell ref="AO102:AP102"/>
    <mergeCell ref="AS108:AT108"/>
    <mergeCell ref="AU108:AV108"/>
    <mergeCell ref="AW108:AX108"/>
    <mergeCell ref="AK137:BB137"/>
    <mergeCell ref="AG138:AI138"/>
    <mergeCell ref="AM138:AN138"/>
    <mergeCell ref="AO138:AP138"/>
    <mergeCell ref="AQ138:AR138"/>
    <mergeCell ref="AS138:AT138"/>
    <mergeCell ref="AU138:AV138"/>
    <mergeCell ref="AW138:AX138"/>
    <mergeCell ref="AY138:AZ138"/>
    <mergeCell ref="BA138:BB138"/>
    <mergeCell ref="AK192:BB192"/>
    <mergeCell ref="AG193:AI193"/>
    <mergeCell ref="AM193:AN193"/>
    <mergeCell ref="AO193:AP193"/>
    <mergeCell ref="AQ193:AR193"/>
    <mergeCell ref="AS193:AT193"/>
    <mergeCell ref="AU193:AV193"/>
    <mergeCell ref="AW193:AX193"/>
    <mergeCell ref="AY193:AZ193"/>
    <mergeCell ref="BA193:BB193"/>
    <mergeCell ref="AK175:BB175"/>
    <mergeCell ref="AG176:AI176"/>
    <mergeCell ref="AM176:AN176"/>
    <mergeCell ref="AO176:AP176"/>
    <mergeCell ref="AQ176:AR176"/>
    <mergeCell ref="AS176:AT176"/>
    <mergeCell ref="AU176:AV176"/>
    <mergeCell ref="AW176:AX176"/>
    <mergeCell ref="AY176:AZ176"/>
    <mergeCell ref="BA176:BB176"/>
    <mergeCell ref="AK222:BB222"/>
    <mergeCell ref="AK245:BB245"/>
    <mergeCell ref="AG246:AI246"/>
    <mergeCell ref="AM246:AN246"/>
    <mergeCell ref="AO246:AP246"/>
    <mergeCell ref="AQ246:AR246"/>
    <mergeCell ref="AS246:AT246"/>
    <mergeCell ref="AU246:AV246"/>
    <mergeCell ref="AW246:AX246"/>
    <mergeCell ref="AY246:AZ246"/>
    <mergeCell ref="BA246:BB246"/>
    <mergeCell ref="AG223:AI223"/>
    <mergeCell ref="AM223:AN223"/>
    <mergeCell ref="AO223:AP223"/>
    <mergeCell ref="AQ223:AR223"/>
    <mergeCell ref="AS223:AT223"/>
    <mergeCell ref="AU223:AV223"/>
    <mergeCell ref="AW223:AX223"/>
    <mergeCell ref="AY223:AZ223"/>
    <mergeCell ref="BA223:BB223"/>
    <mergeCell ref="B436:C436"/>
    <mergeCell ref="D436:L436"/>
    <mergeCell ref="M436:Z436"/>
    <mergeCell ref="G437:L437"/>
    <mergeCell ref="M437:Z437"/>
    <mergeCell ref="G438:L438"/>
    <mergeCell ref="M438:Z438"/>
    <mergeCell ref="G439:L439"/>
    <mergeCell ref="M439:Z439"/>
    <mergeCell ref="G440:L440"/>
    <mergeCell ref="M440:Z440"/>
    <mergeCell ref="G441:L441"/>
    <mergeCell ref="M441:Z441"/>
    <mergeCell ref="G442:L442"/>
    <mergeCell ref="M442:Z442"/>
    <mergeCell ref="G443:L443"/>
    <mergeCell ref="M443:Z443"/>
    <mergeCell ref="G444:L444"/>
    <mergeCell ref="M444:Z444"/>
    <mergeCell ref="G445:L445"/>
    <mergeCell ref="M445:Z445"/>
    <mergeCell ref="G446:L446"/>
    <mergeCell ref="M446:Z446"/>
    <mergeCell ref="G447:L447"/>
    <mergeCell ref="M447:Z447"/>
    <mergeCell ref="G448:L448"/>
    <mergeCell ref="M448:Z448"/>
    <mergeCell ref="G449:L449"/>
    <mergeCell ref="M449:Z449"/>
    <mergeCell ref="G455:L455"/>
    <mergeCell ref="M455:Z455"/>
    <mergeCell ref="G456:L456"/>
    <mergeCell ref="M456:Z456"/>
    <mergeCell ref="G457:L457"/>
    <mergeCell ref="M457:Z457"/>
    <mergeCell ref="G458:L458"/>
    <mergeCell ref="M458:Z458"/>
    <mergeCell ref="G450:L450"/>
    <mergeCell ref="M450:Z450"/>
    <mergeCell ref="G451:L451"/>
    <mergeCell ref="M451:Z451"/>
    <mergeCell ref="G452:L452"/>
    <mergeCell ref="M452:Z452"/>
    <mergeCell ref="G453:L453"/>
    <mergeCell ref="M453:Z453"/>
    <mergeCell ref="G454:L454"/>
    <mergeCell ref="M454:Z454"/>
  </mergeCells>
  <conditionalFormatting sqref="AE14:AG23 AE24:AF26 AE47:AF50 AE45:AG46 AE73:AF77 AE91:AF95 AE197:AG221 AE191:AF196 AE222:AF226 AE250:AG269 AE245:AF249 AF312:AG317 AE323:AG328 AE318:AF322 AE329:AF333 AE349:AF351 AE382:AG382 AE377:AF381 AE175:AF179 AE352:AG352 AE43:AF44 AE134:AF134 AE142:AG158 AE164:AG172 AE159:AF159 AE227:AG242 AE270:AF279 AE162:AF163 AE51:AG68 AE71:AG72 AE137:AF141 AE135:AG136 AE174:AG174 AE244:AG244 AE307:AF309 AF310:AF311 AE310:AE317 AE96:AG100 AE383:AF389 AE395:AG395 AE180:AG190 AE280:AG306 AE78:AG90 AE391:AF394 AE390:AG390 AE372:AF374 AE113:AG133 AE101:AF112 AE27:AG42 AE334:AG348 AG368 AE353:AE371 AE375:AG376">
    <cfRule type="expression" dxfId="364" priority="722" stopIfTrue="1">
      <formula>$AE14=FALSE</formula>
    </cfRule>
  </conditionalFormatting>
  <conditionalFormatting sqref="AN15 AP352">
    <cfRule type="cellIs" dxfId="363" priority="720" operator="greaterThan">
      <formula>0.2</formula>
    </cfRule>
  </conditionalFormatting>
  <conditionalFormatting sqref="AP14:AP15">
    <cfRule type="cellIs" dxfId="362" priority="718" operator="greaterThan">
      <formula>0.3</formula>
    </cfRule>
    <cfRule type="cellIs" dxfId="361" priority="719" operator="greaterThan">
      <formula>0.25</formula>
    </cfRule>
  </conditionalFormatting>
  <conditionalFormatting sqref="AN34:AN35">
    <cfRule type="cellIs" dxfId="360" priority="714" operator="greaterThan">
      <formula>0.2</formula>
    </cfRule>
  </conditionalFormatting>
  <conditionalFormatting sqref="AP34:AP35">
    <cfRule type="cellIs" dxfId="359" priority="712" operator="greaterThan">
      <formula>0.3</formula>
    </cfRule>
    <cfRule type="cellIs" dxfId="358" priority="713" operator="greaterThan">
      <formula>0.25</formula>
    </cfRule>
  </conditionalFormatting>
  <conditionalFormatting sqref="AN39:AN40">
    <cfRule type="cellIs" dxfId="357" priority="711" operator="greaterThan">
      <formula>0.2</formula>
    </cfRule>
  </conditionalFormatting>
  <conditionalFormatting sqref="AP39:AP40">
    <cfRule type="cellIs" dxfId="356" priority="709" operator="greaterThan">
      <formula>0.3</formula>
    </cfRule>
    <cfRule type="cellIs" dxfId="355" priority="710" operator="greaterThan">
      <formula>0.25</formula>
    </cfRule>
  </conditionalFormatting>
  <conditionalFormatting sqref="AN42">
    <cfRule type="cellIs" dxfId="354" priority="708" operator="greaterThan">
      <formula>0.2</formula>
    </cfRule>
  </conditionalFormatting>
  <conditionalFormatting sqref="AP42">
    <cfRule type="cellIs" dxfId="353" priority="706" operator="greaterThan">
      <formula>0.3</formula>
    </cfRule>
    <cfRule type="cellIs" dxfId="352" priority="707" operator="greaterThan">
      <formula>0.25</formula>
    </cfRule>
  </conditionalFormatting>
  <conditionalFormatting sqref="AG26">
    <cfRule type="expression" dxfId="351" priority="705" stopIfTrue="1">
      <formula>$AE26=FALSE</formula>
    </cfRule>
  </conditionalFormatting>
  <conditionalFormatting sqref="AG27">
    <cfRule type="expression" dxfId="350" priority="704" stopIfTrue="1">
      <formula>$AE27=FALSE</formula>
    </cfRule>
  </conditionalFormatting>
  <conditionalFormatting sqref="AG49:AG50">
    <cfRule type="expression" dxfId="349" priority="702" stopIfTrue="1">
      <formula>$AE49=FALSE</formula>
    </cfRule>
  </conditionalFormatting>
  <conditionalFormatting sqref="AG48">
    <cfRule type="expression" dxfId="348" priority="701" stopIfTrue="1">
      <formula>$AE48=FALSE</formula>
    </cfRule>
  </conditionalFormatting>
  <conditionalFormatting sqref="AG49">
    <cfRule type="expression" dxfId="347" priority="700" stopIfTrue="1">
      <formula>$AE49=FALSE</formula>
    </cfRule>
  </conditionalFormatting>
  <conditionalFormatting sqref="AN47">
    <cfRule type="cellIs" dxfId="346" priority="699" operator="greaterThan">
      <formula>0.2</formula>
    </cfRule>
  </conditionalFormatting>
  <conditionalFormatting sqref="AG46:AG47">
    <cfRule type="expression" dxfId="345" priority="696" stopIfTrue="1">
      <formula>$AE46=FALSE</formula>
    </cfRule>
  </conditionalFormatting>
  <conditionalFormatting sqref="AG45">
    <cfRule type="expression" dxfId="344" priority="695" stopIfTrue="1">
      <formula>$AE45=FALSE</formula>
    </cfRule>
  </conditionalFormatting>
  <conditionalFormatting sqref="AG46">
    <cfRule type="expression" dxfId="343" priority="694" stopIfTrue="1">
      <formula>$AE46=FALSE</formula>
    </cfRule>
  </conditionalFormatting>
  <conditionalFormatting sqref="AP27">
    <cfRule type="cellIs" dxfId="342" priority="693" operator="greaterThan">
      <formula>0.2</formula>
    </cfRule>
  </conditionalFormatting>
  <conditionalFormatting sqref="AP46:AP47">
    <cfRule type="cellIs" dxfId="341" priority="690" operator="greaterThan">
      <formula>0.2</formula>
    </cfRule>
  </conditionalFormatting>
  <conditionalFormatting sqref="AR46">
    <cfRule type="cellIs" dxfId="340" priority="689" operator="greaterThan">
      <formula>0.2</formula>
    </cfRule>
  </conditionalFormatting>
  <conditionalFormatting sqref="AT46">
    <cfRule type="cellIs" dxfId="339" priority="688" operator="greaterThan">
      <formula>0.2</formula>
    </cfRule>
  </conditionalFormatting>
  <conditionalFormatting sqref="AG75:AG76">
    <cfRule type="expression" dxfId="338" priority="687" stopIfTrue="1">
      <formula>$AE75=FALSE</formula>
    </cfRule>
  </conditionalFormatting>
  <conditionalFormatting sqref="AG76:AG77">
    <cfRule type="expression" dxfId="337" priority="685" stopIfTrue="1">
      <formula>$AE76=FALSE</formula>
    </cfRule>
  </conditionalFormatting>
  <conditionalFormatting sqref="AG75">
    <cfRule type="expression" dxfId="336" priority="684" stopIfTrue="1">
      <formula>$AE75=FALSE</formula>
    </cfRule>
  </conditionalFormatting>
  <conditionalFormatting sqref="AG76">
    <cfRule type="expression" dxfId="335" priority="683" stopIfTrue="1">
      <formula>$AE76=FALSE</formula>
    </cfRule>
  </conditionalFormatting>
  <conditionalFormatting sqref="AP77">
    <cfRule type="cellIs" dxfId="334" priority="682" operator="greaterThan">
      <formula>0.2</formula>
    </cfRule>
  </conditionalFormatting>
  <conditionalFormatting sqref="AR76">
    <cfRule type="cellIs" dxfId="333" priority="681" operator="greaterThan">
      <formula>0.2</formula>
    </cfRule>
  </conditionalFormatting>
  <conditionalFormatting sqref="AT76">
    <cfRule type="cellIs" dxfId="332" priority="680" operator="greaterThan">
      <formula>0.2</formula>
    </cfRule>
  </conditionalFormatting>
  <conditionalFormatting sqref="AN77">
    <cfRule type="cellIs" dxfId="331" priority="679" operator="greaterThan">
      <formula>0.2</formula>
    </cfRule>
  </conditionalFormatting>
  <conditionalFormatting sqref="AP77">
    <cfRule type="cellIs" dxfId="330" priority="678" operator="greaterThan">
      <formula>0.3</formula>
    </cfRule>
  </conditionalFormatting>
  <conditionalFormatting sqref="AG93:AG94">
    <cfRule type="expression" dxfId="329" priority="677" stopIfTrue="1">
      <formula>$AE93=FALSE</formula>
    </cfRule>
  </conditionalFormatting>
  <conditionalFormatting sqref="AG94:AG95">
    <cfRule type="expression" dxfId="328" priority="676" stopIfTrue="1">
      <formula>$AE94=FALSE</formula>
    </cfRule>
  </conditionalFormatting>
  <conditionalFormatting sqref="AG93">
    <cfRule type="expression" dxfId="327" priority="675" stopIfTrue="1">
      <formula>$AE93=FALSE</formula>
    </cfRule>
  </conditionalFormatting>
  <conditionalFormatting sqref="AG94">
    <cfRule type="expression" dxfId="326" priority="674" stopIfTrue="1">
      <formula>$AE94=FALSE</formula>
    </cfRule>
  </conditionalFormatting>
  <conditionalFormatting sqref="AP94:AP95">
    <cfRule type="cellIs" dxfId="325" priority="673" operator="greaterThan">
      <formula>0.2</formula>
    </cfRule>
  </conditionalFormatting>
  <conditionalFormatting sqref="AR94">
    <cfRule type="cellIs" dxfId="324" priority="672" operator="greaterThan">
      <formula>0.2</formula>
    </cfRule>
  </conditionalFormatting>
  <conditionalFormatting sqref="AT94">
    <cfRule type="cellIs" dxfId="323" priority="671" operator="greaterThan">
      <formula>0.2</formula>
    </cfRule>
  </conditionalFormatting>
  <conditionalFormatting sqref="AN95">
    <cfRule type="cellIs" dxfId="322" priority="670" operator="greaterThan">
      <formula>0.2</formula>
    </cfRule>
  </conditionalFormatting>
  <conditionalFormatting sqref="AP95">
    <cfRule type="cellIs" dxfId="321" priority="669" operator="greaterThan">
      <formula>0.3</formula>
    </cfRule>
  </conditionalFormatting>
  <conditionalFormatting sqref="AG103">
    <cfRule type="expression" dxfId="320" priority="668" stopIfTrue="1">
      <formula>$AE103=FALSE</formula>
    </cfRule>
  </conditionalFormatting>
  <conditionalFormatting sqref="AG105">
    <cfRule type="expression" dxfId="319" priority="667" stopIfTrue="1">
      <formula>$AE105=FALSE</formula>
    </cfRule>
  </conditionalFormatting>
  <conditionalFormatting sqref="AG103">
    <cfRule type="expression" dxfId="318" priority="666" stopIfTrue="1">
      <formula>$AE103=FALSE</formula>
    </cfRule>
  </conditionalFormatting>
  <conditionalFormatting sqref="AP104:AP105">
    <cfRule type="cellIs" dxfId="317" priority="664" operator="greaterThan">
      <formula>0.2</formula>
    </cfRule>
  </conditionalFormatting>
  <conditionalFormatting sqref="AR104">
    <cfRule type="cellIs" dxfId="316" priority="663" operator="greaterThan">
      <formula>0.2</formula>
    </cfRule>
  </conditionalFormatting>
  <conditionalFormatting sqref="AT104">
    <cfRule type="cellIs" dxfId="315" priority="662" operator="greaterThan">
      <formula>0.2</formula>
    </cfRule>
  </conditionalFormatting>
  <conditionalFormatting sqref="AN105">
    <cfRule type="cellIs" dxfId="314" priority="661" operator="greaterThan">
      <formula>0.2</formula>
    </cfRule>
  </conditionalFormatting>
  <conditionalFormatting sqref="AP105">
    <cfRule type="cellIs" dxfId="313" priority="660" operator="greaterThan">
      <formula>0.3</formula>
    </cfRule>
  </conditionalFormatting>
  <conditionalFormatting sqref="AG109">
    <cfRule type="expression" dxfId="312" priority="658" stopIfTrue="1">
      <formula>$AE109=FALSE</formula>
    </cfRule>
  </conditionalFormatting>
  <conditionalFormatting sqref="AG112">
    <cfRule type="expression" dxfId="311" priority="657" stopIfTrue="1">
      <formula>$AE112=FALSE</formula>
    </cfRule>
  </conditionalFormatting>
  <conditionalFormatting sqref="AG109">
    <cfRule type="expression" dxfId="310" priority="656" stopIfTrue="1">
      <formula>$AE109=FALSE</formula>
    </cfRule>
  </conditionalFormatting>
  <conditionalFormatting sqref="AG139">
    <cfRule type="expression" dxfId="309" priority="650" stopIfTrue="1">
      <formula>$AE139=FALSE</formula>
    </cfRule>
  </conditionalFormatting>
  <conditionalFormatting sqref="AG141">
    <cfRule type="expression" dxfId="308" priority="649" stopIfTrue="1">
      <formula>$AE141=FALSE</formula>
    </cfRule>
  </conditionalFormatting>
  <conditionalFormatting sqref="AG139">
    <cfRule type="expression" dxfId="307" priority="648" stopIfTrue="1">
      <formula>$AE139=FALSE</formula>
    </cfRule>
  </conditionalFormatting>
  <conditionalFormatting sqref="AP140:AP141">
    <cfRule type="cellIs" dxfId="306" priority="647" operator="greaterThan">
      <formula>0.2</formula>
    </cfRule>
  </conditionalFormatting>
  <conditionalFormatting sqref="AR140">
    <cfRule type="cellIs" dxfId="305" priority="646" operator="greaterThan">
      <formula>0.2</formula>
    </cfRule>
  </conditionalFormatting>
  <conditionalFormatting sqref="AT140">
    <cfRule type="cellIs" dxfId="304" priority="645" operator="greaterThan">
      <formula>0.2</formula>
    </cfRule>
  </conditionalFormatting>
  <conditionalFormatting sqref="AN141">
    <cfRule type="cellIs" dxfId="303" priority="644" operator="greaterThan">
      <formula>0.2</formula>
    </cfRule>
  </conditionalFormatting>
  <conditionalFormatting sqref="AP141">
    <cfRule type="cellIs" dxfId="302" priority="643" operator="greaterThan">
      <formula>0.3</formula>
    </cfRule>
  </conditionalFormatting>
  <conditionalFormatting sqref="AG177">
    <cfRule type="expression" dxfId="301" priority="642" stopIfTrue="1">
      <formula>$AE177=FALSE</formula>
    </cfRule>
  </conditionalFormatting>
  <conditionalFormatting sqref="AG179">
    <cfRule type="expression" dxfId="300" priority="641" stopIfTrue="1">
      <formula>$AE179=FALSE</formula>
    </cfRule>
  </conditionalFormatting>
  <conditionalFormatting sqref="AG177">
    <cfRule type="expression" dxfId="299" priority="640" stopIfTrue="1">
      <formula>$AE177=FALSE</formula>
    </cfRule>
  </conditionalFormatting>
  <conditionalFormatting sqref="AP178:AP179">
    <cfRule type="cellIs" dxfId="298" priority="639" operator="greaterThan">
      <formula>0.2</formula>
    </cfRule>
  </conditionalFormatting>
  <conditionalFormatting sqref="AR178">
    <cfRule type="cellIs" dxfId="297" priority="638" operator="greaterThan">
      <formula>0.2</formula>
    </cfRule>
  </conditionalFormatting>
  <conditionalFormatting sqref="AT178">
    <cfRule type="cellIs" dxfId="296" priority="637" operator="greaterThan">
      <formula>0.2</formula>
    </cfRule>
  </conditionalFormatting>
  <conditionalFormatting sqref="AN179">
    <cfRule type="cellIs" dxfId="295" priority="636" operator="greaterThan">
      <formula>0.2</formula>
    </cfRule>
  </conditionalFormatting>
  <conditionalFormatting sqref="AP179">
    <cfRule type="cellIs" dxfId="294" priority="635" operator="greaterThan">
      <formula>0.3</formula>
    </cfRule>
  </conditionalFormatting>
  <conditionalFormatting sqref="AG194">
    <cfRule type="expression" dxfId="293" priority="634" stopIfTrue="1">
      <formula>$AE194=FALSE</formula>
    </cfRule>
  </conditionalFormatting>
  <conditionalFormatting sqref="AG196">
    <cfRule type="expression" dxfId="292" priority="633" stopIfTrue="1">
      <formula>$AE196=FALSE</formula>
    </cfRule>
  </conditionalFormatting>
  <conditionalFormatting sqref="AG194">
    <cfRule type="expression" dxfId="291" priority="632" stopIfTrue="1">
      <formula>$AE194=FALSE</formula>
    </cfRule>
  </conditionalFormatting>
  <conditionalFormatting sqref="AP195:AP196">
    <cfRule type="cellIs" dxfId="290" priority="631" operator="greaterThan">
      <formula>0.2</formula>
    </cfRule>
  </conditionalFormatting>
  <conditionalFormatting sqref="AR195">
    <cfRule type="cellIs" dxfId="289" priority="630" operator="greaterThan">
      <formula>0.2</formula>
    </cfRule>
  </conditionalFormatting>
  <conditionalFormatting sqref="AT195">
    <cfRule type="cellIs" dxfId="288" priority="629" operator="greaterThan">
      <formula>0.2</formula>
    </cfRule>
  </conditionalFormatting>
  <conditionalFormatting sqref="AN196">
    <cfRule type="cellIs" dxfId="287" priority="628" operator="greaterThan">
      <formula>0.2</formula>
    </cfRule>
  </conditionalFormatting>
  <conditionalFormatting sqref="AP196">
    <cfRule type="cellIs" dxfId="286" priority="627" operator="greaterThan">
      <formula>0.3</formula>
    </cfRule>
  </conditionalFormatting>
  <conditionalFormatting sqref="AG224">
    <cfRule type="expression" dxfId="285" priority="626" stopIfTrue="1">
      <formula>$AE224=FALSE</formula>
    </cfRule>
  </conditionalFormatting>
  <conditionalFormatting sqref="AG226">
    <cfRule type="expression" dxfId="284" priority="625" stopIfTrue="1">
      <formula>$AE226=FALSE</formula>
    </cfRule>
  </conditionalFormatting>
  <conditionalFormatting sqref="AG224">
    <cfRule type="expression" dxfId="283" priority="624" stopIfTrue="1">
      <formula>$AE224=FALSE</formula>
    </cfRule>
  </conditionalFormatting>
  <conditionalFormatting sqref="AP225:AP226">
    <cfRule type="cellIs" dxfId="282" priority="623" operator="greaterThan">
      <formula>0.2</formula>
    </cfRule>
  </conditionalFormatting>
  <conditionalFormatting sqref="AR225">
    <cfRule type="cellIs" dxfId="281" priority="622" operator="greaterThan">
      <formula>0.2</formula>
    </cfRule>
  </conditionalFormatting>
  <conditionalFormatting sqref="AT225">
    <cfRule type="cellIs" dxfId="280" priority="621" operator="greaterThan">
      <formula>0.2</formula>
    </cfRule>
  </conditionalFormatting>
  <conditionalFormatting sqref="AN226">
    <cfRule type="cellIs" dxfId="279" priority="620" operator="greaterThan">
      <formula>0.2</formula>
    </cfRule>
  </conditionalFormatting>
  <conditionalFormatting sqref="AP226">
    <cfRule type="cellIs" dxfId="278" priority="619" operator="greaterThan">
      <formula>0.3</formula>
    </cfRule>
  </conditionalFormatting>
  <conditionalFormatting sqref="AG247">
    <cfRule type="expression" dxfId="277" priority="618" stopIfTrue="1">
      <formula>$AE247=FALSE</formula>
    </cfRule>
  </conditionalFormatting>
  <conditionalFormatting sqref="AG249">
    <cfRule type="expression" dxfId="276" priority="617" stopIfTrue="1">
      <formula>$AE249=FALSE</formula>
    </cfRule>
  </conditionalFormatting>
  <conditionalFormatting sqref="AG247">
    <cfRule type="expression" dxfId="275" priority="616" stopIfTrue="1">
      <formula>$AE247=FALSE</formula>
    </cfRule>
  </conditionalFormatting>
  <conditionalFormatting sqref="AP248">
    <cfRule type="cellIs" dxfId="274" priority="615" operator="greaterThan">
      <formula>0.2</formula>
    </cfRule>
  </conditionalFormatting>
  <conditionalFormatting sqref="AR248">
    <cfRule type="cellIs" dxfId="273" priority="614" operator="greaterThan">
      <formula>0.2</formula>
    </cfRule>
  </conditionalFormatting>
  <conditionalFormatting sqref="AT248">
    <cfRule type="cellIs" dxfId="272" priority="613" operator="greaterThan">
      <formula>0.2</formula>
    </cfRule>
  </conditionalFormatting>
  <conditionalFormatting sqref="AN249">
    <cfRule type="cellIs" dxfId="271" priority="612" operator="greaterThan">
      <formula>0.2</formula>
    </cfRule>
  </conditionalFormatting>
  <conditionalFormatting sqref="AG277">
    <cfRule type="expression" dxfId="270" priority="610" stopIfTrue="1">
      <formula>$AE277=FALSE</formula>
    </cfRule>
  </conditionalFormatting>
  <conditionalFormatting sqref="AG279">
    <cfRule type="expression" dxfId="269" priority="609" stopIfTrue="1">
      <formula>$AE279=FALSE</formula>
    </cfRule>
  </conditionalFormatting>
  <conditionalFormatting sqref="AG277">
    <cfRule type="expression" dxfId="268" priority="608" stopIfTrue="1">
      <formula>$AE277=FALSE</formula>
    </cfRule>
  </conditionalFormatting>
  <conditionalFormatting sqref="AP278:AP279">
    <cfRule type="cellIs" dxfId="267" priority="607" operator="greaterThan">
      <formula>0.2</formula>
    </cfRule>
  </conditionalFormatting>
  <conditionalFormatting sqref="AR278">
    <cfRule type="cellIs" dxfId="266" priority="606" operator="greaterThan">
      <formula>0.2</formula>
    </cfRule>
  </conditionalFormatting>
  <conditionalFormatting sqref="AT278">
    <cfRule type="cellIs" dxfId="265" priority="605" operator="greaterThan">
      <formula>0.2</formula>
    </cfRule>
  </conditionalFormatting>
  <conditionalFormatting sqref="AN279">
    <cfRule type="cellIs" dxfId="264" priority="604" operator="greaterThan">
      <formula>0.2</formula>
    </cfRule>
  </conditionalFormatting>
  <conditionalFormatting sqref="AP279">
    <cfRule type="cellIs" dxfId="263" priority="603" operator="greaterThan">
      <formula>0.3</formula>
    </cfRule>
  </conditionalFormatting>
  <conditionalFormatting sqref="AG309">
    <cfRule type="expression" dxfId="262" priority="602" stopIfTrue="1">
      <formula>$AE309=FALSE</formula>
    </cfRule>
  </conditionalFormatting>
  <conditionalFormatting sqref="AG311">
    <cfRule type="expression" dxfId="261" priority="601" stopIfTrue="1">
      <formula>$AE311=FALSE</formula>
    </cfRule>
  </conditionalFormatting>
  <conditionalFormatting sqref="AG309">
    <cfRule type="expression" dxfId="260" priority="600" stopIfTrue="1">
      <formula>$AE309=FALSE</formula>
    </cfRule>
  </conditionalFormatting>
  <conditionalFormatting sqref="AP310:AP311">
    <cfRule type="cellIs" dxfId="259" priority="599" operator="greaterThan">
      <formula>0.2</formula>
    </cfRule>
  </conditionalFormatting>
  <conditionalFormatting sqref="AR310">
    <cfRule type="cellIs" dxfId="258" priority="598" operator="greaterThan">
      <formula>0.2</formula>
    </cfRule>
  </conditionalFormatting>
  <conditionalFormatting sqref="AT310">
    <cfRule type="cellIs" dxfId="257" priority="597" operator="greaterThan">
      <formula>0.2</formula>
    </cfRule>
  </conditionalFormatting>
  <conditionalFormatting sqref="AN311">
    <cfRule type="cellIs" dxfId="256" priority="596" operator="greaterThan">
      <formula>0.2</formula>
    </cfRule>
  </conditionalFormatting>
  <conditionalFormatting sqref="AP311">
    <cfRule type="cellIs" dxfId="255" priority="595" operator="greaterThan">
      <formula>0.3</formula>
    </cfRule>
  </conditionalFormatting>
  <conditionalFormatting sqref="AG320">
    <cfRule type="expression" dxfId="254" priority="594" stopIfTrue="1">
      <formula>$AE320=FALSE</formula>
    </cfRule>
  </conditionalFormatting>
  <conditionalFormatting sqref="AG322">
    <cfRule type="expression" dxfId="253" priority="593" stopIfTrue="1">
      <formula>$AE322=FALSE</formula>
    </cfRule>
  </conditionalFormatting>
  <conditionalFormatting sqref="AG320">
    <cfRule type="expression" dxfId="252" priority="592" stopIfTrue="1">
      <formula>$AE320=FALSE</formula>
    </cfRule>
  </conditionalFormatting>
  <conditionalFormatting sqref="AP321:AP322">
    <cfRule type="cellIs" dxfId="251" priority="591" operator="greaterThan">
      <formula>0.2</formula>
    </cfRule>
  </conditionalFormatting>
  <conditionalFormatting sqref="AP393:AP394">
    <cfRule type="cellIs" dxfId="250" priority="547" operator="greaterThan">
      <formula>0.2</formula>
    </cfRule>
  </conditionalFormatting>
  <conditionalFormatting sqref="AN322">
    <cfRule type="cellIs" dxfId="249" priority="588" operator="greaterThan">
      <formula>0.2</formula>
    </cfRule>
  </conditionalFormatting>
  <conditionalFormatting sqref="AP322">
    <cfRule type="cellIs" dxfId="248" priority="587" operator="greaterThan">
      <formula>0.3</formula>
    </cfRule>
  </conditionalFormatting>
  <conditionalFormatting sqref="AG331">
    <cfRule type="expression" dxfId="247" priority="586" stopIfTrue="1">
      <formula>$AE331=FALSE</formula>
    </cfRule>
  </conditionalFormatting>
  <conditionalFormatting sqref="AG333">
    <cfRule type="expression" dxfId="246" priority="585" stopIfTrue="1">
      <formula>$AE333=FALSE</formula>
    </cfRule>
  </conditionalFormatting>
  <conditionalFormatting sqref="AG331">
    <cfRule type="expression" dxfId="245" priority="584" stopIfTrue="1">
      <formula>$AE331=FALSE</formula>
    </cfRule>
  </conditionalFormatting>
  <conditionalFormatting sqref="AP332:AP333">
    <cfRule type="cellIs" dxfId="244" priority="583" operator="greaterThan">
      <formula>0.2</formula>
    </cfRule>
  </conditionalFormatting>
  <conditionalFormatting sqref="AN333">
    <cfRule type="cellIs" dxfId="243" priority="582" operator="greaterThan">
      <formula>0.2</formula>
    </cfRule>
  </conditionalFormatting>
  <conditionalFormatting sqref="AP333">
    <cfRule type="cellIs" dxfId="242" priority="581" operator="greaterThan">
      <formula>0.3</formula>
    </cfRule>
  </conditionalFormatting>
  <conditionalFormatting sqref="AG351">
    <cfRule type="expression" dxfId="241" priority="580" stopIfTrue="1">
      <formula>$AE351=FALSE</formula>
    </cfRule>
  </conditionalFormatting>
  <conditionalFormatting sqref="AG351">
    <cfRule type="expression" dxfId="240" priority="578" stopIfTrue="1">
      <formula>$AE351=FALSE</formula>
    </cfRule>
  </conditionalFormatting>
  <conditionalFormatting sqref="AN352">
    <cfRule type="cellIs" dxfId="239" priority="576" operator="greaterThan">
      <formula>0.2</formula>
    </cfRule>
  </conditionalFormatting>
  <conditionalFormatting sqref="AP352">
    <cfRule type="cellIs" dxfId="238" priority="575" operator="greaterThan">
      <formula>0.3</formula>
    </cfRule>
  </conditionalFormatting>
  <conditionalFormatting sqref="AG357">
    <cfRule type="expression" dxfId="237" priority="574" stopIfTrue="1">
      <formula>$AE357=FALSE</formula>
    </cfRule>
  </conditionalFormatting>
  <conditionalFormatting sqref="AG357">
    <cfRule type="expression" dxfId="236" priority="572" stopIfTrue="1">
      <formula>$AE357=FALSE</formula>
    </cfRule>
  </conditionalFormatting>
  <conditionalFormatting sqref="AP358:AP359">
    <cfRule type="cellIs" dxfId="235" priority="571" operator="greaterThan">
      <formula>0.2</formula>
    </cfRule>
  </conditionalFormatting>
  <conditionalFormatting sqref="AN359">
    <cfRule type="cellIs" dxfId="234" priority="570" operator="greaterThan">
      <formula>0.2</formula>
    </cfRule>
  </conditionalFormatting>
  <conditionalFormatting sqref="AP359">
    <cfRule type="cellIs" dxfId="233" priority="569" operator="greaterThan">
      <formula>0.3</formula>
    </cfRule>
  </conditionalFormatting>
  <conditionalFormatting sqref="AP394">
    <cfRule type="cellIs" dxfId="232" priority="545" operator="greaterThan">
      <formula>0.3</formula>
    </cfRule>
  </conditionalFormatting>
  <conditionalFormatting sqref="AP380:AP381">
    <cfRule type="cellIs" dxfId="231" priority="559" operator="greaterThan">
      <formula>0.2</formula>
    </cfRule>
  </conditionalFormatting>
  <conditionalFormatting sqref="AN381">
    <cfRule type="cellIs" dxfId="230" priority="558" operator="greaterThan">
      <formula>0.2</formula>
    </cfRule>
  </conditionalFormatting>
  <conditionalFormatting sqref="AP381">
    <cfRule type="cellIs" dxfId="229" priority="557" operator="greaterThan">
      <formula>0.3</formula>
    </cfRule>
  </conditionalFormatting>
  <conditionalFormatting sqref="AP386:AP387">
    <cfRule type="cellIs" dxfId="228" priority="553" operator="greaterThan">
      <formula>0.2</formula>
    </cfRule>
  </conditionalFormatting>
  <conditionalFormatting sqref="AN387">
    <cfRule type="cellIs" dxfId="227" priority="552" operator="greaterThan">
      <formula>0.2</formula>
    </cfRule>
  </conditionalFormatting>
  <conditionalFormatting sqref="AP387">
    <cfRule type="cellIs" dxfId="226" priority="551" operator="greaterThan">
      <formula>0.3</formula>
    </cfRule>
  </conditionalFormatting>
  <conditionalFormatting sqref="AN394">
    <cfRule type="cellIs" dxfId="225" priority="546" operator="greaterThan">
      <formula>0.2</formula>
    </cfRule>
  </conditionalFormatting>
  <conditionalFormatting sqref="T15">
    <cfRule type="cellIs" dxfId="224" priority="540" operator="greaterThan">
      <formula>0.3</formula>
    </cfRule>
  </conditionalFormatting>
  <conditionalFormatting sqref="S333">
    <cfRule type="cellIs" dxfId="223" priority="414" operator="greaterThan">
      <formula>0.3</formula>
    </cfRule>
    <cfRule type="cellIs" dxfId="222" priority="415" operator="greaterThan">
      <formula>30</formula>
    </cfRule>
  </conditionalFormatting>
  <conditionalFormatting sqref="S357">
    <cfRule type="cellIs" dxfId="221" priority="406" operator="greaterThan">
      <formula>0.3</formula>
    </cfRule>
    <cfRule type="cellIs" dxfId="220" priority="407" operator="greaterThan">
      <formula>30</formula>
    </cfRule>
  </conditionalFormatting>
  <conditionalFormatting sqref="S380">
    <cfRule type="cellIs" dxfId="219" priority="390" operator="greaterThan">
      <formula>0.3</formula>
    </cfRule>
    <cfRule type="cellIs" dxfId="218" priority="391" operator="greaterThan">
      <formula>30</formula>
    </cfRule>
  </conditionalFormatting>
  <conditionalFormatting sqref="S386">
    <cfRule type="cellIs" dxfId="217" priority="382" operator="greaterThan">
      <formula>0.3</formula>
    </cfRule>
    <cfRule type="cellIs" dxfId="216" priority="383" operator="greaterThan">
      <formula>30</formula>
    </cfRule>
  </conditionalFormatting>
  <conditionalFormatting sqref="AP249">
    <cfRule type="cellIs" dxfId="215" priority="356" operator="greaterThan">
      <formula>0.3</formula>
    </cfRule>
  </conditionalFormatting>
  <conditionalFormatting sqref="F15">
    <cfRule type="cellIs" dxfId="214" priority="354" operator="greaterThan">
      <formula>0.3</formula>
    </cfRule>
    <cfRule type="cellIs" dxfId="213" priority="355" operator="greaterThan">
      <formula>30</formula>
    </cfRule>
  </conditionalFormatting>
  <conditionalFormatting sqref="E14">
    <cfRule type="cellIs" dxfId="212" priority="350" operator="greaterThan">
      <formula>0.3</formula>
    </cfRule>
    <cfRule type="cellIs" dxfId="211" priority="351" operator="greaterThan">
      <formula>30</formula>
    </cfRule>
  </conditionalFormatting>
  <conditionalFormatting sqref="F14">
    <cfRule type="cellIs" dxfId="210" priority="348" operator="greaterThan">
      <formula>0.3</formula>
    </cfRule>
    <cfRule type="cellIs" dxfId="209" priority="349" operator="greaterThan">
      <formula>30</formula>
    </cfRule>
  </conditionalFormatting>
  <conditionalFormatting sqref="E27">
    <cfRule type="cellIs" dxfId="208" priority="255" operator="greaterThan">
      <formula>0.25</formula>
    </cfRule>
    <cfRule type="cellIs" dxfId="207" priority="346" operator="greaterThan">
      <formula>0.3</formula>
    </cfRule>
    <cfRule type="cellIs" dxfId="206" priority="347" operator="greaterThan">
      <formula>30</formula>
    </cfRule>
  </conditionalFormatting>
  <conditionalFormatting sqref="AN28">
    <cfRule type="cellIs" dxfId="205" priority="263" operator="greaterThan">
      <formula>0.2</formula>
    </cfRule>
  </conditionalFormatting>
  <conditionalFormatting sqref="AP28">
    <cfRule type="cellIs" dxfId="204" priority="260" operator="greaterThan">
      <formula>0.2</formula>
    </cfRule>
  </conditionalFormatting>
  <conditionalFormatting sqref="AR28">
    <cfRule type="cellIs" dxfId="203" priority="259" operator="greaterThan">
      <formula>0.2</formula>
    </cfRule>
  </conditionalFormatting>
  <conditionalFormatting sqref="AT28">
    <cfRule type="cellIs" dxfId="202" priority="258" operator="greaterThan">
      <formula>0.2</formula>
    </cfRule>
  </conditionalFormatting>
  <conditionalFormatting sqref="S352">
    <cfRule type="cellIs" dxfId="201" priority="250" operator="greaterThan">
      <formula>0.3</formula>
    </cfRule>
    <cfRule type="cellIs" dxfId="200" priority="251" operator="greaterThan">
      <formula>30</formula>
    </cfRule>
  </conditionalFormatting>
  <conditionalFormatting sqref="T352">
    <cfRule type="cellIs" dxfId="199" priority="246" operator="greaterThan">
      <formula>0.3</formula>
    </cfRule>
    <cfRule type="cellIs" dxfId="198" priority="247" operator="greaterThan">
      <formula>30</formula>
    </cfRule>
  </conditionalFormatting>
  <conditionalFormatting sqref="AN353">
    <cfRule type="cellIs" dxfId="197" priority="241" operator="greaterThan">
      <formula>0.2</formula>
    </cfRule>
  </conditionalFormatting>
  <conditionalFormatting sqref="AP353">
    <cfRule type="cellIs" dxfId="196" priority="237" operator="greaterThan">
      <formula>0.2</formula>
    </cfRule>
  </conditionalFormatting>
  <conditionalFormatting sqref="AP353">
    <cfRule type="cellIs" dxfId="195" priority="236" operator="greaterThan">
      <formula>0.3</formula>
    </cfRule>
  </conditionalFormatting>
  <conditionalFormatting sqref="T386">
    <cfRule type="cellIs" dxfId="194" priority="234" operator="greaterThan">
      <formula>0.3</formula>
    </cfRule>
    <cfRule type="cellIs" dxfId="193" priority="235" operator="greaterThan">
      <formula>30</formula>
    </cfRule>
  </conditionalFormatting>
  <conditionalFormatting sqref="T380">
    <cfRule type="cellIs" dxfId="192" priority="232" operator="greaterThan">
      <formula>0.3</formula>
    </cfRule>
    <cfRule type="cellIs" dxfId="191" priority="233" operator="greaterThan">
      <formula>30</formula>
    </cfRule>
  </conditionalFormatting>
  <conditionalFormatting sqref="T357">
    <cfRule type="cellIs" dxfId="190" priority="223" operator="greaterThan">
      <formula>0.3</formula>
    </cfRule>
    <cfRule type="cellIs" dxfId="189" priority="224" operator="greaterThan">
      <formula>30</formula>
    </cfRule>
  </conditionalFormatting>
  <conditionalFormatting sqref="T333">
    <cfRule type="cellIs" dxfId="188" priority="221" operator="greaterThan">
      <formula>0.3</formula>
    </cfRule>
    <cfRule type="cellIs" dxfId="187" priority="222" operator="greaterThan">
      <formula>30</formula>
    </cfRule>
  </conditionalFormatting>
  <conditionalFormatting sqref="S321">
    <cfRule type="cellIs" dxfId="186" priority="219" operator="greaterThan">
      <formula>0.3</formula>
    </cfRule>
    <cfRule type="cellIs" dxfId="185" priority="220" operator="greaterThan">
      <formula>30</formula>
    </cfRule>
  </conditionalFormatting>
  <conditionalFormatting sqref="T321">
    <cfRule type="cellIs" dxfId="184" priority="215" operator="greaterThan">
      <formula>0.3</formula>
    </cfRule>
    <cfRule type="cellIs" dxfId="183" priority="216" operator="greaterThan">
      <formula>30</formula>
    </cfRule>
  </conditionalFormatting>
  <conditionalFormatting sqref="S310">
    <cfRule type="cellIs" dxfId="182" priority="213" operator="greaterThan">
      <formula>0.3</formula>
    </cfRule>
    <cfRule type="cellIs" dxfId="181" priority="214" operator="greaterThan">
      <formula>30</formula>
    </cfRule>
  </conditionalFormatting>
  <conditionalFormatting sqref="T310">
    <cfRule type="cellIs" dxfId="180" priority="211" operator="greaterThan">
      <formula>0.3</formula>
    </cfRule>
    <cfRule type="cellIs" dxfId="179" priority="212" operator="greaterThan">
      <formula>30</formula>
    </cfRule>
  </conditionalFormatting>
  <conditionalFormatting sqref="S278">
    <cfRule type="cellIs" dxfId="178" priority="209" operator="greaterThan">
      <formula>0.3</formula>
    </cfRule>
    <cfRule type="cellIs" dxfId="177" priority="210" operator="greaterThan">
      <formula>30</formula>
    </cfRule>
  </conditionalFormatting>
  <conditionalFormatting sqref="T278">
    <cfRule type="cellIs" dxfId="176" priority="205" operator="greaterThan">
      <formula>0.3</formula>
    </cfRule>
    <cfRule type="cellIs" dxfId="175" priority="206" operator="greaterThan">
      <formula>30</formula>
    </cfRule>
  </conditionalFormatting>
  <conditionalFormatting sqref="S249">
    <cfRule type="cellIs" dxfId="174" priority="203" operator="greaterThan">
      <formula>0.3</formula>
    </cfRule>
    <cfRule type="cellIs" dxfId="173" priority="204" operator="greaterThan">
      <formula>30</formula>
    </cfRule>
  </conditionalFormatting>
  <conditionalFormatting sqref="T249">
    <cfRule type="cellIs" dxfId="172" priority="201" operator="greaterThan">
      <formula>0.3</formula>
    </cfRule>
    <cfRule type="cellIs" dxfId="171" priority="202" operator="greaterThan">
      <formula>30</formula>
    </cfRule>
  </conditionalFormatting>
  <conditionalFormatting sqref="S225">
    <cfRule type="cellIs" dxfId="170" priority="199" operator="greaterThan">
      <formula>0.3</formula>
    </cfRule>
    <cfRule type="cellIs" dxfId="169" priority="200" operator="greaterThan">
      <formula>30</formula>
    </cfRule>
  </conditionalFormatting>
  <conditionalFormatting sqref="T225">
    <cfRule type="cellIs" dxfId="168" priority="197" operator="greaterThan">
      <formula>0.3</formula>
    </cfRule>
    <cfRule type="cellIs" dxfId="167" priority="198" operator="greaterThan">
      <formula>30</formula>
    </cfRule>
  </conditionalFormatting>
  <conditionalFormatting sqref="S195">
    <cfRule type="cellIs" dxfId="166" priority="195" operator="greaterThan">
      <formula>0.3</formula>
    </cfRule>
    <cfRule type="cellIs" dxfId="165" priority="196" operator="greaterThan">
      <formula>30</formula>
    </cfRule>
  </conditionalFormatting>
  <conditionalFormatting sqref="T195">
    <cfRule type="cellIs" dxfId="164" priority="193" operator="greaterThan">
      <formula>0.3</formula>
    </cfRule>
    <cfRule type="cellIs" dxfId="163" priority="194" operator="greaterThan">
      <formula>30</formula>
    </cfRule>
  </conditionalFormatting>
  <conditionalFormatting sqref="S178">
    <cfRule type="cellIs" dxfId="162" priority="191" operator="greaterThan">
      <formula>0.3</formula>
    </cfRule>
    <cfRule type="cellIs" dxfId="161" priority="192" operator="greaterThan">
      <formula>30</formula>
    </cfRule>
  </conditionalFormatting>
  <conditionalFormatting sqref="T178">
    <cfRule type="cellIs" dxfId="160" priority="189" operator="greaterThan">
      <formula>0.3</formula>
    </cfRule>
    <cfRule type="cellIs" dxfId="159" priority="190" operator="greaterThan">
      <formula>30</formula>
    </cfRule>
  </conditionalFormatting>
  <conditionalFormatting sqref="S141">
    <cfRule type="cellIs" dxfId="158" priority="187" operator="greaterThan">
      <formula>0.3</formula>
    </cfRule>
    <cfRule type="cellIs" dxfId="157" priority="188" operator="greaterThan">
      <formula>30</formula>
    </cfRule>
  </conditionalFormatting>
  <conditionalFormatting sqref="T141">
    <cfRule type="cellIs" dxfId="156" priority="185" operator="greaterThan">
      <formula>0.3</formula>
    </cfRule>
    <cfRule type="cellIs" dxfId="155" priority="186" operator="greaterThan">
      <formula>30</formula>
    </cfRule>
  </conditionalFormatting>
  <conditionalFormatting sqref="S110">
    <cfRule type="cellIs" dxfId="154" priority="183" operator="greaterThan">
      <formula>0.3</formula>
    </cfRule>
    <cfRule type="cellIs" dxfId="153" priority="184" operator="greaterThan">
      <formula>30</formula>
    </cfRule>
  </conditionalFormatting>
  <conditionalFormatting sqref="T110">
    <cfRule type="cellIs" dxfId="152" priority="181" operator="greaterThan">
      <formula>0.3</formula>
    </cfRule>
    <cfRule type="cellIs" dxfId="151" priority="182" operator="greaterThan">
      <formula>30</formula>
    </cfRule>
  </conditionalFormatting>
  <conditionalFormatting sqref="S103">
    <cfRule type="cellIs" dxfId="150" priority="179" operator="greaterThan">
      <formula>0.3</formula>
    </cfRule>
    <cfRule type="cellIs" dxfId="149" priority="180" operator="greaterThan">
      <formula>30</formula>
    </cfRule>
  </conditionalFormatting>
  <conditionalFormatting sqref="T103">
    <cfRule type="cellIs" dxfId="148" priority="177" operator="greaterThan">
      <formula>0.3</formula>
    </cfRule>
    <cfRule type="cellIs" dxfId="147" priority="178" operator="greaterThan">
      <formula>30</formula>
    </cfRule>
  </conditionalFormatting>
  <conditionalFormatting sqref="S94">
    <cfRule type="cellIs" dxfId="146" priority="175" operator="greaterThan">
      <formula>0.3</formula>
    </cfRule>
    <cfRule type="cellIs" dxfId="145" priority="176" operator="greaterThan">
      <formula>30</formula>
    </cfRule>
  </conditionalFormatting>
  <conditionalFormatting sqref="T94">
    <cfRule type="cellIs" dxfId="144" priority="173" operator="greaterThan">
      <formula>0.3</formula>
    </cfRule>
    <cfRule type="cellIs" dxfId="143" priority="174" operator="greaterThan">
      <formula>30</formula>
    </cfRule>
  </conditionalFormatting>
  <conditionalFormatting sqref="S76">
    <cfRule type="cellIs" dxfId="142" priority="171" operator="greaterThan">
      <formula>0.3</formula>
    </cfRule>
    <cfRule type="cellIs" dxfId="141" priority="172" operator="greaterThan">
      <formula>30</formula>
    </cfRule>
  </conditionalFormatting>
  <conditionalFormatting sqref="T76">
    <cfRule type="cellIs" dxfId="140" priority="169" operator="greaterThan">
      <formula>0.3</formula>
    </cfRule>
    <cfRule type="cellIs" dxfId="139" priority="170" operator="greaterThan">
      <formula>30</formula>
    </cfRule>
  </conditionalFormatting>
  <conditionalFormatting sqref="S45">
    <cfRule type="cellIs" dxfId="138" priority="167" operator="greaterThan">
      <formula>0.3</formula>
    </cfRule>
    <cfRule type="cellIs" dxfId="137" priority="168" operator="greaterThan">
      <formula>30</formula>
    </cfRule>
  </conditionalFormatting>
  <conditionalFormatting sqref="T45">
    <cfRule type="cellIs" dxfId="136" priority="165" operator="greaterThan">
      <formula>0.3</formula>
    </cfRule>
    <cfRule type="cellIs" dxfId="135" priority="166" operator="greaterThan">
      <formula>30</formula>
    </cfRule>
  </conditionalFormatting>
  <conditionalFormatting sqref="S27">
    <cfRule type="cellIs" dxfId="134" priority="55" operator="greaterThan">
      <formula>0.2</formula>
    </cfRule>
    <cfRule type="cellIs" dxfId="133" priority="163" operator="greaterThan">
      <formula>0.3</formula>
    </cfRule>
    <cfRule type="cellIs" dxfId="132" priority="164" operator="greaterThan">
      <formula>30</formula>
    </cfRule>
  </conditionalFormatting>
  <conditionalFormatting sqref="T27">
    <cfRule type="cellIs" dxfId="131" priority="161" operator="greaterThan">
      <formula>0.3</formula>
    </cfRule>
    <cfRule type="cellIs" dxfId="130" priority="162" operator="greaterThan">
      <formula>30</formula>
    </cfRule>
  </conditionalFormatting>
  <conditionalFormatting sqref="S14">
    <cfRule type="cellIs" dxfId="129" priority="57" operator="greaterThan">
      <formula>0.2</formula>
    </cfRule>
    <cfRule type="cellIs" dxfId="128" priority="159" operator="greaterThan">
      <formula>0.3</formula>
    </cfRule>
    <cfRule type="cellIs" dxfId="127" priority="160" operator="greaterThan">
      <formula>30</formula>
    </cfRule>
  </conditionalFormatting>
  <conditionalFormatting sqref="T14">
    <cfRule type="cellIs" dxfId="126" priority="157" operator="greaterThan">
      <formula>0.3</formula>
    </cfRule>
    <cfRule type="cellIs" dxfId="125" priority="158" operator="greaterThan">
      <formula>30</formula>
    </cfRule>
  </conditionalFormatting>
  <conditionalFormatting sqref="AE160:AF161">
    <cfRule type="expression" dxfId="124" priority="156" stopIfTrue="1">
      <formula>$AE160=FALSE</formula>
    </cfRule>
  </conditionalFormatting>
  <conditionalFormatting sqref="T162">
    <cfRule type="cellIs" dxfId="123" priority="152" operator="greaterThan">
      <formula>0.3</formula>
    </cfRule>
    <cfRule type="cellIs" dxfId="122" priority="153" operator="greaterThan">
      <formula>30</formula>
    </cfRule>
  </conditionalFormatting>
  <conditionalFormatting sqref="S162">
    <cfRule type="cellIs" dxfId="121" priority="154" operator="greaterThan">
      <formula>0.3</formula>
    </cfRule>
    <cfRule type="cellIs" dxfId="120" priority="155" operator="greaterThan">
      <formula>30</formula>
    </cfRule>
  </conditionalFormatting>
  <conditionalFormatting sqref="AP163:AP164">
    <cfRule type="cellIs" dxfId="119" priority="151" operator="greaterThan">
      <formula>0.2</formula>
    </cfRule>
  </conditionalFormatting>
  <conditionalFormatting sqref="AR163">
    <cfRule type="cellIs" dxfId="118" priority="150" operator="greaterThan">
      <formula>0.2</formula>
    </cfRule>
  </conditionalFormatting>
  <conditionalFormatting sqref="AT163">
    <cfRule type="cellIs" dxfId="117" priority="149" operator="greaterThan">
      <formula>0.2</formula>
    </cfRule>
  </conditionalFormatting>
  <conditionalFormatting sqref="AN164">
    <cfRule type="cellIs" dxfId="116" priority="148" operator="greaterThan">
      <formula>0.2</formula>
    </cfRule>
  </conditionalFormatting>
  <conditionalFormatting sqref="AP164">
    <cfRule type="cellIs" dxfId="115" priority="147" operator="greaterThan">
      <formula>0.3</formula>
    </cfRule>
  </conditionalFormatting>
  <conditionalFormatting sqref="AG163">
    <cfRule type="expression" dxfId="114" priority="145" stopIfTrue="1">
      <formula>$AE163=FALSE</formula>
    </cfRule>
  </conditionalFormatting>
  <conditionalFormatting sqref="F27">
    <cfRule type="cellIs" dxfId="113" priority="142" operator="greaterThan">
      <formula>0.3</formula>
    </cfRule>
    <cfRule type="cellIs" dxfId="112" priority="143" operator="greaterThan">
      <formula>30</formula>
    </cfRule>
  </conditionalFormatting>
  <conditionalFormatting sqref="E45">
    <cfRule type="cellIs" dxfId="111" priority="140" operator="greaterThan">
      <formula>0.3</formula>
    </cfRule>
    <cfRule type="cellIs" dxfId="110" priority="141" operator="greaterThan">
      <formula>30</formula>
    </cfRule>
  </conditionalFormatting>
  <conditionalFormatting sqref="F45">
    <cfRule type="cellIs" dxfId="109" priority="138" operator="greaterThan">
      <formula>0.3</formula>
    </cfRule>
    <cfRule type="cellIs" dxfId="108" priority="139" operator="greaterThan">
      <formula>30</formula>
    </cfRule>
  </conditionalFormatting>
  <conditionalFormatting sqref="E76">
    <cfRule type="cellIs" dxfId="107" priority="136" operator="greaterThan">
      <formula>0.3</formula>
    </cfRule>
    <cfRule type="cellIs" dxfId="106" priority="137" operator="greaterThan">
      <formula>30</formula>
    </cfRule>
  </conditionalFormatting>
  <conditionalFormatting sqref="F76">
    <cfRule type="cellIs" dxfId="105" priority="134" operator="greaterThan">
      <formula>0.3</formula>
    </cfRule>
    <cfRule type="cellIs" dxfId="104" priority="135" operator="greaterThan">
      <formula>30</formula>
    </cfRule>
  </conditionalFormatting>
  <conditionalFormatting sqref="E94">
    <cfRule type="cellIs" dxfId="103" priority="132" operator="greaterThan">
      <formula>0.3</formula>
    </cfRule>
    <cfRule type="cellIs" dxfId="102" priority="133" operator="greaterThan">
      <formula>30</formula>
    </cfRule>
  </conditionalFormatting>
  <conditionalFormatting sqref="F94">
    <cfRule type="cellIs" dxfId="101" priority="130" operator="greaterThan">
      <formula>0.3</formula>
    </cfRule>
    <cfRule type="cellIs" dxfId="100" priority="131" operator="greaterThan">
      <formula>30</formula>
    </cfRule>
  </conditionalFormatting>
  <conditionalFormatting sqref="E103">
    <cfRule type="cellIs" dxfId="99" priority="128" operator="greaterThan">
      <formula>0.3</formula>
    </cfRule>
    <cfRule type="cellIs" dxfId="98" priority="129" operator="greaterThan">
      <formula>30</formula>
    </cfRule>
  </conditionalFormatting>
  <conditionalFormatting sqref="F103">
    <cfRule type="cellIs" dxfId="97" priority="126" operator="greaterThan">
      <formula>0.3</formula>
    </cfRule>
    <cfRule type="cellIs" dxfId="96" priority="127" operator="greaterThan">
      <formula>30</formula>
    </cfRule>
  </conditionalFormatting>
  <conditionalFormatting sqref="E110">
    <cfRule type="cellIs" dxfId="95" priority="124" operator="greaterThan">
      <formula>0.3</formula>
    </cfRule>
    <cfRule type="cellIs" dxfId="94" priority="125" operator="greaterThan">
      <formula>30</formula>
    </cfRule>
  </conditionalFormatting>
  <conditionalFormatting sqref="F110">
    <cfRule type="cellIs" dxfId="93" priority="122" operator="greaterThan">
      <formula>0.3</formula>
    </cfRule>
    <cfRule type="cellIs" dxfId="92" priority="123" operator="greaterThan">
      <formula>30</formula>
    </cfRule>
  </conditionalFormatting>
  <conditionalFormatting sqref="E141">
    <cfRule type="cellIs" dxfId="91" priority="120" operator="greaterThan">
      <formula>0.3</formula>
    </cfRule>
    <cfRule type="cellIs" dxfId="90" priority="121" operator="greaterThan">
      <formula>30</formula>
    </cfRule>
  </conditionalFormatting>
  <conditionalFormatting sqref="F141">
    <cfRule type="cellIs" dxfId="89" priority="118" operator="greaterThan">
      <formula>0.3</formula>
    </cfRule>
    <cfRule type="cellIs" dxfId="88" priority="119" operator="greaterThan">
      <formula>30</formula>
    </cfRule>
  </conditionalFormatting>
  <conditionalFormatting sqref="F162">
    <cfRule type="cellIs" dxfId="87" priority="114" operator="greaterThan">
      <formula>0.3</formula>
    </cfRule>
    <cfRule type="cellIs" dxfId="86" priority="115" operator="greaterThan">
      <formula>30</formula>
    </cfRule>
  </conditionalFormatting>
  <conditionalFormatting sqref="E162">
    <cfRule type="cellIs" dxfId="85" priority="116" operator="greaterThan">
      <formula>0.3</formula>
    </cfRule>
    <cfRule type="cellIs" dxfId="84" priority="117" operator="greaterThan">
      <formula>30</formula>
    </cfRule>
  </conditionalFormatting>
  <conditionalFormatting sqref="E178">
    <cfRule type="cellIs" dxfId="83" priority="112" operator="greaterThan">
      <formula>0.3</formula>
    </cfRule>
    <cfRule type="cellIs" dxfId="82" priority="113" operator="greaterThan">
      <formula>30</formula>
    </cfRule>
  </conditionalFormatting>
  <conditionalFormatting sqref="F178">
    <cfRule type="cellIs" dxfId="81" priority="110" operator="greaterThan">
      <formula>0.3</formula>
    </cfRule>
    <cfRule type="cellIs" dxfId="80" priority="111" operator="greaterThan">
      <formula>30</formula>
    </cfRule>
  </conditionalFormatting>
  <conditionalFormatting sqref="E195">
    <cfRule type="cellIs" dxfId="79" priority="108" operator="greaterThan">
      <formula>0.3</formula>
    </cfRule>
    <cfRule type="cellIs" dxfId="78" priority="109" operator="greaterThan">
      <formula>30</formula>
    </cfRule>
  </conditionalFormatting>
  <conditionalFormatting sqref="F195">
    <cfRule type="cellIs" dxfId="77" priority="106" operator="greaterThan">
      <formula>0.3</formula>
    </cfRule>
    <cfRule type="cellIs" dxfId="76" priority="107" operator="greaterThan">
      <formula>30</formula>
    </cfRule>
  </conditionalFormatting>
  <conditionalFormatting sqref="E225">
    <cfRule type="cellIs" dxfId="75" priority="104" operator="greaterThan">
      <formula>0.3</formula>
    </cfRule>
    <cfRule type="cellIs" dxfId="74" priority="105" operator="greaterThan">
      <formula>30</formula>
    </cfRule>
  </conditionalFormatting>
  <conditionalFormatting sqref="F225">
    <cfRule type="cellIs" dxfId="73" priority="102" operator="greaterThan">
      <formula>0.3</formula>
    </cfRule>
    <cfRule type="cellIs" dxfId="72" priority="103" operator="greaterThan">
      <formula>30</formula>
    </cfRule>
  </conditionalFormatting>
  <conditionalFormatting sqref="E249">
    <cfRule type="cellIs" dxfId="71" priority="100" operator="greaterThan">
      <formula>0.3</formula>
    </cfRule>
    <cfRule type="cellIs" dxfId="70" priority="101" operator="greaterThan">
      <formula>30</formula>
    </cfRule>
  </conditionalFormatting>
  <conditionalFormatting sqref="F249">
    <cfRule type="cellIs" dxfId="69" priority="98" operator="greaterThan">
      <formula>0.3</formula>
    </cfRule>
    <cfRule type="cellIs" dxfId="68" priority="99" operator="greaterThan">
      <formula>30</formula>
    </cfRule>
  </conditionalFormatting>
  <conditionalFormatting sqref="E278">
    <cfRule type="cellIs" dxfId="67" priority="96" operator="greaterThan">
      <formula>0.3</formula>
    </cfRule>
    <cfRule type="cellIs" dxfId="66" priority="97" operator="greaterThan">
      <formula>30</formula>
    </cfRule>
  </conditionalFormatting>
  <conditionalFormatting sqref="F278">
    <cfRule type="cellIs" dxfId="65" priority="94" operator="greaterThan">
      <formula>0.3</formula>
    </cfRule>
    <cfRule type="cellIs" dxfId="64" priority="95" operator="greaterThan">
      <formula>30</formula>
    </cfRule>
  </conditionalFormatting>
  <conditionalFormatting sqref="E310">
    <cfRule type="cellIs" dxfId="63" priority="92" operator="greaterThan">
      <formula>0.3</formula>
    </cfRule>
    <cfRule type="cellIs" dxfId="62" priority="93" operator="greaterThan">
      <formula>30</formula>
    </cfRule>
  </conditionalFormatting>
  <conditionalFormatting sqref="F310">
    <cfRule type="cellIs" dxfId="61" priority="90" operator="greaterThan">
      <formula>0.3</formula>
    </cfRule>
    <cfRule type="cellIs" dxfId="60" priority="91" operator="greaterThan">
      <formula>30</formula>
    </cfRule>
  </conditionalFormatting>
  <conditionalFormatting sqref="E321">
    <cfRule type="cellIs" dxfId="59" priority="88" operator="greaterThan">
      <formula>0.3</formula>
    </cfRule>
    <cfRule type="cellIs" dxfId="58" priority="89" operator="greaterThan">
      <formula>30</formula>
    </cfRule>
  </conditionalFormatting>
  <conditionalFormatting sqref="F321">
    <cfRule type="cellIs" dxfId="57" priority="86" operator="greaterThan">
      <formula>0.3</formula>
    </cfRule>
    <cfRule type="cellIs" dxfId="56" priority="87" operator="greaterThan">
      <formula>30</formula>
    </cfRule>
  </conditionalFormatting>
  <conditionalFormatting sqref="E333">
    <cfRule type="cellIs" dxfId="55" priority="84" operator="greaterThan">
      <formula>0.3</formula>
    </cfRule>
    <cfRule type="cellIs" dxfId="54" priority="85" operator="greaterThan">
      <formula>30</formula>
    </cfRule>
  </conditionalFormatting>
  <conditionalFormatting sqref="F333">
    <cfRule type="cellIs" dxfId="53" priority="82" operator="greaterThan">
      <formula>0.3</formula>
    </cfRule>
    <cfRule type="cellIs" dxfId="52" priority="83" operator="greaterThan">
      <formula>30</formula>
    </cfRule>
  </conditionalFormatting>
  <conditionalFormatting sqref="E352">
    <cfRule type="cellIs" dxfId="51" priority="80" operator="greaterThan">
      <formula>0.3</formula>
    </cfRule>
    <cfRule type="cellIs" dxfId="50" priority="81" operator="greaterThan">
      <formula>30</formula>
    </cfRule>
  </conditionalFormatting>
  <conditionalFormatting sqref="F352">
    <cfRule type="cellIs" dxfId="49" priority="78" operator="greaterThan">
      <formula>0.3</formula>
    </cfRule>
    <cfRule type="cellIs" dxfId="48" priority="79" operator="greaterThan">
      <formula>30</formula>
    </cfRule>
  </conditionalFormatting>
  <conditionalFormatting sqref="E357">
    <cfRule type="cellIs" dxfId="47" priority="76" operator="greaterThan">
      <formula>0.3</formula>
    </cfRule>
    <cfRule type="cellIs" dxfId="46" priority="77" operator="greaterThan">
      <formula>30</formula>
    </cfRule>
  </conditionalFormatting>
  <conditionalFormatting sqref="F357">
    <cfRule type="cellIs" dxfId="45" priority="74" operator="greaterThan">
      <formula>0.3</formula>
    </cfRule>
    <cfRule type="cellIs" dxfId="44" priority="75" operator="greaterThan">
      <formula>30</formula>
    </cfRule>
  </conditionalFormatting>
  <conditionalFormatting sqref="E380">
    <cfRule type="cellIs" dxfId="43" priority="68" operator="greaterThan">
      <formula>0.3</formula>
    </cfRule>
    <cfRule type="cellIs" dxfId="42" priority="69" operator="greaterThan">
      <formula>30</formula>
    </cfRule>
  </conditionalFormatting>
  <conditionalFormatting sqref="F380">
    <cfRule type="cellIs" dxfId="41" priority="66" operator="greaterThan">
      <formula>0.3</formula>
    </cfRule>
    <cfRule type="cellIs" dxfId="40" priority="67" operator="greaterThan">
      <formula>30</formula>
    </cfRule>
  </conditionalFormatting>
  <conditionalFormatting sqref="E386">
    <cfRule type="cellIs" dxfId="39" priority="64" operator="greaterThan">
      <formula>0.3</formula>
    </cfRule>
    <cfRule type="cellIs" dxfId="38" priority="65" operator="greaterThan">
      <formula>30</formula>
    </cfRule>
  </conditionalFormatting>
  <conditionalFormatting sqref="F386">
    <cfRule type="cellIs" dxfId="37" priority="62" operator="greaterThan">
      <formula>0.3</formula>
    </cfRule>
    <cfRule type="cellIs" dxfId="36" priority="63" operator="greaterThan">
      <formula>30</formula>
    </cfRule>
  </conditionalFormatting>
  <conditionalFormatting sqref="AE69:AG69">
    <cfRule type="expression" dxfId="35" priority="54" stopIfTrue="1">
      <formula>$AE69=FALSE</formula>
    </cfRule>
  </conditionalFormatting>
  <conditionalFormatting sqref="AG359">
    <cfRule type="expression" dxfId="34" priority="51" stopIfTrue="1">
      <formula>$AE359=FALSE</formula>
    </cfRule>
  </conditionalFormatting>
  <conditionalFormatting sqref="AG359">
    <cfRule type="expression" dxfId="33" priority="50" stopIfTrue="1">
      <formula>$AE359=FALSE</formula>
    </cfRule>
  </conditionalFormatting>
  <conditionalFormatting sqref="AE173:AG173">
    <cfRule type="expression" dxfId="32" priority="49" stopIfTrue="1">
      <formula>$AE173=FALSE</formula>
    </cfRule>
  </conditionalFormatting>
  <conditionalFormatting sqref="AE243:AG243">
    <cfRule type="expression" dxfId="31" priority="48" stopIfTrue="1">
      <formula>$AE243=FALSE</formula>
    </cfRule>
  </conditionalFormatting>
  <conditionalFormatting sqref="AE70:AG70">
    <cfRule type="expression" dxfId="30" priority="47" stopIfTrue="1">
      <formula>$AE70=FALSE</formula>
    </cfRule>
  </conditionalFormatting>
  <conditionalFormatting sqref="AE396:AG396">
    <cfRule type="expression" dxfId="29" priority="46" stopIfTrue="1">
      <formula>$AE396=FALSE</formula>
    </cfRule>
  </conditionalFormatting>
  <conditionalFormatting sqref="E391">
    <cfRule type="cellIs" dxfId="28" priority="42" operator="greaterThan">
      <formula>0.3</formula>
    </cfRule>
    <cfRule type="cellIs" dxfId="27" priority="43" operator="greaterThan">
      <formula>30</formula>
    </cfRule>
  </conditionalFormatting>
  <conditionalFormatting sqref="F391">
    <cfRule type="cellIs" dxfId="26" priority="40" operator="greaterThan">
      <formula>0.3</formula>
    </cfRule>
    <cfRule type="cellIs" dxfId="25" priority="41" operator="greaterThan">
      <formula>30</formula>
    </cfRule>
  </conditionalFormatting>
  <conditionalFormatting sqref="S391">
    <cfRule type="cellIs" dxfId="24" priority="38" operator="greaterThan">
      <formula>0.3</formula>
    </cfRule>
    <cfRule type="cellIs" dxfId="23" priority="39" operator="greaterThan">
      <formula>30</formula>
    </cfRule>
  </conditionalFormatting>
  <conditionalFormatting sqref="T391">
    <cfRule type="cellIs" dxfId="22" priority="36" operator="greaterThan">
      <formula>0.3</formula>
    </cfRule>
    <cfRule type="cellIs" dxfId="21" priority="37" operator="greaterThan">
      <formula>30</formula>
    </cfRule>
  </conditionalFormatting>
  <conditionalFormatting sqref="AP367">
    <cfRule type="cellIs" dxfId="20" priority="27" operator="greaterThan">
      <formula>0.2</formula>
    </cfRule>
  </conditionalFormatting>
  <conditionalFormatting sqref="AN111">
    <cfRule type="cellIs" dxfId="19" priority="21" operator="greaterThan">
      <formula>0.2</formula>
    </cfRule>
  </conditionalFormatting>
  <conditionalFormatting sqref="AP111">
    <cfRule type="cellIs" dxfId="18" priority="19" operator="greaterThan">
      <formula>0.2</formula>
    </cfRule>
  </conditionalFormatting>
  <conditionalFormatting sqref="AR111">
    <cfRule type="cellIs" dxfId="17" priority="18" operator="greaterThan">
      <formula>0.2</formula>
    </cfRule>
  </conditionalFormatting>
  <conditionalFormatting sqref="AT111">
    <cfRule type="cellIs" dxfId="16" priority="17" operator="greaterThan">
      <formula>0.2</formula>
    </cfRule>
  </conditionalFormatting>
  <conditionalFormatting sqref="AV111">
    <cfRule type="cellIs" dxfId="15" priority="16" operator="greaterThan">
      <formula>0.2</formula>
    </cfRule>
  </conditionalFormatting>
  <conditionalFormatting sqref="AX111">
    <cfRule type="cellIs" dxfId="14" priority="15" operator="greaterThan">
      <formula>0.2</formula>
    </cfRule>
  </conditionalFormatting>
  <conditionalFormatting sqref="AZ111">
    <cfRule type="cellIs" dxfId="13" priority="14" operator="greaterThan">
      <formula>0.2</formula>
    </cfRule>
  </conditionalFormatting>
  <conditionalFormatting sqref="BB111">
    <cfRule type="cellIs" dxfId="12" priority="13" operator="greaterThan">
      <formula>0.2</formula>
    </cfRule>
  </conditionalFormatting>
  <conditionalFormatting sqref="AG111">
    <cfRule type="expression" dxfId="11" priority="12" stopIfTrue="1">
      <formula>$AE111=FALSE</formula>
    </cfRule>
  </conditionalFormatting>
  <conditionalFormatting sqref="E368">
    <cfRule type="cellIs" dxfId="10" priority="10" operator="greaterThan">
      <formula>0.3</formula>
    </cfRule>
    <cfRule type="cellIs" dxfId="9" priority="11" operator="greaterThan">
      <formula>30</formula>
    </cfRule>
  </conditionalFormatting>
  <conditionalFormatting sqref="F368">
    <cfRule type="cellIs" dxfId="8" priority="8" operator="greaterThan">
      <formula>0.3</formula>
    </cfRule>
    <cfRule type="cellIs" dxfId="7" priority="9" operator="greaterThan">
      <formula>30</formula>
    </cfRule>
  </conditionalFormatting>
  <conditionalFormatting sqref="S368">
    <cfRule type="cellIs" dxfId="6" priority="6" operator="greaterThan">
      <formula>0.3</formula>
    </cfRule>
    <cfRule type="cellIs" dxfId="5" priority="7" operator="greaterThan">
      <formula>30</formula>
    </cfRule>
  </conditionalFormatting>
  <conditionalFormatting sqref="T368">
    <cfRule type="cellIs" dxfId="4" priority="4" operator="greaterThan">
      <formula>0.3</formula>
    </cfRule>
    <cfRule type="cellIs" dxfId="3" priority="5" operator="greaterThan">
      <formula>30</formula>
    </cfRule>
  </conditionalFormatting>
  <conditionalFormatting sqref="AP368">
    <cfRule type="cellIs" dxfId="2" priority="3" operator="greaterThan">
      <formula>0.2</formula>
    </cfRule>
  </conditionalFormatting>
  <conditionalFormatting sqref="AN368">
    <cfRule type="cellIs" dxfId="1" priority="2" operator="greaterThan">
      <formula>0.2</formula>
    </cfRule>
  </conditionalFormatting>
  <conditionalFormatting sqref="AP368">
    <cfRule type="cellIs" dxfId="0" priority="1" operator="greaterThan">
      <formula>0.3</formula>
    </cfRule>
  </conditionalFormatting>
  <printOptions horizontalCentered="1"/>
  <pageMargins left="0.15748031496062992" right="0.11811023622047245" top="0.39370078740157483" bottom="0.35433070866141736" header="0.15748031496062992" footer="0.11811023622047245"/>
  <pageSetup paperSize="9" scale="65" orientation="landscape" r:id="rId1"/>
  <headerFooter>
    <oddFooter>Page &amp;P</oddFooter>
  </headerFooter>
  <rowBreaks count="2" manualBreakCount="2">
    <brk id="402" max="29" man="1"/>
    <brk id="429" max="29" man="1"/>
  </rowBreak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C192"/>
  <sheetViews>
    <sheetView showZeros="0" topLeftCell="A9" zoomScale="70" zoomScaleNormal="70" workbookViewId="0">
      <selection activeCell="P10" sqref="P10:U19"/>
    </sheetView>
  </sheetViews>
  <sheetFormatPr defaultRowHeight="15" x14ac:dyDescent="0.25"/>
  <cols>
    <col min="1" max="1" width="5.28515625" style="356" customWidth="1"/>
    <col min="2" max="2" width="25.28515625" style="356" customWidth="1"/>
    <col min="3" max="3" width="10.7109375" style="356" customWidth="1"/>
    <col min="4" max="13" width="6.7109375" style="388" customWidth="1"/>
    <col min="14" max="15" width="6.7109375" style="378" customWidth="1"/>
    <col min="16" max="27" width="6.7109375" style="388" customWidth="1"/>
    <col min="28" max="28" width="8.7109375" style="388" customWidth="1"/>
    <col min="29" max="29" width="9.140625" style="355" customWidth="1"/>
    <col min="30" max="16384" width="9.140625" style="356"/>
  </cols>
  <sheetData>
    <row r="1" spans="1:28" ht="15" customHeight="1" x14ac:dyDescent="0.25">
      <c r="A1" s="1400" t="s">
        <v>559</v>
      </c>
      <c r="B1" s="1400"/>
      <c r="C1" s="1400"/>
      <c r="D1" s="16"/>
      <c r="E1" s="17"/>
      <c r="F1" s="17"/>
      <c r="G1" s="17"/>
      <c r="H1" s="17"/>
      <c r="I1" s="17"/>
      <c r="J1" s="17"/>
      <c r="K1" s="17"/>
      <c r="L1" s="17"/>
      <c r="M1" s="17"/>
      <c r="N1" s="17"/>
      <c r="O1" s="17"/>
      <c r="P1" s="1401" t="s">
        <v>560</v>
      </c>
      <c r="Q1" s="1402"/>
      <c r="R1" s="1402"/>
      <c r="S1" s="1402"/>
      <c r="T1" s="1402"/>
      <c r="U1" s="1402"/>
      <c r="V1" s="1402"/>
      <c r="W1" s="1402"/>
      <c r="X1" s="1402"/>
      <c r="Y1" s="1402"/>
      <c r="Z1" s="1402"/>
      <c r="AA1" s="1402"/>
      <c r="AB1" s="1402"/>
    </row>
    <row r="2" spans="1:28" ht="15" customHeight="1" x14ac:dyDescent="0.25">
      <c r="A2" s="1400" t="s">
        <v>561</v>
      </c>
      <c r="B2" s="1400"/>
      <c r="C2" s="1400"/>
      <c r="D2" s="16"/>
      <c r="E2" s="17"/>
      <c r="F2" s="17"/>
      <c r="G2" s="17"/>
      <c r="H2" s="17"/>
      <c r="I2" s="17"/>
      <c r="J2" s="17"/>
      <c r="K2" s="17"/>
      <c r="L2" s="17"/>
      <c r="M2" s="17"/>
      <c r="N2" s="17"/>
      <c r="O2" s="17"/>
      <c r="P2" s="1401" t="s">
        <v>562</v>
      </c>
      <c r="Q2" s="1401"/>
      <c r="R2" s="1401"/>
      <c r="S2" s="1401"/>
      <c r="T2" s="1401"/>
      <c r="U2" s="1401"/>
      <c r="V2" s="1401"/>
      <c r="W2" s="1401"/>
      <c r="X2" s="1401"/>
      <c r="Y2" s="1401"/>
      <c r="Z2" s="1401"/>
      <c r="AA2" s="1401"/>
      <c r="AB2" s="1401"/>
    </row>
    <row r="3" spans="1:28" ht="15" customHeight="1" x14ac:dyDescent="0.25">
      <c r="A3" s="1401" t="s">
        <v>49</v>
      </c>
      <c r="B3" s="1401"/>
      <c r="C3" s="1401"/>
      <c r="D3" s="16"/>
      <c r="E3" s="17"/>
      <c r="F3" s="17"/>
      <c r="G3" s="17"/>
      <c r="H3" s="17"/>
      <c r="I3" s="17"/>
      <c r="J3" s="17"/>
      <c r="K3" s="17"/>
      <c r="L3" s="17"/>
      <c r="M3" s="17"/>
      <c r="N3" s="17"/>
      <c r="O3" s="17"/>
      <c r="P3" s="17"/>
      <c r="Q3" s="17"/>
      <c r="R3" s="17"/>
      <c r="S3" s="17"/>
      <c r="T3" s="17"/>
      <c r="U3" s="17"/>
      <c r="V3" s="17"/>
      <c r="W3" s="17"/>
      <c r="X3" s="17"/>
      <c r="Y3" s="17"/>
      <c r="Z3" s="17"/>
      <c r="AA3" s="17"/>
      <c r="AB3" s="17"/>
    </row>
    <row r="4" spans="1:28" ht="15" customHeight="1" x14ac:dyDescent="0.25">
      <c r="A4" s="18"/>
      <c r="B4" s="18"/>
      <c r="C4" s="18"/>
      <c r="D4" s="16"/>
      <c r="E4" s="17"/>
      <c r="F4" s="17"/>
      <c r="G4" s="17"/>
      <c r="H4" s="17"/>
      <c r="I4" s="17"/>
      <c r="J4" s="17"/>
      <c r="K4" s="17"/>
      <c r="L4" s="17"/>
      <c r="M4" s="17"/>
      <c r="N4" s="17"/>
      <c r="O4" s="17"/>
      <c r="P4" s="17"/>
      <c r="Q4" s="17"/>
      <c r="R4" s="17"/>
      <c r="S4" s="17"/>
      <c r="T4" s="17"/>
      <c r="U4" s="17"/>
      <c r="V4" s="17"/>
      <c r="W4" s="17"/>
      <c r="X4" s="17"/>
      <c r="Y4" s="17"/>
      <c r="Z4" s="17"/>
      <c r="AA4" s="17"/>
      <c r="AB4" s="19" t="s">
        <v>563</v>
      </c>
    </row>
    <row r="5" spans="1:28" ht="23.25" customHeight="1" x14ac:dyDescent="0.25">
      <c r="A5" s="1390" t="s">
        <v>1134</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row>
    <row r="7" spans="1:28" ht="33.75" customHeight="1" x14ac:dyDescent="0.25">
      <c r="A7" s="1396" t="s">
        <v>0</v>
      </c>
      <c r="B7" s="1398" t="s">
        <v>564</v>
      </c>
      <c r="C7" s="1398"/>
      <c r="D7" s="1391" t="s">
        <v>110</v>
      </c>
      <c r="E7" s="1392"/>
      <c r="F7" s="1392"/>
      <c r="G7" s="1392"/>
      <c r="H7" s="1392"/>
      <c r="I7" s="1392"/>
      <c r="J7" s="1392"/>
      <c r="K7" s="1392"/>
      <c r="L7" s="1392"/>
      <c r="M7" s="1392"/>
      <c r="N7" s="1392"/>
      <c r="O7" s="1393"/>
      <c r="P7" s="1391" t="s">
        <v>565</v>
      </c>
      <c r="Q7" s="1392"/>
      <c r="R7" s="1392"/>
      <c r="S7" s="1392"/>
      <c r="T7" s="1392"/>
      <c r="U7" s="1392"/>
      <c r="V7" s="1392"/>
      <c r="W7" s="1392"/>
      <c r="X7" s="1392"/>
      <c r="Y7" s="1392"/>
      <c r="Z7" s="1392"/>
      <c r="AA7" s="1393"/>
      <c r="AB7" s="360" t="s">
        <v>4</v>
      </c>
    </row>
    <row r="8" spans="1:28" ht="105" customHeight="1" x14ac:dyDescent="0.25">
      <c r="A8" s="1397"/>
      <c r="B8" s="120" t="s">
        <v>461</v>
      </c>
      <c r="C8" s="120" t="s">
        <v>566</v>
      </c>
      <c r="D8" s="212" t="s">
        <v>567</v>
      </c>
      <c r="E8" s="212" t="s">
        <v>568</v>
      </c>
      <c r="F8" s="212" t="s">
        <v>569</v>
      </c>
      <c r="G8" s="212" t="s">
        <v>570</v>
      </c>
      <c r="H8" s="212" t="s">
        <v>571</v>
      </c>
      <c r="I8" s="212" t="s">
        <v>572</v>
      </c>
      <c r="J8" s="212" t="s">
        <v>573</v>
      </c>
      <c r="K8" s="212" t="s">
        <v>703</v>
      </c>
      <c r="L8" s="212" t="s">
        <v>704</v>
      </c>
      <c r="M8" s="212" t="s">
        <v>748</v>
      </c>
      <c r="N8" s="134" t="s">
        <v>588</v>
      </c>
      <c r="O8" s="361" t="s">
        <v>795</v>
      </c>
      <c r="P8" s="132" t="s">
        <v>567</v>
      </c>
      <c r="Q8" s="132" t="s">
        <v>568</v>
      </c>
      <c r="R8" s="132" t="s">
        <v>569</v>
      </c>
      <c r="S8" s="132" t="s">
        <v>570</v>
      </c>
      <c r="T8" s="132" t="s">
        <v>571</v>
      </c>
      <c r="U8" s="132" t="s">
        <v>572</v>
      </c>
      <c r="V8" s="132" t="s">
        <v>573</v>
      </c>
      <c r="W8" s="132" t="s">
        <v>703</v>
      </c>
      <c r="X8" s="132" t="s">
        <v>704</v>
      </c>
      <c r="Y8" s="132" t="s">
        <v>748</v>
      </c>
      <c r="Z8" s="134" t="s">
        <v>588</v>
      </c>
      <c r="AA8" s="361" t="s">
        <v>795</v>
      </c>
      <c r="AB8" s="360"/>
    </row>
    <row r="9" spans="1:28" ht="24.75" customHeight="1" x14ac:dyDescent="0.25">
      <c r="A9" s="362" t="s">
        <v>574</v>
      </c>
      <c r="B9" s="352"/>
      <c r="C9" s="273">
        <v>-1</v>
      </c>
      <c r="D9" s="273">
        <v>-2</v>
      </c>
      <c r="E9" s="273">
        <v>-3</v>
      </c>
      <c r="F9" s="273">
        <v>-4</v>
      </c>
      <c r="G9" s="273">
        <v>-5</v>
      </c>
      <c r="H9" s="273">
        <v>-6</v>
      </c>
      <c r="I9" s="273">
        <v>-7</v>
      </c>
      <c r="J9" s="273">
        <v>-8</v>
      </c>
      <c r="K9" s="273">
        <v>-9</v>
      </c>
      <c r="L9" s="273">
        <v>-10</v>
      </c>
      <c r="M9" s="273">
        <v>-11</v>
      </c>
      <c r="N9" s="363">
        <v>-12</v>
      </c>
      <c r="O9" s="274">
        <v>-13</v>
      </c>
      <c r="P9" s="273">
        <v>-14</v>
      </c>
      <c r="Q9" s="273">
        <v>-15</v>
      </c>
      <c r="R9" s="273">
        <v>-16</v>
      </c>
      <c r="S9" s="273">
        <v>-17</v>
      </c>
      <c r="T9" s="273">
        <v>-18</v>
      </c>
      <c r="U9" s="273">
        <v>-19</v>
      </c>
      <c r="V9" s="273">
        <v>-20</v>
      </c>
      <c r="W9" s="273">
        <v>-21</v>
      </c>
      <c r="X9" s="273">
        <v>-22</v>
      </c>
      <c r="Y9" s="273">
        <v>-23</v>
      </c>
      <c r="Z9" s="363">
        <v>-24</v>
      </c>
      <c r="AA9" s="274">
        <v>-25</v>
      </c>
      <c r="AB9" s="273">
        <v>-26</v>
      </c>
    </row>
    <row r="10" spans="1:28" ht="24" customHeight="1" x14ac:dyDescent="0.25">
      <c r="A10" s="143" t="s">
        <v>5</v>
      </c>
      <c r="B10" s="364" t="s">
        <v>452</v>
      </c>
      <c r="C10" s="365" t="s">
        <v>575</v>
      </c>
      <c r="D10" s="1177" t="s">
        <v>1141</v>
      </c>
      <c r="E10" s="1177" t="s">
        <v>1141</v>
      </c>
      <c r="F10" s="1177" t="s">
        <v>1141</v>
      </c>
      <c r="G10" s="1177" t="s">
        <v>1141</v>
      </c>
      <c r="H10" s="1177" t="s">
        <v>1141</v>
      </c>
      <c r="I10" s="1011"/>
      <c r="J10" s="496"/>
      <c r="K10" s="366"/>
      <c r="L10" s="366"/>
      <c r="M10" s="366"/>
      <c r="N10" s="367">
        <f>SUM(COUNTIF(D10:M10,"x"),COUNTIF(D10:M10,"A"))</f>
        <v>5</v>
      </c>
      <c r="O10" s="368">
        <f>SUM(COUNTIF(D10:M10,"x"),COUNTIF(D10:M10,"B"))</f>
        <v>5</v>
      </c>
      <c r="P10" s="1182" t="s">
        <v>1141</v>
      </c>
      <c r="Q10" s="1183" t="s">
        <v>1141</v>
      </c>
      <c r="R10" s="1183" t="s">
        <v>1141</v>
      </c>
      <c r="S10" s="1183" t="s">
        <v>1141</v>
      </c>
      <c r="T10" s="1183" t="s">
        <v>1141</v>
      </c>
      <c r="U10" s="1183" t="s">
        <v>1141</v>
      </c>
      <c r="V10" s="366"/>
      <c r="W10" s="366"/>
      <c r="X10" s="366"/>
      <c r="Y10" s="366"/>
      <c r="Z10" s="367">
        <f>SUM(COUNTIF(P10:Y10,"x"),COUNTIF(P10:Y10,"A"))</f>
        <v>6</v>
      </c>
      <c r="AA10" s="368">
        <f>SUM(COUNTIF(P10:Y10,"x"),COUNTIF(P10:Y10,"B"))</f>
        <v>6</v>
      </c>
      <c r="AB10" s="369"/>
    </row>
    <row r="11" spans="1:28" ht="24" customHeight="1" x14ac:dyDescent="0.25">
      <c r="A11" s="143" t="s">
        <v>6</v>
      </c>
      <c r="B11" s="364" t="s">
        <v>454</v>
      </c>
      <c r="C11" s="143" t="s">
        <v>73</v>
      </c>
      <c r="D11" s="1178" t="s">
        <v>1141</v>
      </c>
      <c r="E11" s="1179" t="s">
        <v>1141</v>
      </c>
      <c r="F11" s="1179"/>
      <c r="G11" s="1179" t="s">
        <v>1141</v>
      </c>
      <c r="H11" s="1179" t="s">
        <v>1141</v>
      </c>
      <c r="I11" s="1012"/>
      <c r="J11" s="496"/>
      <c r="K11" s="366"/>
      <c r="L11" s="366"/>
      <c r="M11" s="366"/>
      <c r="N11" s="367">
        <f t="shared" ref="N11:N18" si="0">SUM(COUNTIF(D11:M11,"x"),COUNTIF(D11:M11,"A"))</f>
        <v>4</v>
      </c>
      <c r="O11" s="368">
        <f t="shared" ref="O11:O18" si="1">SUM(COUNTIF(D11:M11,"x"),COUNTIF(D11:M11,"B"))</f>
        <v>4</v>
      </c>
      <c r="P11" s="1182" t="s">
        <v>1141</v>
      </c>
      <c r="Q11" s="1183"/>
      <c r="R11" s="1183" t="s">
        <v>1141</v>
      </c>
      <c r="S11" s="1183" t="s">
        <v>1141</v>
      </c>
      <c r="T11" s="1183" t="s">
        <v>1141</v>
      </c>
      <c r="U11" s="1183"/>
      <c r="V11" s="366"/>
      <c r="W11" s="366"/>
      <c r="X11" s="29"/>
      <c r="Y11" s="29"/>
      <c r="Z11" s="367">
        <f t="shared" ref="Z11:Z17" si="2">SUM(COUNTIF(P11:Y11,"x"),COUNTIF(P11:Y11,"A"))</f>
        <v>4</v>
      </c>
      <c r="AA11" s="368">
        <f t="shared" ref="AA11:AA17" si="3">SUM(COUNTIF(P11:Y11,"x"),COUNTIF(P11:Y11,"B"))</f>
        <v>4</v>
      </c>
      <c r="AB11" s="369"/>
    </row>
    <row r="12" spans="1:28" ht="24" customHeight="1" x14ac:dyDescent="0.25">
      <c r="A12" s="143" t="s">
        <v>10</v>
      </c>
      <c r="B12" s="364" t="s">
        <v>455</v>
      </c>
      <c r="C12" s="143" t="s">
        <v>74</v>
      </c>
      <c r="D12" s="1178" t="s">
        <v>1141</v>
      </c>
      <c r="E12" s="1179" t="s">
        <v>1141</v>
      </c>
      <c r="F12" s="1179" t="s">
        <v>1141</v>
      </c>
      <c r="G12" s="1179" t="s">
        <v>1141</v>
      </c>
      <c r="H12" s="1179" t="s">
        <v>1141</v>
      </c>
      <c r="I12" s="1012"/>
      <c r="J12" s="530"/>
      <c r="K12" s="366"/>
      <c r="L12" s="366"/>
      <c r="M12" s="366"/>
      <c r="N12" s="367">
        <f t="shared" si="0"/>
        <v>5</v>
      </c>
      <c r="O12" s="368">
        <f t="shared" si="1"/>
        <v>5</v>
      </c>
      <c r="P12" s="1182" t="s">
        <v>1141</v>
      </c>
      <c r="Q12" s="1183" t="s">
        <v>1141</v>
      </c>
      <c r="R12" s="1183" t="s">
        <v>1141</v>
      </c>
      <c r="S12" s="1183" t="s">
        <v>1141</v>
      </c>
      <c r="T12" s="1183" t="s">
        <v>1141</v>
      </c>
      <c r="U12" s="1183" t="s">
        <v>1141</v>
      </c>
      <c r="V12" s="366"/>
      <c r="W12" s="366"/>
      <c r="X12" s="29"/>
      <c r="Y12" s="29"/>
      <c r="Z12" s="367">
        <f t="shared" si="2"/>
        <v>6</v>
      </c>
      <c r="AA12" s="368">
        <f t="shared" si="3"/>
        <v>6</v>
      </c>
      <c r="AB12" s="369"/>
    </row>
    <row r="13" spans="1:28" ht="24" customHeight="1" x14ac:dyDescent="0.25">
      <c r="A13" s="143" t="s">
        <v>11</v>
      </c>
      <c r="B13" s="364" t="s">
        <v>457</v>
      </c>
      <c r="C13" s="143" t="s">
        <v>75</v>
      </c>
      <c r="D13" s="1178" t="s">
        <v>1141</v>
      </c>
      <c r="E13" s="1179" t="s">
        <v>1141</v>
      </c>
      <c r="F13" s="1179" t="s">
        <v>1141</v>
      </c>
      <c r="G13" s="1179"/>
      <c r="H13" s="1179" t="s">
        <v>1141</v>
      </c>
      <c r="I13" s="1012"/>
      <c r="J13" s="530"/>
      <c r="K13" s="366"/>
      <c r="L13" s="366"/>
      <c r="M13" s="366"/>
      <c r="N13" s="367">
        <f t="shared" si="0"/>
        <v>4</v>
      </c>
      <c r="O13" s="368">
        <f t="shared" si="1"/>
        <v>4</v>
      </c>
      <c r="P13" s="1182"/>
      <c r="Q13" s="1183" t="s">
        <v>1141</v>
      </c>
      <c r="R13" s="1183"/>
      <c r="S13" s="1183" t="s">
        <v>1141</v>
      </c>
      <c r="T13" s="1183" t="s">
        <v>1141</v>
      </c>
      <c r="U13" s="1183" t="s">
        <v>1141</v>
      </c>
      <c r="V13" s="366"/>
      <c r="W13" s="366"/>
      <c r="X13" s="29"/>
      <c r="Y13" s="29"/>
      <c r="Z13" s="367">
        <f t="shared" si="2"/>
        <v>4</v>
      </c>
      <c r="AA13" s="368">
        <f t="shared" si="3"/>
        <v>4</v>
      </c>
      <c r="AB13" s="369"/>
    </row>
    <row r="14" spans="1:28" ht="24" customHeight="1" x14ac:dyDescent="0.25">
      <c r="A14" s="143" t="s">
        <v>12</v>
      </c>
      <c r="B14" s="364" t="s">
        <v>456</v>
      </c>
      <c r="C14" s="143" t="s">
        <v>576</v>
      </c>
      <c r="D14" s="1178" t="s">
        <v>1141</v>
      </c>
      <c r="E14" s="1179" t="s">
        <v>1141</v>
      </c>
      <c r="F14" s="1179"/>
      <c r="G14" s="1179" t="s">
        <v>1141</v>
      </c>
      <c r="H14" s="1179" t="s">
        <v>1141</v>
      </c>
      <c r="I14" s="1012"/>
      <c r="J14" s="530"/>
      <c r="K14" s="366"/>
      <c r="L14" s="366"/>
      <c r="M14" s="366"/>
      <c r="N14" s="367">
        <f t="shared" si="0"/>
        <v>4</v>
      </c>
      <c r="O14" s="368">
        <f t="shared" si="1"/>
        <v>4</v>
      </c>
      <c r="P14" s="1182" t="s">
        <v>1141</v>
      </c>
      <c r="Q14" s="1183" t="s">
        <v>1141</v>
      </c>
      <c r="R14" s="1183" t="s">
        <v>1141</v>
      </c>
      <c r="S14" s="1183"/>
      <c r="T14" s="1183" t="s">
        <v>1141</v>
      </c>
      <c r="U14" s="1183"/>
      <c r="V14" s="366"/>
      <c r="W14" s="366"/>
      <c r="X14" s="29"/>
      <c r="Y14" s="29"/>
      <c r="Z14" s="367">
        <f t="shared" si="2"/>
        <v>4</v>
      </c>
      <c r="AA14" s="368">
        <f t="shared" si="3"/>
        <v>4</v>
      </c>
      <c r="AB14" s="369"/>
    </row>
    <row r="15" spans="1:28" ht="26.25" customHeight="1" x14ac:dyDescent="0.25">
      <c r="A15" s="362" t="s">
        <v>577</v>
      </c>
      <c r="B15" s="364"/>
      <c r="C15" s="364"/>
      <c r="D15" s="1178"/>
      <c r="E15" s="1179"/>
      <c r="F15" s="1179"/>
      <c r="G15" s="1179"/>
      <c r="H15" s="1179"/>
      <c r="I15" s="1012"/>
      <c r="J15" s="530"/>
      <c r="K15" s="371"/>
      <c r="L15" s="371"/>
      <c r="M15" s="371"/>
      <c r="N15" s="367">
        <f t="shared" si="0"/>
        <v>0</v>
      </c>
      <c r="O15" s="368">
        <f t="shared" si="1"/>
        <v>0</v>
      </c>
      <c r="P15" s="1184"/>
      <c r="Q15" s="1185"/>
      <c r="R15" s="1185"/>
      <c r="S15" s="1185"/>
      <c r="T15" s="1185"/>
      <c r="U15" s="1185"/>
      <c r="V15" s="366"/>
      <c r="W15" s="366"/>
      <c r="X15" s="29"/>
      <c r="Y15" s="29"/>
      <c r="Z15" s="367">
        <f t="shared" si="2"/>
        <v>0</v>
      </c>
      <c r="AA15" s="368">
        <f t="shared" si="3"/>
        <v>0</v>
      </c>
      <c r="AB15" s="369"/>
    </row>
    <row r="16" spans="1:28" ht="29.25" customHeight="1" x14ac:dyDescent="0.25">
      <c r="A16" s="143" t="s">
        <v>13</v>
      </c>
      <c r="B16" s="364" t="s">
        <v>458</v>
      </c>
      <c r="C16" s="143" t="s">
        <v>76</v>
      </c>
      <c r="D16" s="1177"/>
      <c r="E16" s="1177" t="s">
        <v>1141</v>
      </c>
      <c r="F16" s="1177" t="s">
        <v>1141</v>
      </c>
      <c r="G16" s="1177" t="s">
        <v>1141</v>
      </c>
      <c r="H16" s="1180"/>
      <c r="I16" s="1013"/>
      <c r="J16" s="531"/>
      <c r="K16" s="339"/>
      <c r="L16" s="339"/>
      <c r="M16" s="339"/>
      <c r="N16" s="367">
        <f t="shared" si="0"/>
        <v>3</v>
      </c>
      <c r="O16" s="368">
        <f t="shared" si="1"/>
        <v>3</v>
      </c>
      <c r="P16" s="1182" t="s">
        <v>1141</v>
      </c>
      <c r="Q16" s="1183"/>
      <c r="R16" s="1183"/>
      <c r="S16" s="1183"/>
      <c r="T16" s="1183" t="s">
        <v>1141</v>
      </c>
      <c r="U16" s="1183" t="s">
        <v>1141</v>
      </c>
      <c r="V16" s="366"/>
      <c r="W16" s="366"/>
      <c r="X16" s="29"/>
      <c r="Y16" s="29"/>
      <c r="Z16" s="367">
        <f t="shared" si="2"/>
        <v>3</v>
      </c>
      <c r="AA16" s="368">
        <f t="shared" si="3"/>
        <v>3</v>
      </c>
      <c r="AB16" s="369"/>
    </row>
    <row r="17" spans="1:29" ht="29.25" customHeight="1" x14ac:dyDescent="0.25">
      <c r="A17" s="143" t="s">
        <v>14</v>
      </c>
      <c r="B17" s="364" t="s">
        <v>459</v>
      </c>
      <c r="C17" s="143" t="s">
        <v>77</v>
      </c>
      <c r="D17" s="1178" t="s">
        <v>1141</v>
      </c>
      <c r="E17" s="1179" t="s">
        <v>1141</v>
      </c>
      <c r="F17" s="1179" t="s">
        <v>1141</v>
      </c>
      <c r="G17" s="1179"/>
      <c r="H17" s="1181" t="s">
        <v>1141</v>
      </c>
      <c r="I17" s="1014"/>
      <c r="J17" s="532"/>
      <c r="K17" s="373"/>
      <c r="L17" s="373"/>
      <c r="M17" s="373"/>
      <c r="N17" s="367">
        <f t="shared" si="0"/>
        <v>4</v>
      </c>
      <c r="O17" s="368">
        <f t="shared" si="1"/>
        <v>4</v>
      </c>
      <c r="P17" s="1182" t="s">
        <v>1141</v>
      </c>
      <c r="Q17" s="1183"/>
      <c r="R17" s="1183"/>
      <c r="S17" s="1183" t="s">
        <v>1141</v>
      </c>
      <c r="T17" s="1183" t="s">
        <v>1141</v>
      </c>
      <c r="U17" s="1183"/>
      <c r="V17" s="366"/>
      <c r="W17" s="366"/>
      <c r="X17" s="29"/>
      <c r="Y17" s="29"/>
      <c r="Z17" s="367">
        <f t="shared" si="2"/>
        <v>3</v>
      </c>
      <c r="AA17" s="368">
        <f t="shared" si="3"/>
        <v>3</v>
      </c>
      <c r="AB17" s="29"/>
    </row>
    <row r="18" spans="1:29" ht="29.25" customHeight="1" x14ac:dyDescent="0.25">
      <c r="A18" s="143" t="s">
        <v>15</v>
      </c>
      <c r="B18" s="67" t="s">
        <v>757</v>
      </c>
      <c r="C18" s="91" t="s">
        <v>758</v>
      </c>
      <c r="D18" s="1178" t="s">
        <v>1141</v>
      </c>
      <c r="E18" s="1181" t="s">
        <v>1141</v>
      </c>
      <c r="F18" s="1181" t="s">
        <v>1141</v>
      </c>
      <c r="G18" s="1181"/>
      <c r="H18" s="1181" t="s">
        <v>1141</v>
      </c>
      <c r="I18" s="1014"/>
      <c r="J18" s="532"/>
      <c r="K18" s="373"/>
      <c r="L18" s="373"/>
      <c r="M18" s="373"/>
      <c r="N18" s="367">
        <f t="shared" si="0"/>
        <v>4</v>
      </c>
      <c r="O18" s="368">
        <f t="shared" si="1"/>
        <v>4</v>
      </c>
      <c r="P18" s="1182"/>
      <c r="Q18" s="1183" t="s">
        <v>1141</v>
      </c>
      <c r="R18" s="1183"/>
      <c r="S18" s="1183" t="s">
        <v>1141</v>
      </c>
      <c r="T18" s="1183" t="s">
        <v>1141</v>
      </c>
      <c r="U18" s="1183"/>
      <c r="V18" s="366"/>
      <c r="W18" s="366"/>
      <c r="X18" s="29"/>
      <c r="Y18" s="29"/>
      <c r="Z18" s="367">
        <f>SUM(COUNTIF(P18:Y18,"x"),COUNTIF(P18:Y18,"A"))</f>
        <v>3</v>
      </c>
      <c r="AA18" s="368">
        <f>SUM(COUNTIF(P18:Y18,"x"),COUNTIF(P18:Y18,"B"))</f>
        <v>3</v>
      </c>
      <c r="AB18" s="29"/>
    </row>
    <row r="19" spans="1:29" ht="29.25" customHeight="1" x14ac:dyDescent="0.25">
      <c r="A19" s="143" t="s">
        <v>16</v>
      </c>
      <c r="B19" s="67" t="s">
        <v>810</v>
      </c>
      <c r="C19" s="91" t="s">
        <v>811</v>
      </c>
      <c r="D19" s="1178"/>
      <c r="E19" s="1182" t="s">
        <v>1141</v>
      </c>
      <c r="F19" s="1182" t="s">
        <v>1141</v>
      </c>
      <c r="G19" s="1182" t="s">
        <v>1141</v>
      </c>
      <c r="H19" s="1182"/>
      <c r="I19" s="1015"/>
      <c r="J19" s="532"/>
      <c r="K19" s="373"/>
      <c r="L19" s="373"/>
      <c r="M19" s="339"/>
      <c r="N19" s="367">
        <f>SUM(COUNTIF(D19:M19,"x"),COUNTIF(D19:M19,"A"))</f>
        <v>3</v>
      </c>
      <c r="O19" s="368">
        <f>SUM(COUNTIF(D19:M19,"x"),COUNTIF(D19:M19,"B"))</f>
        <v>3</v>
      </c>
      <c r="P19" s="1182"/>
      <c r="Q19" s="1183" t="s">
        <v>1141</v>
      </c>
      <c r="R19" s="1183" t="s">
        <v>1141</v>
      </c>
      <c r="S19" s="1183"/>
      <c r="T19" s="1183" t="s">
        <v>1141</v>
      </c>
      <c r="U19" s="1183"/>
      <c r="V19" s="366"/>
      <c r="W19" s="366"/>
      <c r="X19" s="29"/>
      <c r="Y19" s="29"/>
      <c r="Z19" s="367">
        <f>SUM(COUNTIF(P19:Y19,"x"),COUNTIF(P19:Y19,"A"))</f>
        <v>3</v>
      </c>
      <c r="AA19" s="368">
        <f>SUM(COUNTIF(P19:Y19,"x"),COUNTIF(P19:Y19,"B"))</f>
        <v>3</v>
      </c>
      <c r="AB19" s="369"/>
    </row>
    <row r="20" spans="1:29" ht="30" customHeight="1" x14ac:dyDescent="0.25">
      <c r="A20" s="374"/>
      <c r="B20" s="374"/>
      <c r="C20" s="374"/>
      <c r="D20" s="374">
        <f t="shared" ref="D20:M20" si="4">COUNTIF(D10:D19,"x")</f>
        <v>7</v>
      </c>
      <c r="E20" s="374">
        <f t="shared" si="4"/>
        <v>9</v>
      </c>
      <c r="F20" s="374">
        <f t="shared" si="4"/>
        <v>7</v>
      </c>
      <c r="G20" s="374">
        <f t="shared" si="4"/>
        <v>6</v>
      </c>
      <c r="H20" s="374">
        <f t="shared" si="4"/>
        <v>7</v>
      </c>
      <c r="I20" s="374">
        <f t="shared" si="4"/>
        <v>0</v>
      </c>
      <c r="J20" s="374">
        <f t="shared" si="4"/>
        <v>0</v>
      </c>
      <c r="K20" s="374">
        <f t="shared" si="4"/>
        <v>0</v>
      </c>
      <c r="L20" s="374">
        <f t="shared" si="4"/>
        <v>0</v>
      </c>
      <c r="M20" s="374">
        <f t="shared" si="4"/>
        <v>0</v>
      </c>
      <c r="N20" s="374"/>
      <c r="O20" s="374"/>
      <c r="P20" s="374">
        <f>COUNTIF(P10:P19,"x")</f>
        <v>6</v>
      </c>
      <c r="Q20" s="374">
        <f t="shared" ref="Q20:Y20" si="5">COUNTIF(Q10:Q19,"x")</f>
        <v>6</v>
      </c>
      <c r="R20" s="374">
        <f t="shared" si="5"/>
        <v>5</v>
      </c>
      <c r="S20" s="374">
        <f t="shared" si="5"/>
        <v>6</v>
      </c>
      <c r="T20" s="374">
        <f t="shared" si="5"/>
        <v>9</v>
      </c>
      <c r="U20" s="374">
        <f t="shared" si="5"/>
        <v>4</v>
      </c>
      <c r="V20" s="374">
        <f t="shared" si="5"/>
        <v>0</v>
      </c>
      <c r="W20" s="374">
        <f t="shared" si="5"/>
        <v>0</v>
      </c>
      <c r="X20" s="374">
        <f t="shared" si="5"/>
        <v>0</v>
      </c>
      <c r="Y20" s="374">
        <f t="shared" si="5"/>
        <v>0</v>
      </c>
      <c r="Z20" s="374"/>
      <c r="AA20" s="374"/>
      <c r="AB20" s="374"/>
    </row>
    <row r="21" spans="1:29" ht="15.75" x14ac:dyDescent="0.25">
      <c r="A21" s="1395" t="s">
        <v>578</v>
      </c>
      <c r="B21" s="1395"/>
      <c r="C21" s="1395"/>
      <c r="D21" s="1395"/>
      <c r="E21" s="1395"/>
      <c r="F21" s="1395"/>
      <c r="G21" s="1395"/>
      <c r="H21" s="1395"/>
      <c r="I21" s="1395"/>
      <c r="J21" s="1395"/>
      <c r="K21" s="1395"/>
      <c r="L21" s="1395"/>
      <c r="M21" s="1395"/>
      <c r="N21" s="1395"/>
      <c r="O21" s="1395"/>
      <c r="P21" s="1395"/>
      <c r="Q21" s="1395"/>
      <c r="R21" s="1395"/>
      <c r="S21" s="1395"/>
      <c r="T21" s="1395"/>
      <c r="U21" s="1395"/>
      <c r="V21" s="1395"/>
      <c r="W21" s="1395"/>
      <c r="X21" s="1395"/>
      <c r="Y21" s="1395"/>
      <c r="Z21" s="1395"/>
      <c r="AA21" s="1395"/>
      <c r="AB21" s="1395"/>
    </row>
    <row r="22" spans="1:29" ht="17.25" x14ac:dyDescent="0.3">
      <c r="A22" s="375"/>
      <c r="B22" s="375"/>
      <c r="C22" s="375"/>
      <c r="D22" s="376"/>
      <c r="E22" s="377"/>
      <c r="F22" s="377"/>
      <c r="G22" s="377"/>
      <c r="H22" s="377"/>
      <c r="I22" s="377"/>
      <c r="J22" s="377"/>
      <c r="K22" s="377"/>
      <c r="L22" s="377"/>
      <c r="M22" s="377"/>
      <c r="P22" s="1399" t="s">
        <v>1135</v>
      </c>
      <c r="Q22" s="1399"/>
      <c r="R22" s="1399"/>
      <c r="S22" s="1399"/>
      <c r="T22" s="1399"/>
      <c r="U22" s="1399"/>
      <c r="V22" s="1399"/>
      <c r="W22" s="1399"/>
      <c r="X22" s="224"/>
      <c r="Y22" s="224"/>
      <c r="Z22" s="224"/>
      <c r="AA22" s="224"/>
      <c r="AB22" s="224"/>
    </row>
    <row r="23" spans="1:29" s="387" customFormat="1" ht="18.75" x14ac:dyDescent="0.3">
      <c r="A23" s="380"/>
      <c r="B23" s="381" t="s">
        <v>805</v>
      </c>
      <c r="C23" s="382" t="s">
        <v>802</v>
      </c>
      <c r="D23" s="383"/>
      <c r="E23" s="384"/>
      <c r="F23" s="384"/>
      <c r="G23" s="384"/>
      <c r="H23" s="384"/>
      <c r="I23" s="384"/>
      <c r="J23" s="384"/>
      <c r="K23" s="384"/>
      <c r="L23" s="384"/>
      <c r="M23" s="384"/>
      <c r="N23" s="378"/>
      <c r="O23" s="378"/>
      <c r="P23" s="1394" t="s">
        <v>579</v>
      </c>
      <c r="Q23" s="1394"/>
      <c r="R23" s="1394"/>
      <c r="S23" s="1394"/>
      <c r="T23" s="1394"/>
      <c r="U23" s="1394"/>
      <c r="V23" s="1394"/>
      <c r="W23" s="1394"/>
      <c r="X23" s="385"/>
      <c r="Y23" s="385"/>
      <c r="Z23" s="385"/>
      <c r="AA23" s="385"/>
      <c r="AB23" s="385"/>
      <c r="AC23" s="386"/>
    </row>
    <row r="24" spans="1:29" s="387" customFormat="1" ht="18.75" x14ac:dyDescent="0.3">
      <c r="B24" s="382" t="s">
        <v>803</v>
      </c>
      <c r="C24" s="382" t="s">
        <v>804</v>
      </c>
      <c r="D24" s="384"/>
      <c r="E24" s="384"/>
      <c r="F24" s="384"/>
      <c r="G24" s="384"/>
      <c r="H24" s="384"/>
      <c r="I24" s="384"/>
      <c r="J24" s="384"/>
      <c r="K24" s="384"/>
      <c r="L24" s="384"/>
      <c r="M24" s="384"/>
      <c r="N24" s="378"/>
      <c r="O24" s="378"/>
      <c r="P24" s="384"/>
      <c r="Q24" s="384"/>
      <c r="R24" s="384"/>
      <c r="S24" s="384"/>
      <c r="T24" s="384"/>
      <c r="U24" s="384"/>
      <c r="V24" s="384"/>
      <c r="W24" s="384"/>
      <c r="X24" s="384"/>
      <c r="Y24" s="384"/>
      <c r="Z24" s="384"/>
      <c r="AA24" s="384"/>
      <c r="AB24" s="384"/>
      <c r="AC24" s="386"/>
    </row>
    <row r="25" spans="1:29" s="387" customFormat="1" ht="27.75" customHeight="1" x14ac:dyDescent="0.25">
      <c r="D25" s="384"/>
      <c r="E25" s="384"/>
      <c r="F25" s="384"/>
      <c r="G25" s="384"/>
      <c r="H25" s="384"/>
      <c r="I25" s="384"/>
      <c r="J25" s="384"/>
      <c r="K25" s="384"/>
      <c r="L25" s="384"/>
      <c r="M25" s="384"/>
      <c r="N25" s="378"/>
      <c r="O25" s="378"/>
      <c r="P25" s="384"/>
      <c r="Q25" s="384"/>
      <c r="R25" s="384"/>
      <c r="S25" s="384"/>
      <c r="T25" s="384"/>
      <c r="U25" s="384"/>
      <c r="V25" s="384"/>
      <c r="W25" s="384"/>
      <c r="X25" s="384"/>
      <c r="Y25" s="384"/>
      <c r="Z25" s="384"/>
      <c r="AA25" s="384"/>
      <c r="AB25" s="384"/>
      <c r="AC25" s="386"/>
    </row>
    <row r="26" spans="1:29" s="387" customFormat="1" x14ac:dyDescent="0.25">
      <c r="D26" s="384"/>
      <c r="E26" s="384"/>
      <c r="F26" s="384"/>
      <c r="G26" s="384"/>
      <c r="H26" s="384"/>
      <c r="I26" s="384"/>
      <c r="J26" s="384"/>
      <c r="K26" s="384"/>
      <c r="L26" s="384"/>
      <c r="M26" s="384"/>
      <c r="N26" s="378"/>
      <c r="O26" s="378"/>
      <c r="P26" s="384"/>
      <c r="Q26" s="384"/>
      <c r="R26" s="384"/>
      <c r="S26" s="384"/>
      <c r="T26" s="384"/>
      <c r="U26" s="384"/>
      <c r="V26" s="384"/>
      <c r="W26" s="384"/>
      <c r="X26" s="384"/>
      <c r="Y26" s="384"/>
      <c r="Z26" s="384"/>
      <c r="AA26" s="384"/>
      <c r="AB26" s="384"/>
      <c r="AC26" s="386"/>
    </row>
    <row r="27" spans="1:29" s="387" customFormat="1" ht="16.5" x14ac:dyDescent="0.25">
      <c r="D27" s="384"/>
      <c r="E27" s="384"/>
      <c r="F27" s="384"/>
      <c r="G27" s="384"/>
      <c r="H27" s="384"/>
      <c r="I27" s="384"/>
      <c r="J27" s="384"/>
      <c r="K27" s="384"/>
      <c r="L27" s="384"/>
      <c r="M27" s="384"/>
      <c r="N27" s="378"/>
      <c r="O27" s="378"/>
      <c r="P27" s="1394" t="s">
        <v>452</v>
      </c>
      <c r="Q27" s="1394"/>
      <c r="R27" s="1394"/>
      <c r="S27" s="1394"/>
      <c r="T27" s="1394"/>
      <c r="U27" s="1394"/>
      <c r="V27" s="1394"/>
      <c r="W27" s="1394"/>
      <c r="X27" s="385"/>
      <c r="Y27" s="385"/>
      <c r="Z27" s="385"/>
      <c r="AA27" s="385"/>
      <c r="AB27" s="385"/>
      <c r="AC27" s="386"/>
    </row>
    <row r="28" spans="1:29" s="387" customFormat="1" x14ac:dyDescent="0.25">
      <c r="D28" s="384"/>
      <c r="E28" s="384"/>
      <c r="F28" s="384"/>
      <c r="G28" s="384"/>
      <c r="H28" s="384"/>
      <c r="I28" s="384"/>
      <c r="J28" s="384"/>
      <c r="K28" s="384"/>
      <c r="L28" s="384"/>
      <c r="M28" s="384"/>
      <c r="N28" s="378"/>
      <c r="O28" s="378"/>
      <c r="P28" s="384"/>
      <c r="Q28" s="384"/>
      <c r="R28" s="384"/>
      <c r="S28" s="384"/>
      <c r="T28" s="384"/>
      <c r="U28" s="384"/>
      <c r="V28" s="384"/>
      <c r="W28" s="384"/>
      <c r="X28" s="384"/>
      <c r="Y28" s="384"/>
      <c r="Z28" s="384"/>
      <c r="AA28" s="384"/>
      <c r="AB28" s="384"/>
      <c r="AC28" s="386"/>
    </row>
    <row r="29" spans="1:29" s="387" customFormat="1" x14ac:dyDescent="0.25">
      <c r="D29" s="384"/>
      <c r="E29" s="384"/>
      <c r="F29" s="384"/>
      <c r="G29" s="384"/>
      <c r="H29" s="384"/>
      <c r="I29" s="384"/>
      <c r="J29" s="384"/>
      <c r="K29" s="384"/>
      <c r="L29" s="384"/>
      <c r="M29" s="384"/>
      <c r="N29" s="378"/>
      <c r="O29" s="378"/>
      <c r="P29" s="384"/>
      <c r="Q29" s="384"/>
      <c r="R29" s="384"/>
      <c r="S29" s="384"/>
      <c r="T29" s="384"/>
      <c r="U29" s="384"/>
      <c r="V29" s="384"/>
      <c r="W29" s="384"/>
      <c r="X29" s="384"/>
      <c r="Y29" s="384"/>
      <c r="Z29" s="384"/>
      <c r="AA29" s="384"/>
      <c r="AB29" s="384"/>
      <c r="AC29" s="386"/>
    </row>
    <row r="30" spans="1:29" s="387" customFormat="1" x14ac:dyDescent="0.25">
      <c r="D30" s="384"/>
      <c r="E30" s="384"/>
      <c r="F30" s="384"/>
      <c r="G30" s="384"/>
      <c r="H30" s="384"/>
      <c r="I30" s="384"/>
      <c r="J30" s="384"/>
      <c r="K30" s="384"/>
      <c r="L30" s="384"/>
      <c r="M30" s="384"/>
      <c r="N30" s="378"/>
      <c r="O30" s="378"/>
      <c r="P30" s="384"/>
      <c r="Q30" s="384"/>
      <c r="R30" s="384"/>
      <c r="S30" s="384"/>
      <c r="T30" s="384"/>
      <c r="U30" s="384"/>
      <c r="V30" s="384"/>
      <c r="W30" s="384"/>
      <c r="X30" s="384"/>
      <c r="Y30" s="384"/>
      <c r="Z30" s="384"/>
      <c r="AA30" s="384"/>
      <c r="AB30" s="384"/>
      <c r="AC30" s="386"/>
    </row>
    <row r="31" spans="1:29" s="387" customFormat="1" x14ac:dyDescent="0.25">
      <c r="D31" s="384"/>
      <c r="E31" s="384"/>
      <c r="F31" s="384"/>
      <c r="G31" s="384"/>
      <c r="H31" s="384"/>
      <c r="I31" s="384"/>
      <c r="J31" s="384"/>
      <c r="K31" s="384"/>
      <c r="L31" s="384"/>
      <c r="M31" s="384"/>
      <c r="N31" s="378"/>
      <c r="O31" s="378"/>
      <c r="P31" s="384"/>
      <c r="Q31" s="384"/>
      <c r="R31" s="384"/>
      <c r="S31" s="384"/>
      <c r="T31" s="384"/>
      <c r="U31" s="384"/>
      <c r="V31" s="384"/>
      <c r="W31" s="384"/>
      <c r="X31" s="384"/>
      <c r="Y31" s="384"/>
      <c r="Z31" s="384"/>
      <c r="AA31" s="384"/>
      <c r="AB31" s="384"/>
      <c r="AC31" s="386"/>
    </row>
    <row r="32" spans="1:29" s="387" customFormat="1" x14ac:dyDescent="0.25">
      <c r="D32" s="384"/>
      <c r="E32" s="384"/>
      <c r="F32" s="384"/>
      <c r="G32" s="384"/>
      <c r="H32" s="384"/>
      <c r="I32" s="384"/>
      <c r="J32" s="384"/>
      <c r="K32" s="384"/>
      <c r="L32" s="384"/>
      <c r="M32" s="384"/>
      <c r="N32" s="378"/>
      <c r="O32" s="378"/>
      <c r="P32" s="384"/>
      <c r="Q32" s="384"/>
      <c r="R32" s="384"/>
      <c r="S32" s="384"/>
      <c r="T32" s="384"/>
      <c r="U32" s="384"/>
      <c r="V32" s="384"/>
      <c r="W32" s="384"/>
      <c r="X32" s="384"/>
      <c r="Y32" s="384"/>
      <c r="Z32" s="384"/>
      <c r="AA32" s="384"/>
      <c r="AB32" s="384"/>
      <c r="AC32" s="386"/>
    </row>
    <row r="33" spans="4:29" s="387" customFormat="1" x14ac:dyDescent="0.25">
      <c r="D33" s="384"/>
      <c r="E33" s="384"/>
      <c r="F33" s="384"/>
      <c r="G33" s="384"/>
      <c r="H33" s="384"/>
      <c r="I33" s="384"/>
      <c r="J33" s="384"/>
      <c r="K33" s="384"/>
      <c r="L33" s="384"/>
      <c r="M33" s="384"/>
      <c r="N33" s="378"/>
      <c r="O33" s="378"/>
      <c r="P33" s="384"/>
      <c r="Q33" s="384"/>
      <c r="R33" s="384"/>
      <c r="S33" s="384"/>
      <c r="T33" s="384"/>
      <c r="U33" s="384"/>
      <c r="V33" s="384"/>
      <c r="W33" s="384"/>
      <c r="X33" s="384"/>
      <c r="Y33" s="384"/>
      <c r="Z33" s="384"/>
      <c r="AA33" s="384"/>
      <c r="AB33" s="384"/>
      <c r="AC33" s="386"/>
    </row>
    <row r="34" spans="4:29" s="387" customFormat="1" x14ac:dyDescent="0.25">
      <c r="D34" s="384"/>
      <c r="E34" s="384"/>
      <c r="F34" s="384"/>
      <c r="G34" s="384"/>
      <c r="H34" s="384"/>
      <c r="I34" s="384"/>
      <c r="J34" s="384"/>
      <c r="K34" s="384"/>
      <c r="L34" s="384"/>
      <c r="M34" s="384"/>
      <c r="N34" s="378"/>
      <c r="O34" s="378"/>
      <c r="P34" s="384"/>
      <c r="Q34" s="384"/>
      <c r="R34" s="384"/>
      <c r="S34" s="384"/>
      <c r="T34" s="384"/>
      <c r="U34" s="384"/>
      <c r="V34" s="384"/>
      <c r="W34" s="384"/>
      <c r="X34" s="384"/>
      <c r="Y34" s="384"/>
      <c r="Z34" s="384"/>
      <c r="AA34" s="384"/>
      <c r="AB34" s="384"/>
      <c r="AC34" s="386"/>
    </row>
    <row r="35" spans="4:29" s="387" customFormat="1" x14ac:dyDescent="0.25">
      <c r="D35" s="384"/>
      <c r="E35" s="384"/>
      <c r="F35" s="384"/>
      <c r="G35" s="384"/>
      <c r="H35" s="384"/>
      <c r="I35" s="384"/>
      <c r="J35" s="384"/>
      <c r="K35" s="384"/>
      <c r="L35" s="384"/>
      <c r="M35" s="384"/>
      <c r="N35" s="378"/>
      <c r="O35" s="378"/>
      <c r="P35" s="384"/>
      <c r="Q35" s="384"/>
      <c r="R35" s="384"/>
      <c r="S35" s="384"/>
      <c r="T35" s="384"/>
      <c r="U35" s="384"/>
      <c r="V35" s="384"/>
      <c r="W35" s="384"/>
      <c r="X35" s="384"/>
      <c r="Y35" s="384"/>
      <c r="Z35" s="384"/>
      <c r="AA35" s="384"/>
      <c r="AB35" s="384"/>
      <c r="AC35" s="386"/>
    </row>
    <row r="36" spans="4:29" s="387" customFormat="1" x14ac:dyDescent="0.25">
      <c r="D36" s="384"/>
      <c r="E36" s="384"/>
      <c r="F36" s="384"/>
      <c r="G36" s="384"/>
      <c r="H36" s="384"/>
      <c r="I36" s="384"/>
      <c r="J36" s="384"/>
      <c r="K36" s="384"/>
      <c r="L36" s="384"/>
      <c r="M36" s="384"/>
      <c r="N36" s="378"/>
      <c r="O36" s="378"/>
      <c r="P36" s="384"/>
      <c r="Q36" s="384"/>
      <c r="R36" s="384"/>
      <c r="S36" s="384"/>
      <c r="T36" s="384"/>
      <c r="U36" s="384"/>
      <c r="V36" s="384"/>
      <c r="W36" s="384"/>
      <c r="X36" s="384"/>
      <c r="Y36" s="384"/>
      <c r="Z36" s="384"/>
      <c r="AA36" s="384"/>
      <c r="AB36" s="384"/>
      <c r="AC36" s="386"/>
    </row>
    <row r="37" spans="4:29" s="387" customFormat="1" x14ac:dyDescent="0.25">
      <c r="D37" s="384"/>
      <c r="E37" s="384"/>
      <c r="F37" s="384"/>
      <c r="G37" s="384"/>
      <c r="H37" s="384"/>
      <c r="I37" s="384"/>
      <c r="J37" s="384"/>
      <c r="K37" s="384"/>
      <c r="L37" s="384"/>
      <c r="M37" s="384"/>
      <c r="N37" s="378"/>
      <c r="O37" s="378"/>
      <c r="P37" s="384"/>
      <c r="Q37" s="384"/>
      <c r="R37" s="384"/>
      <c r="S37" s="384"/>
      <c r="T37" s="384"/>
      <c r="U37" s="384"/>
      <c r="V37" s="384"/>
      <c r="W37" s="384"/>
      <c r="X37" s="384"/>
      <c r="Y37" s="384"/>
      <c r="Z37" s="384"/>
      <c r="AA37" s="384"/>
      <c r="AB37" s="384"/>
      <c r="AC37" s="386"/>
    </row>
    <row r="38" spans="4:29" s="387" customFormat="1" x14ac:dyDescent="0.25">
      <c r="D38" s="384"/>
      <c r="E38" s="384"/>
      <c r="F38" s="384"/>
      <c r="G38" s="384"/>
      <c r="H38" s="384"/>
      <c r="I38" s="384"/>
      <c r="J38" s="384"/>
      <c r="K38" s="384"/>
      <c r="L38" s="384"/>
      <c r="M38" s="384"/>
      <c r="N38" s="378"/>
      <c r="O38" s="378"/>
      <c r="P38" s="384"/>
      <c r="Q38" s="384"/>
      <c r="R38" s="384"/>
      <c r="S38" s="384"/>
      <c r="T38" s="384"/>
      <c r="U38" s="384"/>
      <c r="V38" s="384"/>
      <c r="W38" s="384"/>
      <c r="X38" s="384"/>
      <c r="Y38" s="384"/>
      <c r="Z38" s="384"/>
      <c r="AA38" s="384"/>
      <c r="AB38" s="384"/>
      <c r="AC38" s="386"/>
    </row>
    <row r="39" spans="4:29" s="387" customFormat="1" x14ac:dyDescent="0.25">
      <c r="D39" s="384"/>
      <c r="E39" s="384"/>
      <c r="F39" s="384"/>
      <c r="G39" s="384"/>
      <c r="H39" s="384"/>
      <c r="I39" s="384"/>
      <c r="J39" s="384"/>
      <c r="K39" s="384"/>
      <c r="L39" s="384"/>
      <c r="M39" s="384"/>
      <c r="N39" s="378"/>
      <c r="O39" s="378"/>
      <c r="P39" s="384"/>
      <c r="Q39" s="384"/>
      <c r="R39" s="384"/>
      <c r="S39" s="384"/>
      <c r="T39" s="384"/>
      <c r="U39" s="384"/>
      <c r="V39" s="384"/>
      <c r="W39" s="384"/>
      <c r="X39" s="384"/>
      <c r="Y39" s="384"/>
      <c r="Z39" s="384"/>
      <c r="AA39" s="384"/>
      <c r="AB39" s="384"/>
      <c r="AC39" s="386"/>
    </row>
    <row r="40" spans="4:29" s="387" customFormat="1" x14ac:dyDescent="0.25">
      <c r="D40" s="384"/>
      <c r="E40" s="384"/>
      <c r="F40" s="384"/>
      <c r="G40" s="384"/>
      <c r="H40" s="384"/>
      <c r="I40" s="384"/>
      <c r="J40" s="384"/>
      <c r="K40" s="384"/>
      <c r="L40" s="384"/>
      <c r="M40" s="384"/>
      <c r="N40" s="378"/>
      <c r="O40" s="378"/>
      <c r="P40" s="384"/>
      <c r="Q40" s="384"/>
      <c r="R40" s="384"/>
      <c r="S40" s="384"/>
      <c r="T40" s="384"/>
      <c r="U40" s="384"/>
      <c r="V40" s="384"/>
      <c r="W40" s="384"/>
      <c r="X40" s="384"/>
      <c r="Y40" s="384"/>
      <c r="Z40" s="384"/>
      <c r="AA40" s="384"/>
      <c r="AB40" s="384"/>
      <c r="AC40" s="386"/>
    </row>
    <row r="41" spans="4:29" s="387" customFormat="1" x14ac:dyDescent="0.25">
      <c r="D41" s="384"/>
      <c r="E41" s="384"/>
      <c r="F41" s="384"/>
      <c r="G41" s="384"/>
      <c r="H41" s="384"/>
      <c r="I41" s="384"/>
      <c r="J41" s="384"/>
      <c r="K41" s="384"/>
      <c r="L41" s="384"/>
      <c r="M41" s="384"/>
      <c r="N41" s="378"/>
      <c r="O41" s="378"/>
      <c r="P41" s="384"/>
      <c r="Q41" s="384"/>
      <c r="R41" s="384"/>
      <c r="S41" s="384"/>
      <c r="T41" s="384"/>
      <c r="U41" s="384"/>
      <c r="V41" s="384"/>
      <c r="W41" s="384"/>
      <c r="X41" s="384"/>
      <c r="Y41" s="384"/>
      <c r="Z41" s="384"/>
      <c r="AA41" s="384"/>
      <c r="AB41" s="384"/>
      <c r="AC41" s="386"/>
    </row>
    <row r="42" spans="4:29" s="387" customFormat="1" x14ac:dyDescent="0.25">
      <c r="D42" s="384"/>
      <c r="E42" s="384"/>
      <c r="F42" s="384"/>
      <c r="G42" s="384"/>
      <c r="H42" s="384"/>
      <c r="I42" s="384"/>
      <c r="J42" s="384"/>
      <c r="K42" s="384"/>
      <c r="L42" s="384"/>
      <c r="M42" s="384"/>
      <c r="N42" s="378"/>
      <c r="O42" s="378"/>
      <c r="P42" s="384"/>
      <c r="Q42" s="384"/>
      <c r="R42" s="384"/>
      <c r="S42" s="384"/>
      <c r="T42" s="384"/>
      <c r="U42" s="384"/>
      <c r="V42" s="384"/>
      <c r="W42" s="384"/>
      <c r="X42" s="384"/>
      <c r="Y42" s="384"/>
      <c r="Z42" s="384"/>
      <c r="AA42" s="384"/>
      <c r="AB42" s="384"/>
      <c r="AC42" s="386"/>
    </row>
    <row r="43" spans="4:29" s="387" customFormat="1" x14ac:dyDescent="0.25">
      <c r="D43" s="384"/>
      <c r="E43" s="384"/>
      <c r="F43" s="384"/>
      <c r="G43" s="384"/>
      <c r="H43" s="384"/>
      <c r="I43" s="384"/>
      <c r="J43" s="384"/>
      <c r="K43" s="384"/>
      <c r="L43" s="384"/>
      <c r="M43" s="384"/>
      <c r="N43" s="378"/>
      <c r="O43" s="378"/>
      <c r="P43" s="384"/>
      <c r="Q43" s="384"/>
      <c r="R43" s="384"/>
      <c r="S43" s="384"/>
      <c r="T43" s="384"/>
      <c r="U43" s="384"/>
      <c r="V43" s="384"/>
      <c r="W43" s="384"/>
      <c r="X43" s="384"/>
      <c r="Y43" s="384"/>
      <c r="Z43" s="384"/>
      <c r="AA43" s="384"/>
      <c r="AB43" s="384"/>
      <c r="AC43" s="386"/>
    </row>
    <row r="44" spans="4:29" s="387" customFormat="1" x14ac:dyDescent="0.25">
      <c r="D44" s="384"/>
      <c r="E44" s="384"/>
      <c r="F44" s="384"/>
      <c r="G44" s="384"/>
      <c r="H44" s="384"/>
      <c r="I44" s="384"/>
      <c r="J44" s="384"/>
      <c r="K44" s="384"/>
      <c r="L44" s="384"/>
      <c r="M44" s="384"/>
      <c r="N44" s="378"/>
      <c r="O44" s="378"/>
      <c r="P44" s="384"/>
      <c r="Q44" s="384"/>
      <c r="R44" s="384"/>
      <c r="S44" s="384"/>
      <c r="T44" s="384"/>
      <c r="U44" s="384"/>
      <c r="V44" s="384"/>
      <c r="W44" s="384"/>
      <c r="X44" s="384"/>
      <c r="Y44" s="384"/>
      <c r="Z44" s="384"/>
      <c r="AA44" s="384"/>
      <c r="AB44" s="384"/>
      <c r="AC44" s="386"/>
    </row>
    <row r="45" spans="4:29" s="387" customFormat="1" x14ac:dyDescent="0.25">
      <c r="D45" s="384"/>
      <c r="E45" s="384"/>
      <c r="F45" s="384"/>
      <c r="G45" s="384"/>
      <c r="H45" s="384"/>
      <c r="I45" s="384"/>
      <c r="J45" s="384"/>
      <c r="K45" s="384"/>
      <c r="L45" s="384"/>
      <c r="M45" s="384"/>
      <c r="N45" s="378"/>
      <c r="O45" s="378"/>
      <c r="P45" s="384"/>
      <c r="Q45" s="384"/>
      <c r="R45" s="384"/>
      <c r="S45" s="384"/>
      <c r="T45" s="384"/>
      <c r="U45" s="384"/>
      <c r="V45" s="384"/>
      <c r="W45" s="384"/>
      <c r="X45" s="384"/>
      <c r="Y45" s="384"/>
      <c r="Z45" s="384"/>
      <c r="AA45" s="384"/>
      <c r="AB45" s="384"/>
      <c r="AC45" s="386"/>
    </row>
    <row r="46" spans="4:29" s="387" customFormat="1" x14ac:dyDescent="0.25">
      <c r="D46" s="384"/>
      <c r="E46" s="384"/>
      <c r="F46" s="384"/>
      <c r="G46" s="384"/>
      <c r="H46" s="384"/>
      <c r="I46" s="384"/>
      <c r="J46" s="384"/>
      <c r="K46" s="384"/>
      <c r="L46" s="384"/>
      <c r="M46" s="384"/>
      <c r="N46" s="378"/>
      <c r="O46" s="378"/>
      <c r="P46" s="384"/>
      <c r="Q46" s="384"/>
      <c r="R46" s="384"/>
      <c r="S46" s="384"/>
      <c r="T46" s="384"/>
      <c r="U46" s="384"/>
      <c r="V46" s="384"/>
      <c r="W46" s="384"/>
      <c r="X46" s="384"/>
      <c r="Y46" s="384"/>
      <c r="Z46" s="384"/>
      <c r="AA46" s="384"/>
      <c r="AB46" s="384"/>
      <c r="AC46" s="386"/>
    </row>
    <row r="47" spans="4:29" s="387" customFormat="1" x14ac:dyDescent="0.25">
      <c r="D47" s="384"/>
      <c r="E47" s="384"/>
      <c r="F47" s="384"/>
      <c r="G47" s="384"/>
      <c r="H47" s="384"/>
      <c r="I47" s="384"/>
      <c r="J47" s="384"/>
      <c r="K47" s="384"/>
      <c r="L47" s="384"/>
      <c r="M47" s="384"/>
      <c r="N47" s="378"/>
      <c r="O47" s="378"/>
      <c r="P47" s="384"/>
      <c r="Q47" s="384"/>
      <c r="R47" s="384"/>
      <c r="S47" s="384"/>
      <c r="T47" s="384"/>
      <c r="U47" s="384"/>
      <c r="V47" s="384"/>
      <c r="W47" s="384"/>
      <c r="X47" s="384"/>
      <c r="Y47" s="384"/>
      <c r="Z47" s="384"/>
      <c r="AA47" s="384"/>
      <c r="AB47" s="384"/>
      <c r="AC47" s="386"/>
    </row>
    <row r="48" spans="4:29" s="387" customFormat="1" x14ac:dyDescent="0.25">
      <c r="D48" s="384"/>
      <c r="E48" s="384"/>
      <c r="F48" s="384"/>
      <c r="G48" s="384"/>
      <c r="H48" s="384"/>
      <c r="I48" s="384"/>
      <c r="J48" s="384"/>
      <c r="K48" s="384"/>
      <c r="L48" s="384"/>
      <c r="M48" s="384"/>
      <c r="N48" s="378"/>
      <c r="O48" s="378"/>
      <c r="P48" s="384"/>
      <c r="Q48" s="384"/>
      <c r="R48" s="384"/>
      <c r="S48" s="384"/>
      <c r="T48" s="384"/>
      <c r="U48" s="384"/>
      <c r="V48" s="384"/>
      <c r="W48" s="384"/>
      <c r="X48" s="384"/>
      <c r="Y48" s="384"/>
      <c r="Z48" s="384"/>
      <c r="AA48" s="384"/>
      <c r="AB48" s="384"/>
      <c r="AC48" s="386"/>
    </row>
    <row r="49" spans="4:29" s="387" customFormat="1" x14ac:dyDescent="0.25">
      <c r="D49" s="384"/>
      <c r="E49" s="384"/>
      <c r="F49" s="384"/>
      <c r="G49" s="384"/>
      <c r="H49" s="384"/>
      <c r="I49" s="384"/>
      <c r="J49" s="384"/>
      <c r="K49" s="384"/>
      <c r="L49" s="384"/>
      <c r="M49" s="384"/>
      <c r="N49" s="378"/>
      <c r="O49" s="378"/>
      <c r="P49" s="384"/>
      <c r="Q49" s="384"/>
      <c r="R49" s="384"/>
      <c r="S49" s="384"/>
      <c r="T49" s="384"/>
      <c r="U49" s="384"/>
      <c r="V49" s="384"/>
      <c r="W49" s="384"/>
      <c r="X49" s="384"/>
      <c r="Y49" s="384"/>
      <c r="Z49" s="384"/>
      <c r="AA49" s="384"/>
      <c r="AB49" s="384"/>
      <c r="AC49" s="386"/>
    </row>
    <row r="50" spans="4:29" s="387" customFormat="1" x14ac:dyDescent="0.25">
      <c r="D50" s="384"/>
      <c r="E50" s="384"/>
      <c r="F50" s="384"/>
      <c r="G50" s="384"/>
      <c r="H50" s="384"/>
      <c r="I50" s="384"/>
      <c r="J50" s="384"/>
      <c r="K50" s="384"/>
      <c r="L50" s="384"/>
      <c r="M50" s="384"/>
      <c r="N50" s="378"/>
      <c r="O50" s="378"/>
      <c r="P50" s="384"/>
      <c r="Q50" s="384"/>
      <c r="R50" s="384"/>
      <c r="S50" s="384"/>
      <c r="T50" s="384"/>
      <c r="U50" s="384"/>
      <c r="V50" s="384"/>
      <c r="W50" s="384"/>
      <c r="X50" s="384"/>
      <c r="Y50" s="384"/>
      <c r="Z50" s="384"/>
      <c r="AA50" s="384"/>
      <c r="AB50" s="384"/>
      <c r="AC50" s="386"/>
    </row>
    <row r="51" spans="4:29" s="387" customFormat="1" x14ac:dyDescent="0.25">
      <c r="D51" s="384"/>
      <c r="E51" s="384"/>
      <c r="F51" s="384"/>
      <c r="G51" s="384"/>
      <c r="H51" s="384"/>
      <c r="I51" s="384"/>
      <c r="J51" s="384"/>
      <c r="K51" s="384"/>
      <c r="L51" s="384"/>
      <c r="M51" s="384"/>
      <c r="N51" s="378"/>
      <c r="O51" s="378"/>
      <c r="P51" s="384"/>
      <c r="Q51" s="384"/>
      <c r="R51" s="384"/>
      <c r="S51" s="384"/>
      <c r="T51" s="384"/>
      <c r="U51" s="384"/>
      <c r="V51" s="384"/>
      <c r="W51" s="384"/>
      <c r="X51" s="384"/>
      <c r="Y51" s="384"/>
      <c r="Z51" s="384"/>
      <c r="AA51" s="384"/>
      <c r="AB51" s="384"/>
      <c r="AC51" s="386"/>
    </row>
    <row r="52" spans="4:29" s="387" customFormat="1" x14ac:dyDescent="0.25">
      <c r="D52" s="384"/>
      <c r="E52" s="384"/>
      <c r="F52" s="384"/>
      <c r="G52" s="384"/>
      <c r="H52" s="384"/>
      <c r="I52" s="384"/>
      <c r="J52" s="384"/>
      <c r="K52" s="384"/>
      <c r="L52" s="384"/>
      <c r="M52" s="384"/>
      <c r="N52" s="378"/>
      <c r="O52" s="378"/>
      <c r="P52" s="384"/>
      <c r="Q52" s="384"/>
      <c r="R52" s="384"/>
      <c r="S52" s="384"/>
      <c r="T52" s="384"/>
      <c r="U52" s="384"/>
      <c r="V52" s="384"/>
      <c r="W52" s="384"/>
      <c r="X52" s="384"/>
      <c r="Y52" s="384"/>
      <c r="Z52" s="384"/>
      <c r="AA52" s="384"/>
      <c r="AB52" s="384"/>
      <c r="AC52" s="386"/>
    </row>
    <row r="53" spans="4:29" s="387" customFormat="1" x14ac:dyDescent="0.25">
      <c r="D53" s="384"/>
      <c r="E53" s="384"/>
      <c r="F53" s="384"/>
      <c r="G53" s="384"/>
      <c r="H53" s="384"/>
      <c r="I53" s="384"/>
      <c r="J53" s="384"/>
      <c r="K53" s="384"/>
      <c r="L53" s="384"/>
      <c r="M53" s="384"/>
      <c r="N53" s="378"/>
      <c r="O53" s="378"/>
      <c r="P53" s="384"/>
      <c r="Q53" s="384"/>
      <c r="R53" s="384"/>
      <c r="S53" s="384"/>
      <c r="T53" s="384"/>
      <c r="U53" s="384"/>
      <c r="V53" s="384"/>
      <c r="W53" s="384"/>
      <c r="X53" s="384"/>
      <c r="Y53" s="384"/>
      <c r="Z53" s="384"/>
      <c r="AA53" s="384"/>
      <c r="AB53" s="384"/>
      <c r="AC53" s="386"/>
    </row>
    <row r="54" spans="4:29" s="387" customFormat="1" x14ac:dyDescent="0.25">
      <c r="D54" s="384"/>
      <c r="E54" s="384"/>
      <c r="F54" s="384"/>
      <c r="G54" s="384"/>
      <c r="H54" s="384"/>
      <c r="I54" s="384"/>
      <c r="J54" s="384"/>
      <c r="K54" s="384"/>
      <c r="L54" s="384"/>
      <c r="M54" s="384"/>
      <c r="N54" s="378"/>
      <c r="O54" s="378"/>
      <c r="P54" s="384"/>
      <c r="Q54" s="384"/>
      <c r="R54" s="384"/>
      <c r="S54" s="384"/>
      <c r="T54" s="384"/>
      <c r="U54" s="384"/>
      <c r="V54" s="384"/>
      <c r="W54" s="384"/>
      <c r="X54" s="384"/>
      <c r="Y54" s="384"/>
      <c r="Z54" s="384"/>
      <c r="AA54" s="384"/>
      <c r="AB54" s="384"/>
      <c r="AC54" s="386"/>
    </row>
    <row r="55" spans="4:29" s="387" customFormat="1" x14ac:dyDescent="0.25">
      <c r="D55" s="384"/>
      <c r="E55" s="384"/>
      <c r="F55" s="384"/>
      <c r="G55" s="384"/>
      <c r="H55" s="384"/>
      <c r="I55" s="384"/>
      <c r="J55" s="384"/>
      <c r="K55" s="384"/>
      <c r="L55" s="384"/>
      <c r="M55" s="384"/>
      <c r="N55" s="378"/>
      <c r="O55" s="378"/>
      <c r="P55" s="384"/>
      <c r="Q55" s="384"/>
      <c r="R55" s="384"/>
      <c r="S55" s="384"/>
      <c r="T55" s="384"/>
      <c r="U55" s="384"/>
      <c r="V55" s="384"/>
      <c r="W55" s="384"/>
      <c r="X55" s="384"/>
      <c r="Y55" s="384"/>
      <c r="Z55" s="384"/>
      <c r="AA55" s="384"/>
      <c r="AB55" s="384"/>
      <c r="AC55" s="386"/>
    </row>
    <row r="56" spans="4:29" s="387" customFormat="1" x14ac:dyDescent="0.25">
      <c r="D56" s="384"/>
      <c r="E56" s="384"/>
      <c r="F56" s="384"/>
      <c r="G56" s="384"/>
      <c r="H56" s="384"/>
      <c r="I56" s="384"/>
      <c r="J56" s="384"/>
      <c r="K56" s="384"/>
      <c r="L56" s="384"/>
      <c r="M56" s="384"/>
      <c r="N56" s="378"/>
      <c r="O56" s="378"/>
      <c r="P56" s="384"/>
      <c r="Q56" s="384"/>
      <c r="R56" s="384"/>
      <c r="S56" s="384"/>
      <c r="T56" s="384"/>
      <c r="U56" s="384"/>
      <c r="V56" s="384"/>
      <c r="W56" s="384"/>
      <c r="X56" s="384"/>
      <c r="Y56" s="384"/>
      <c r="Z56" s="384"/>
      <c r="AA56" s="384"/>
      <c r="AB56" s="384"/>
      <c r="AC56" s="386"/>
    </row>
    <row r="57" spans="4:29" s="387" customFormat="1" x14ac:dyDescent="0.25">
      <c r="D57" s="384"/>
      <c r="E57" s="384"/>
      <c r="F57" s="384"/>
      <c r="G57" s="384"/>
      <c r="H57" s="384"/>
      <c r="I57" s="384"/>
      <c r="J57" s="384"/>
      <c r="K57" s="384"/>
      <c r="L57" s="384"/>
      <c r="M57" s="384"/>
      <c r="N57" s="378"/>
      <c r="O57" s="378"/>
      <c r="P57" s="384"/>
      <c r="Q57" s="384"/>
      <c r="R57" s="384"/>
      <c r="S57" s="384"/>
      <c r="T57" s="384"/>
      <c r="U57" s="384"/>
      <c r="V57" s="384"/>
      <c r="W57" s="384"/>
      <c r="X57" s="384"/>
      <c r="Y57" s="384"/>
      <c r="Z57" s="384"/>
      <c r="AA57" s="384"/>
      <c r="AB57" s="384"/>
      <c r="AC57" s="386"/>
    </row>
    <row r="58" spans="4:29" s="387" customFormat="1" x14ac:dyDescent="0.25">
      <c r="D58" s="384"/>
      <c r="E58" s="384"/>
      <c r="F58" s="384"/>
      <c r="G58" s="384"/>
      <c r="H58" s="384"/>
      <c r="I58" s="384"/>
      <c r="J58" s="384"/>
      <c r="K58" s="384"/>
      <c r="L58" s="384"/>
      <c r="M58" s="384"/>
      <c r="N58" s="378"/>
      <c r="O58" s="378"/>
      <c r="P58" s="384"/>
      <c r="Q58" s="384"/>
      <c r="R58" s="384"/>
      <c r="S58" s="384"/>
      <c r="T58" s="384"/>
      <c r="U58" s="384"/>
      <c r="V58" s="384"/>
      <c r="W58" s="384"/>
      <c r="X58" s="384"/>
      <c r="Y58" s="384"/>
      <c r="Z58" s="384"/>
      <c r="AA58" s="384"/>
      <c r="AB58" s="384"/>
      <c r="AC58" s="386"/>
    </row>
    <row r="59" spans="4:29" s="387" customFormat="1" x14ac:dyDescent="0.25">
      <c r="D59" s="384"/>
      <c r="E59" s="384"/>
      <c r="F59" s="384"/>
      <c r="G59" s="384"/>
      <c r="H59" s="384"/>
      <c r="I59" s="384"/>
      <c r="J59" s="384"/>
      <c r="K59" s="384"/>
      <c r="L59" s="384"/>
      <c r="M59" s="384"/>
      <c r="N59" s="378"/>
      <c r="O59" s="378"/>
      <c r="P59" s="384"/>
      <c r="Q59" s="384"/>
      <c r="R59" s="384"/>
      <c r="S59" s="384"/>
      <c r="T59" s="384"/>
      <c r="U59" s="384"/>
      <c r="V59" s="384"/>
      <c r="W59" s="384"/>
      <c r="X59" s="384"/>
      <c r="Y59" s="384"/>
      <c r="Z59" s="384"/>
      <c r="AA59" s="384"/>
      <c r="AB59" s="384"/>
      <c r="AC59" s="386"/>
    </row>
    <row r="60" spans="4:29" s="387" customFormat="1" x14ac:dyDescent="0.25">
      <c r="D60" s="384"/>
      <c r="E60" s="384"/>
      <c r="F60" s="384"/>
      <c r="G60" s="384"/>
      <c r="H60" s="384"/>
      <c r="I60" s="384"/>
      <c r="J60" s="384"/>
      <c r="K60" s="384"/>
      <c r="L60" s="384"/>
      <c r="M60" s="384"/>
      <c r="N60" s="378"/>
      <c r="O60" s="378"/>
      <c r="P60" s="384"/>
      <c r="Q60" s="384"/>
      <c r="R60" s="384"/>
      <c r="S60" s="384"/>
      <c r="T60" s="384"/>
      <c r="U60" s="384"/>
      <c r="V60" s="384"/>
      <c r="W60" s="384"/>
      <c r="X60" s="384"/>
      <c r="Y60" s="384"/>
      <c r="Z60" s="384"/>
      <c r="AA60" s="384"/>
      <c r="AB60" s="384"/>
      <c r="AC60" s="386"/>
    </row>
    <row r="61" spans="4:29" s="387" customFormat="1" x14ac:dyDescent="0.25">
      <c r="D61" s="384"/>
      <c r="E61" s="384"/>
      <c r="F61" s="384"/>
      <c r="G61" s="384"/>
      <c r="H61" s="384"/>
      <c r="I61" s="384"/>
      <c r="J61" s="384"/>
      <c r="K61" s="384"/>
      <c r="L61" s="384"/>
      <c r="M61" s="384"/>
      <c r="N61" s="378"/>
      <c r="O61" s="378"/>
      <c r="P61" s="384"/>
      <c r="Q61" s="384"/>
      <c r="R61" s="384"/>
      <c r="S61" s="384"/>
      <c r="T61" s="384"/>
      <c r="U61" s="384"/>
      <c r="V61" s="384"/>
      <c r="W61" s="384"/>
      <c r="X61" s="384"/>
      <c r="Y61" s="384"/>
      <c r="Z61" s="384"/>
      <c r="AA61" s="384"/>
      <c r="AB61" s="384"/>
      <c r="AC61" s="386"/>
    </row>
    <row r="62" spans="4:29" s="387" customFormat="1" x14ac:dyDescent="0.25">
      <c r="D62" s="384"/>
      <c r="E62" s="384"/>
      <c r="F62" s="384"/>
      <c r="G62" s="384"/>
      <c r="H62" s="384"/>
      <c r="I62" s="384"/>
      <c r="J62" s="384"/>
      <c r="K62" s="384"/>
      <c r="L62" s="384"/>
      <c r="M62" s="384"/>
      <c r="N62" s="378"/>
      <c r="O62" s="378"/>
      <c r="P62" s="384"/>
      <c r="Q62" s="384"/>
      <c r="R62" s="384"/>
      <c r="S62" s="384"/>
      <c r="T62" s="384"/>
      <c r="U62" s="384"/>
      <c r="V62" s="384"/>
      <c r="W62" s="384"/>
      <c r="X62" s="384"/>
      <c r="Y62" s="384"/>
      <c r="Z62" s="384"/>
      <c r="AA62" s="384"/>
      <c r="AB62" s="384"/>
      <c r="AC62" s="386"/>
    </row>
    <row r="63" spans="4:29" s="387" customFormat="1" x14ac:dyDescent="0.25">
      <c r="D63" s="384"/>
      <c r="E63" s="384"/>
      <c r="F63" s="384"/>
      <c r="G63" s="384"/>
      <c r="H63" s="384"/>
      <c r="I63" s="384"/>
      <c r="J63" s="384"/>
      <c r="K63" s="384"/>
      <c r="L63" s="384"/>
      <c r="M63" s="384"/>
      <c r="N63" s="378"/>
      <c r="O63" s="378"/>
      <c r="P63" s="384"/>
      <c r="Q63" s="384"/>
      <c r="R63" s="384"/>
      <c r="S63" s="384"/>
      <c r="T63" s="384"/>
      <c r="U63" s="384"/>
      <c r="V63" s="384"/>
      <c r="W63" s="384"/>
      <c r="X63" s="384"/>
      <c r="Y63" s="384"/>
      <c r="Z63" s="384"/>
      <c r="AA63" s="384"/>
      <c r="AB63" s="384"/>
      <c r="AC63" s="386"/>
    </row>
    <row r="64" spans="4:29" s="387" customFormat="1" x14ac:dyDescent="0.25">
      <c r="D64" s="384"/>
      <c r="E64" s="384"/>
      <c r="F64" s="384"/>
      <c r="G64" s="384"/>
      <c r="H64" s="384"/>
      <c r="I64" s="384"/>
      <c r="J64" s="384"/>
      <c r="K64" s="384"/>
      <c r="L64" s="384"/>
      <c r="M64" s="384"/>
      <c r="N64" s="378"/>
      <c r="O64" s="378"/>
      <c r="P64" s="384"/>
      <c r="Q64" s="384"/>
      <c r="R64" s="384"/>
      <c r="S64" s="384"/>
      <c r="T64" s="384"/>
      <c r="U64" s="384"/>
      <c r="V64" s="384"/>
      <c r="W64" s="384"/>
      <c r="X64" s="384"/>
      <c r="Y64" s="384"/>
      <c r="Z64" s="384"/>
      <c r="AA64" s="384"/>
      <c r="AB64" s="384"/>
      <c r="AC64" s="386"/>
    </row>
    <row r="65" spans="4:29" s="387" customFormat="1" x14ac:dyDescent="0.25">
      <c r="D65" s="384"/>
      <c r="E65" s="384"/>
      <c r="F65" s="384"/>
      <c r="G65" s="384"/>
      <c r="H65" s="384"/>
      <c r="I65" s="384"/>
      <c r="J65" s="384"/>
      <c r="K65" s="384"/>
      <c r="L65" s="384"/>
      <c r="M65" s="384"/>
      <c r="N65" s="378"/>
      <c r="O65" s="378"/>
      <c r="P65" s="384"/>
      <c r="Q65" s="384"/>
      <c r="R65" s="384"/>
      <c r="S65" s="384"/>
      <c r="T65" s="384"/>
      <c r="U65" s="384"/>
      <c r="V65" s="384"/>
      <c r="W65" s="384"/>
      <c r="X65" s="384"/>
      <c r="Y65" s="384"/>
      <c r="Z65" s="384"/>
      <c r="AA65" s="384"/>
      <c r="AB65" s="384"/>
      <c r="AC65" s="386"/>
    </row>
    <row r="66" spans="4:29" s="387" customFormat="1" x14ac:dyDescent="0.25">
      <c r="D66" s="384"/>
      <c r="E66" s="384"/>
      <c r="F66" s="384"/>
      <c r="G66" s="384"/>
      <c r="H66" s="384"/>
      <c r="I66" s="384"/>
      <c r="J66" s="384"/>
      <c r="K66" s="384"/>
      <c r="L66" s="384"/>
      <c r="M66" s="384"/>
      <c r="N66" s="378"/>
      <c r="O66" s="378"/>
      <c r="P66" s="384"/>
      <c r="Q66" s="384"/>
      <c r="R66" s="384"/>
      <c r="S66" s="384"/>
      <c r="T66" s="384"/>
      <c r="U66" s="384"/>
      <c r="V66" s="384"/>
      <c r="W66" s="384"/>
      <c r="X66" s="384"/>
      <c r="Y66" s="384"/>
      <c r="Z66" s="384"/>
      <c r="AA66" s="384"/>
      <c r="AB66" s="384"/>
      <c r="AC66" s="386"/>
    </row>
    <row r="67" spans="4:29" s="387" customFormat="1" x14ac:dyDescent="0.25">
      <c r="D67" s="384"/>
      <c r="E67" s="384"/>
      <c r="F67" s="384"/>
      <c r="G67" s="384"/>
      <c r="H67" s="384"/>
      <c r="I67" s="384"/>
      <c r="J67" s="384"/>
      <c r="K67" s="384"/>
      <c r="L67" s="384"/>
      <c r="M67" s="384"/>
      <c r="N67" s="378"/>
      <c r="O67" s="378"/>
      <c r="P67" s="384"/>
      <c r="Q67" s="384"/>
      <c r="R67" s="384"/>
      <c r="S67" s="384"/>
      <c r="T67" s="384"/>
      <c r="U67" s="384"/>
      <c r="V67" s="384"/>
      <c r="W67" s="384"/>
      <c r="X67" s="384"/>
      <c r="Y67" s="384"/>
      <c r="Z67" s="384"/>
      <c r="AA67" s="384"/>
      <c r="AB67" s="384"/>
      <c r="AC67" s="386"/>
    </row>
    <row r="68" spans="4:29" s="387" customFormat="1" x14ac:dyDescent="0.25">
      <c r="D68" s="384"/>
      <c r="E68" s="384"/>
      <c r="F68" s="384"/>
      <c r="G68" s="384"/>
      <c r="H68" s="384"/>
      <c r="I68" s="384"/>
      <c r="J68" s="384"/>
      <c r="K68" s="384"/>
      <c r="L68" s="384"/>
      <c r="M68" s="384"/>
      <c r="N68" s="378"/>
      <c r="O68" s="378"/>
      <c r="P68" s="384"/>
      <c r="Q68" s="384"/>
      <c r="R68" s="384"/>
      <c r="S68" s="384"/>
      <c r="T68" s="384"/>
      <c r="U68" s="384"/>
      <c r="V68" s="384"/>
      <c r="W68" s="384"/>
      <c r="X68" s="384"/>
      <c r="Y68" s="384"/>
      <c r="Z68" s="384"/>
      <c r="AA68" s="384"/>
      <c r="AB68" s="384"/>
      <c r="AC68" s="386"/>
    </row>
    <row r="69" spans="4:29" s="387" customFormat="1" x14ac:dyDescent="0.25">
      <c r="D69" s="384"/>
      <c r="E69" s="384"/>
      <c r="F69" s="384"/>
      <c r="G69" s="384"/>
      <c r="H69" s="384"/>
      <c r="I69" s="384"/>
      <c r="J69" s="384"/>
      <c r="K69" s="384"/>
      <c r="L69" s="384"/>
      <c r="M69" s="384"/>
      <c r="N69" s="378"/>
      <c r="O69" s="378"/>
      <c r="P69" s="384"/>
      <c r="Q69" s="384"/>
      <c r="R69" s="384"/>
      <c r="S69" s="384"/>
      <c r="T69" s="384"/>
      <c r="U69" s="384"/>
      <c r="V69" s="384"/>
      <c r="W69" s="384"/>
      <c r="X69" s="384"/>
      <c r="Y69" s="384"/>
      <c r="Z69" s="384"/>
      <c r="AA69" s="384"/>
      <c r="AB69" s="384"/>
      <c r="AC69" s="386"/>
    </row>
    <row r="70" spans="4:29" s="387" customFormat="1" x14ac:dyDescent="0.25">
      <c r="D70" s="384"/>
      <c r="E70" s="384"/>
      <c r="F70" s="384"/>
      <c r="G70" s="384"/>
      <c r="H70" s="384"/>
      <c r="I70" s="384"/>
      <c r="J70" s="384"/>
      <c r="K70" s="384"/>
      <c r="L70" s="384"/>
      <c r="M70" s="384"/>
      <c r="N70" s="378"/>
      <c r="O70" s="378"/>
      <c r="P70" s="384"/>
      <c r="Q70" s="384"/>
      <c r="R70" s="384"/>
      <c r="S70" s="384"/>
      <c r="T70" s="384"/>
      <c r="U70" s="384"/>
      <c r="V70" s="384"/>
      <c r="W70" s="384"/>
      <c r="X70" s="384"/>
      <c r="Y70" s="384"/>
      <c r="Z70" s="384"/>
      <c r="AA70" s="384"/>
      <c r="AB70" s="384"/>
      <c r="AC70" s="386"/>
    </row>
    <row r="71" spans="4:29" s="387" customFormat="1" x14ac:dyDescent="0.25">
      <c r="D71" s="384"/>
      <c r="E71" s="384"/>
      <c r="F71" s="384"/>
      <c r="G71" s="384"/>
      <c r="H71" s="384"/>
      <c r="I71" s="384"/>
      <c r="J71" s="384"/>
      <c r="K71" s="384"/>
      <c r="L71" s="384"/>
      <c r="M71" s="384"/>
      <c r="N71" s="378"/>
      <c r="O71" s="378"/>
      <c r="P71" s="384"/>
      <c r="Q71" s="384"/>
      <c r="R71" s="384"/>
      <c r="S71" s="384"/>
      <c r="T71" s="384"/>
      <c r="U71" s="384"/>
      <c r="V71" s="384"/>
      <c r="W71" s="384"/>
      <c r="X71" s="384"/>
      <c r="Y71" s="384"/>
      <c r="Z71" s="384"/>
      <c r="AA71" s="384"/>
      <c r="AB71" s="384"/>
      <c r="AC71" s="386"/>
    </row>
    <row r="72" spans="4:29" s="387" customFormat="1" x14ac:dyDescent="0.25">
      <c r="D72" s="384"/>
      <c r="E72" s="384"/>
      <c r="F72" s="384"/>
      <c r="G72" s="384"/>
      <c r="H72" s="384"/>
      <c r="I72" s="384"/>
      <c r="J72" s="384"/>
      <c r="K72" s="384"/>
      <c r="L72" s="384"/>
      <c r="M72" s="384"/>
      <c r="N72" s="378"/>
      <c r="O72" s="378"/>
      <c r="P72" s="384"/>
      <c r="Q72" s="384"/>
      <c r="R72" s="384"/>
      <c r="S72" s="384"/>
      <c r="T72" s="384"/>
      <c r="U72" s="384"/>
      <c r="V72" s="384"/>
      <c r="W72" s="384"/>
      <c r="X72" s="384"/>
      <c r="Y72" s="384"/>
      <c r="Z72" s="384"/>
      <c r="AA72" s="384"/>
      <c r="AB72" s="384"/>
      <c r="AC72" s="386"/>
    </row>
    <row r="73" spans="4:29" s="387" customFormat="1" x14ac:dyDescent="0.25">
      <c r="D73" s="384"/>
      <c r="E73" s="384"/>
      <c r="F73" s="384"/>
      <c r="G73" s="384"/>
      <c r="H73" s="384"/>
      <c r="I73" s="384"/>
      <c r="J73" s="384"/>
      <c r="K73" s="384"/>
      <c r="L73" s="384"/>
      <c r="M73" s="384"/>
      <c r="N73" s="378"/>
      <c r="O73" s="378"/>
      <c r="P73" s="384"/>
      <c r="Q73" s="384"/>
      <c r="R73" s="384"/>
      <c r="S73" s="384"/>
      <c r="T73" s="384"/>
      <c r="U73" s="384"/>
      <c r="V73" s="384"/>
      <c r="W73" s="384"/>
      <c r="X73" s="384"/>
      <c r="Y73" s="384"/>
      <c r="Z73" s="384"/>
      <c r="AA73" s="384"/>
      <c r="AB73" s="384"/>
      <c r="AC73" s="386"/>
    </row>
    <row r="74" spans="4:29" s="387" customFormat="1" x14ac:dyDescent="0.25">
      <c r="D74" s="384"/>
      <c r="E74" s="384"/>
      <c r="F74" s="384"/>
      <c r="G74" s="384"/>
      <c r="H74" s="384"/>
      <c r="I74" s="384"/>
      <c r="J74" s="384"/>
      <c r="K74" s="384"/>
      <c r="L74" s="384"/>
      <c r="M74" s="384"/>
      <c r="N74" s="378"/>
      <c r="O74" s="378"/>
      <c r="P74" s="384"/>
      <c r="Q74" s="384"/>
      <c r="R74" s="384"/>
      <c r="S74" s="384"/>
      <c r="T74" s="384"/>
      <c r="U74" s="384"/>
      <c r="V74" s="384"/>
      <c r="W74" s="384"/>
      <c r="X74" s="384"/>
      <c r="Y74" s="384"/>
      <c r="Z74" s="384"/>
      <c r="AA74" s="384"/>
      <c r="AB74" s="384"/>
      <c r="AC74" s="386"/>
    </row>
    <row r="75" spans="4:29" s="387" customFormat="1" x14ac:dyDescent="0.25">
      <c r="D75" s="384"/>
      <c r="E75" s="384"/>
      <c r="F75" s="384"/>
      <c r="G75" s="384"/>
      <c r="H75" s="384"/>
      <c r="I75" s="384"/>
      <c r="J75" s="384"/>
      <c r="K75" s="384"/>
      <c r="L75" s="384"/>
      <c r="M75" s="384"/>
      <c r="N75" s="378"/>
      <c r="O75" s="378"/>
      <c r="P75" s="384"/>
      <c r="Q75" s="384"/>
      <c r="R75" s="384"/>
      <c r="S75" s="384"/>
      <c r="T75" s="384"/>
      <c r="U75" s="384"/>
      <c r="V75" s="384"/>
      <c r="W75" s="384"/>
      <c r="X75" s="384"/>
      <c r="Y75" s="384"/>
      <c r="Z75" s="384"/>
      <c r="AA75" s="384"/>
      <c r="AB75" s="384"/>
      <c r="AC75" s="386"/>
    </row>
    <row r="76" spans="4:29" s="387" customFormat="1" x14ac:dyDescent="0.25">
      <c r="D76" s="384"/>
      <c r="E76" s="384"/>
      <c r="F76" s="384"/>
      <c r="G76" s="384"/>
      <c r="H76" s="384"/>
      <c r="I76" s="384"/>
      <c r="J76" s="384"/>
      <c r="K76" s="384"/>
      <c r="L76" s="384"/>
      <c r="M76" s="384"/>
      <c r="N76" s="378"/>
      <c r="O76" s="378"/>
      <c r="P76" s="384"/>
      <c r="Q76" s="384"/>
      <c r="R76" s="384"/>
      <c r="S76" s="384"/>
      <c r="T76" s="384"/>
      <c r="U76" s="384"/>
      <c r="V76" s="384"/>
      <c r="W76" s="384"/>
      <c r="X76" s="384"/>
      <c r="Y76" s="384"/>
      <c r="Z76" s="384"/>
      <c r="AA76" s="384"/>
      <c r="AB76" s="384"/>
      <c r="AC76" s="386"/>
    </row>
    <row r="77" spans="4:29" s="387" customFormat="1" x14ac:dyDescent="0.25">
      <c r="D77" s="384"/>
      <c r="E77" s="384"/>
      <c r="F77" s="384"/>
      <c r="G77" s="384"/>
      <c r="H77" s="384"/>
      <c r="I77" s="384"/>
      <c r="J77" s="384"/>
      <c r="K77" s="384"/>
      <c r="L77" s="384"/>
      <c r="M77" s="384"/>
      <c r="N77" s="378"/>
      <c r="O77" s="378"/>
      <c r="P77" s="384"/>
      <c r="Q77" s="384"/>
      <c r="R77" s="384"/>
      <c r="S77" s="384"/>
      <c r="T77" s="384"/>
      <c r="U77" s="384"/>
      <c r="V77" s="384"/>
      <c r="W77" s="384"/>
      <c r="X77" s="384"/>
      <c r="Y77" s="384"/>
      <c r="Z77" s="384"/>
      <c r="AA77" s="384"/>
      <c r="AB77" s="384"/>
      <c r="AC77" s="386"/>
    </row>
    <row r="78" spans="4:29" s="387" customFormat="1" x14ac:dyDescent="0.25">
      <c r="D78" s="384"/>
      <c r="E78" s="384"/>
      <c r="F78" s="384"/>
      <c r="G78" s="384"/>
      <c r="H78" s="384"/>
      <c r="I78" s="384"/>
      <c r="J78" s="384"/>
      <c r="K78" s="384"/>
      <c r="L78" s="384"/>
      <c r="M78" s="384"/>
      <c r="N78" s="378"/>
      <c r="O78" s="378"/>
      <c r="P78" s="384"/>
      <c r="Q78" s="384"/>
      <c r="R78" s="384"/>
      <c r="S78" s="384"/>
      <c r="T78" s="384"/>
      <c r="U78" s="384"/>
      <c r="V78" s="384"/>
      <c r="W78" s="384"/>
      <c r="X78" s="384"/>
      <c r="Y78" s="384"/>
      <c r="Z78" s="384"/>
      <c r="AA78" s="384"/>
      <c r="AB78" s="384"/>
      <c r="AC78" s="386"/>
    </row>
    <row r="79" spans="4:29" s="387" customFormat="1" x14ac:dyDescent="0.25">
      <c r="D79" s="384"/>
      <c r="E79" s="384"/>
      <c r="F79" s="384"/>
      <c r="G79" s="384"/>
      <c r="H79" s="384"/>
      <c r="I79" s="384"/>
      <c r="J79" s="384"/>
      <c r="K79" s="384"/>
      <c r="L79" s="384"/>
      <c r="M79" s="384"/>
      <c r="N79" s="378"/>
      <c r="O79" s="378"/>
      <c r="P79" s="384"/>
      <c r="Q79" s="384"/>
      <c r="R79" s="384"/>
      <c r="S79" s="384"/>
      <c r="T79" s="384"/>
      <c r="U79" s="384"/>
      <c r="V79" s="384"/>
      <c r="W79" s="384"/>
      <c r="X79" s="384"/>
      <c r="Y79" s="384"/>
      <c r="Z79" s="384"/>
      <c r="AA79" s="384"/>
      <c r="AB79" s="384"/>
      <c r="AC79" s="386"/>
    </row>
    <row r="80" spans="4:29" s="387" customFormat="1" x14ac:dyDescent="0.25">
      <c r="D80" s="384"/>
      <c r="E80" s="384"/>
      <c r="F80" s="384"/>
      <c r="G80" s="384"/>
      <c r="H80" s="384"/>
      <c r="I80" s="384"/>
      <c r="J80" s="384"/>
      <c r="K80" s="384"/>
      <c r="L80" s="384"/>
      <c r="M80" s="384"/>
      <c r="N80" s="378"/>
      <c r="O80" s="378"/>
      <c r="P80" s="384"/>
      <c r="Q80" s="384"/>
      <c r="R80" s="384"/>
      <c r="S80" s="384"/>
      <c r="T80" s="384"/>
      <c r="U80" s="384"/>
      <c r="V80" s="384"/>
      <c r="W80" s="384"/>
      <c r="X80" s="384"/>
      <c r="Y80" s="384"/>
      <c r="Z80" s="384"/>
      <c r="AA80" s="384"/>
      <c r="AB80" s="384"/>
      <c r="AC80" s="386"/>
    </row>
    <row r="81" spans="4:29" s="387" customFormat="1" x14ac:dyDescent="0.25">
      <c r="D81" s="384"/>
      <c r="E81" s="384"/>
      <c r="F81" s="384"/>
      <c r="G81" s="384"/>
      <c r="H81" s="384"/>
      <c r="I81" s="384"/>
      <c r="J81" s="384"/>
      <c r="K81" s="384"/>
      <c r="L81" s="384"/>
      <c r="M81" s="384"/>
      <c r="N81" s="378"/>
      <c r="O81" s="378"/>
      <c r="P81" s="384"/>
      <c r="Q81" s="384"/>
      <c r="R81" s="384"/>
      <c r="S81" s="384"/>
      <c r="T81" s="384"/>
      <c r="U81" s="384"/>
      <c r="V81" s="384"/>
      <c r="W81" s="384"/>
      <c r="X81" s="384"/>
      <c r="Y81" s="384"/>
      <c r="Z81" s="384"/>
      <c r="AA81" s="384"/>
      <c r="AB81" s="384"/>
      <c r="AC81" s="386"/>
    </row>
    <row r="82" spans="4:29" s="387" customFormat="1" x14ac:dyDescent="0.25">
      <c r="D82" s="384"/>
      <c r="E82" s="384"/>
      <c r="F82" s="384"/>
      <c r="G82" s="384"/>
      <c r="H82" s="384"/>
      <c r="I82" s="384"/>
      <c r="J82" s="384"/>
      <c r="K82" s="384"/>
      <c r="L82" s="384"/>
      <c r="M82" s="384"/>
      <c r="N82" s="378"/>
      <c r="O82" s="378"/>
      <c r="P82" s="384"/>
      <c r="Q82" s="384"/>
      <c r="R82" s="384"/>
      <c r="S82" s="384"/>
      <c r="T82" s="384"/>
      <c r="U82" s="384"/>
      <c r="V82" s="384"/>
      <c r="W82" s="384"/>
      <c r="X82" s="384"/>
      <c r="Y82" s="384"/>
      <c r="Z82" s="384"/>
      <c r="AA82" s="384"/>
      <c r="AB82" s="384"/>
      <c r="AC82" s="386"/>
    </row>
    <row r="83" spans="4:29" s="387" customFormat="1" x14ac:dyDescent="0.25">
      <c r="D83" s="384"/>
      <c r="E83" s="384"/>
      <c r="F83" s="384"/>
      <c r="G83" s="384"/>
      <c r="H83" s="384"/>
      <c r="I83" s="384"/>
      <c r="J83" s="384"/>
      <c r="K83" s="384"/>
      <c r="L83" s="384"/>
      <c r="M83" s="384"/>
      <c r="N83" s="378"/>
      <c r="O83" s="378"/>
      <c r="P83" s="384"/>
      <c r="Q83" s="384"/>
      <c r="R83" s="384"/>
      <c r="S83" s="384"/>
      <c r="T83" s="384"/>
      <c r="U83" s="384"/>
      <c r="V83" s="384"/>
      <c r="W83" s="384"/>
      <c r="X83" s="384"/>
      <c r="Y83" s="384"/>
      <c r="Z83" s="384"/>
      <c r="AA83" s="384"/>
      <c r="AB83" s="384"/>
      <c r="AC83" s="386"/>
    </row>
    <row r="84" spans="4:29" s="387" customFormat="1" x14ac:dyDescent="0.25">
      <c r="D84" s="384"/>
      <c r="E84" s="384"/>
      <c r="F84" s="384"/>
      <c r="G84" s="384"/>
      <c r="H84" s="384"/>
      <c r="I84" s="384"/>
      <c r="J84" s="384"/>
      <c r="K84" s="384"/>
      <c r="L84" s="384"/>
      <c r="M84" s="384"/>
      <c r="N84" s="378"/>
      <c r="O84" s="378"/>
      <c r="P84" s="384"/>
      <c r="Q84" s="384"/>
      <c r="R84" s="384"/>
      <c r="S84" s="384"/>
      <c r="T84" s="384"/>
      <c r="U84" s="384"/>
      <c r="V84" s="384"/>
      <c r="W84" s="384"/>
      <c r="X84" s="384"/>
      <c r="Y84" s="384"/>
      <c r="Z84" s="384"/>
      <c r="AA84" s="384"/>
      <c r="AB84" s="384"/>
      <c r="AC84" s="386"/>
    </row>
    <row r="85" spans="4:29" s="387" customFormat="1" x14ac:dyDescent="0.25">
      <c r="D85" s="384"/>
      <c r="E85" s="384"/>
      <c r="F85" s="384"/>
      <c r="G85" s="384"/>
      <c r="H85" s="384"/>
      <c r="I85" s="384"/>
      <c r="J85" s="384"/>
      <c r="K85" s="384"/>
      <c r="L85" s="384"/>
      <c r="M85" s="384"/>
      <c r="N85" s="378"/>
      <c r="O85" s="378"/>
      <c r="P85" s="384"/>
      <c r="Q85" s="384"/>
      <c r="R85" s="384"/>
      <c r="S85" s="384"/>
      <c r="T85" s="384"/>
      <c r="U85" s="384"/>
      <c r="V85" s="384"/>
      <c r="W85" s="384"/>
      <c r="X85" s="384"/>
      <c r="Y85" s="384"/>
      <c r="Z85" s="384"/>
      <c r="AA85" s="384"/>
      <c r="AB85" s="384"/>
      <c r="AC85" s="386"/>
    </row>
    <row r="86" spans="4:29" s="387" customFormat="1" x14ac:dyDescent="0.25">
      <c r="D86" s="384"/>
      <c r="E86" s="384"/>
      <c r="F86" s="384"/>
      <c r="G86" s="384"/>
      <c r="H86" s="384"/>
      <c r="I86" s="384"/>
      <c r="J86" s="384"/>
      <c r="K86" s="384"/>
      <c r="L86" s="384"/>
      <c r="M86" s="384"/>
      <c r="N86" s="378"/>
      <c r="O86" s="378"/>
      <c r="P86" s="384"/>
      <c r="Q86" s="384"/>
      <c r="R86" s="384"/>
      <c r="S86" s="384"/>
      <c r="T86" s="384"/>
      <c r="U86" s="384"/>
      <c r="V86" s="384"/>
      <c r="W86" s="384"/>
      <c r="X86" s="384"/>
      <c r="Y86" s="384"/>
      <c r="Z86" s="384"/>
      <c r="AA86" s="384"/>
      <c r="AB86" s="384"/>
      <c r="AC86" s="386"/>
    </row>
    <row r="87" spans="4:29" s="387" customFormat="1" x14ac:dyDescent="0.25">
      <c r="D87" s="384"/>
      <c r="E87" s="384"/>
      <c r="F87" s="384"/>
      <c r="G87" s="384"/>
      <c r="H87" s="384"/>
      <c r="I87" s="384"/>
      <c r="J87" s="384"/>
      <c r="K87" s="384"/>
      <c r="L87" s="384"/>
      <c r="M87" s="384"/>
      <c r="N87" s="378"/>
      <c r="O87" s="378"/>
      <c r="P87" s="384"/>
      <c r="Q87" s="384"/>
      <c r="R87" s="384"/>
      <c r="S87" s="384"/>
      <c r="T87" s="384"/>
      <c r="U87" s="384"/>
      <c r="V87" s="384"/>
      <c r="W87" s="384"/>
      <c r="X87" s="384"/>
      <c r="Y87" s="384"/>
      <c r="Z87" s="384"/>
      <c r="AA87" s="384"/>
      <c r="AB87" s="384"/>
      <c r="AC87" s="386"/>
    </row>
    <row r="88" spans="4:29" s="387" customFormat="1" x14ac:dyDescent="0.25">
      <c r="D88" s="384"/>
      <c r="E88" s="384"/>
      <c r="F88" s="384"/>
      <c r="G88" s="384"/>
      <c r="H88" s="384"/>
      <c r="I88" s="384"/>
      <c r="J88" s="384"/>
      <c r="K88" s="384"/>
      <c r="L88" s="384"/>
      <c r="M88" s="384"/>
      <c r="N88" s="378"/>
      <c r="O88" s="378"/>
      <c r="P88" s="384"/>
      <c r="Q88" s="384"/>
      <c r="R88" s="384"/>
      <c r="S88" s="384"/>
      <c r="T88" s="384"/>
      <c r="U88" s="384"/>
      <c r="V88" s="384"/>
      <c r="W88" s="384"/>
      <c r="X88" s="384"/>
      <c r="Y88" s="384"/>
      <c r="Z88" s="384"/>
      <c r="AA88" s="384"/>
      <c r="AB88" s="384"/>
      <c r="AC88" s="386"/>
    </row>
    <row r="89" spans="4:29" s="387" customFormat="1" x14ac:dyDescent="0.25">
      <c r="D89" s="384"/>
      <c r="E89" s="384"/>
      <c r="F89" s="384"/>
      <c r="G89" s="384"/>
      <c r="H89" s="384"/>
      <c r="I89" s="384"/>
      <c r="J89" s="384"/>
      <c r="K89" s="384"/>
      <c r="L89" s="384"/>
      <c r="M89" s="384"/>
      <c r="N89" s="378"/>
      <c r="O89" s="378"/>
      <c r="P89" s="384"/>
      <c r="Q89" s="384"/>
      <c r="R89" s="384"/>
      <c r="S89" s="384"/>
      <c r="T89" s="384"/>
      <c r="U89" s="384"/>
      <c r="V89" s="384"/>
      <c r="W89" s="384"/>
      <c r="X89" s="384"/>
      <c r="Y89" s="384"/>
      <c r="Z89" s="384"/>
      <c r="AA89" s="384"/>
      <c r="AB89" s="384"/>
      <c r="AC89" s="386"/>
    </row>
    <row r="90" spans="4:29" s="387" customFormat="1" x14ac:dyDescent="0.25">
      <c r="D90" s="384"/>
      <c r="E90" s="384"/>
      <c r="F90" s="384"/>
      <c r="G90" s="384"/>
      <c r="H90" s="384"/>
      <c r="I90" s="384"/>
      <c r="J90" s="384"/>
      <c r="K90" s="384"/>
      <c r="L90" s="384"/>
      <c r="M90" s="384"/>
      <c r="N90" s="378"/>
      <c r="O90" s="378"/>
      <c r="P90" s="384"/>
      <c r="Q90" s="384"/>
      <c r="R90" s="384"/>
      <c r="S90" s="384"/>
      <c r="T90" s="384"/>
      <c r="U90" s="384"/>
      <c r="V90" s="384"/>
      <c r="W90" s="384"/>
      <c r="X90" s="384"/>
      <c r="Y90" s="384"/>
      <c r="Z90" s="384"/>
      <c r="AA90" s="384"/>
      <c r="AB90" s="384"/>
      <c r="AC90" s="386"/>
    </row>
    <row r="91" spans="4:29" s="387" customFormat="1" x14ac:dyDescent="0.25">
      <c r="D91" s="384"/>
      <c r="E91" s="384"/>
      <c r="F91" s="384"/>
      <c r="G91" s="384"/>
      <c r="H91" s="384"/>
      <c r="I91" s="384"/>
      <c r="J91" s="384"/>
      <c r="K91" s="384"/>
      <c r="L91" s="384"/>
      <c r="M91" s="384"/>
      <c r="N91" s="378"/>
      <c r="O91" s="378"/>
      <c r="P91" s="384"/>
      <c r="Q91" s="384"/>
      <c r="R91" s="384"/>
      <c r="S91" s="384"/>
      <c r="T91" s="384"/>
      <c r="U91" s="384"/>
      <c r="V91" s="384"/>
      <c r="W91" s="384"/>
      <c r="X91" s="384"/>
      <c r="Y91" s="384"/>
      <c r="Z91" s="384"/>
      <c r="AA91" s="384"/>
      <c r="AB91" s="384"/>
      <c r="AC91" s="386"/>
    </row>
    <row r="92" spans="4:29" s="387" customFormat="1" x14ac:dyDescent="0.25">
      <c r="D92" s="384"/>
      <c r="E92" s="384"/>
      <c r="F92" s="384"/>
      <c r="G92" s="384"/>
      <c r="H92" s="384"/>
      <c r="I92" s="384"/>
      <c r="J92" s="384"/>
      <c r="K92" s="384"/>
      <c r="L92" s="384"/>
      <c r="M92" s="384"/>
      <c r="N92" s="378"/>
      <c r="O92" s="378"/>
      <c r="P92" s="384"/>
      <c r="Q92" s="384"/>
      <c r="R92" s="384"/>
      <c r="S92" s="384"/>
      <c r="T92" s="384"/>
      <c r="U92" s="384"/>
      <c r="V92" s="384"/>
      <c r="W92" s="384"/>
      <c r="X92" s="384"/>
      <c r="Y92" s="384"/>
      <c r="Z92" s="384"/>
      <c r="AA92" s="384"/>
      <c r="AB92" s="384"/>
      <c r="AC92" s="386"/>
    </row>
    <row r="93" spans="4:29" s="387" customFormat="1" x14ac:dyDescent="0.25">
      <c r="D93" s="384"/>
      <c r="E93" s="384"/>
      <c r="F93" s="384"/>
      <c r="G93" s="384"/>
      <c r="H93" s="384"/>
      <c r="I93" s="384"/>
      <c r="J93" s="384"/>
      <c r="K93" s="384"/>
      <c r="L93" s="384"/>
      <c r="M93" s="384"/>
      <c r="N93" s="378"/>
      <c r="O93" s="378"/>
      <c r="P93" s="384"/>
      <c r="Q93" s="384"/>
      <c r="R93" s="384"/>
      <c r="S93" s="384"/>
      <c r="T93" s="384"/>
      <c r="U93" s="384"/>
      <c r="V93" s="384"/>
      <c r="W93" s="384"/>
      <c r="X93" s="384"/>
      <c r="Y93" s="384"/>
      <c r="Z93" s="384"/>
      <c r="AA93" s="384"/>
      <c r="AB93" s="384"/>
      <c r="AC93" s="386"/>
    </row>
    <row r="94" spans="4:29" s="387" customFormat="1" x14ac:dyDescent="0.25">
      <c r="D94" s="384"/>
      <c r="E94" s="384"/>
      <c r="F94" s="384"/>
      <c r="G94" s="384"/>
      <c r="H94" s="384"/>
      <c r="I94" s="384"/>
      <c r="J94" s="384"/>
      <c r="K94" s="384"/>
      <c r="L94" s="384"/>
      <c r="M94" s="384"/>
      <c r="N94" s="378"/>
      <c r="O94" s="378"/>
      <c r="P94" s="384"/>
      <c r="Q94" s="384"/>
      <c r="R94" s="384"/>
      <c r="S94" s="384"/>
      <c r="T94" s="384"/>
      <c r="U94" s="384"/>
      <c r="V94" s="384"/>
      <c r="W94" s="384"/>
      <c r="X94" s="384"/>
      <c r="Y94" s="384"/>
      <c r="Z94" s="384"/>
      <c r="AA94" s="384"/>
      <c r="AB94" s="384"/>
      <c r="AC94" s="386"/>
    </row>
    <row r="95" spans="4:29" s="387" customFormat="1" x14ac:dyDescent="0.25">
      <c r="D95" s="384"/>
      <c r="E95" s="384"/>
      <c r="F95" s="384"/>
      <c r="G95" s="384"/>
      <c r="H95" s="384"/>
      <c r="I95" s="384"/>
      <c r="J95" s="384"/>
      <c r="K95" s="384"/>
      <c r="L95" s="384"/>
      <c r="M95" s="384"/>
      <c r="N95" s="378"/>
      <c r="O95" s="378"/>
      <c r="P95" s="384"/>
      <c r="Q95" s="384"/>
      <c r="R95" s="384"/>
      <c r="S95" s="384"/>
      <c r="T95" s="384"/>
      <c r="U95" s="384"/>
      <c r="V95" s="384"/>
      <c r="W95" s="384"/>
      <c r="X95" s="384"/>
      <c r="Y95" s="384"/>
      <c r="Z95" s="384"/>
      <c r="AA95" s="384"/>
      <c r="AB95" s="384"/>
      <c r="AC95" s="386"/>
    </row>
    <row r="96" spans="4:29" s="387" customFormat="1" x14ac:dyDescent="0.25">
      <c r="D96" s="384"/>
      <c r="E96" s="384"/>
      <c r="F96" s="384"/>
      <c r="G96" s="384"/>
      <c r="H96" s="384"/>
      <c r="I96" s="384"/>
      <c r="J96" s="384"/>
      <c r="K96" s="384"/>
      <c r="L96" s="384"/>
      <c r="M96" s="384"/>
      <c r="N96" s="378"/>
      <c r="O96" s="378"/>
      <c r="P96" s="384"/>
      <c r="Q96" s="384"/>
      <c r="R96" s="384"/>
      <c r="S96" s="384"/>
      <c r="T96" s="384"/>
      <c r="U96" s="384"/>
      <c r="V96" s="384"/>
      <c r="W96" s="384"/>
      <c r="X96" s="384"/>
      <c r="Y96" s="384"/>
      <c r="Z96" s="384"/>
      <c r="AA96" s="384"/>
      <c r="AB96" s="384"/>
      <c r="AC96" s="386"/>
    </row>
    <row r="97" spans="4:29" s="387" customFormat="1" x14ac:dyDescent="0.25">
      <c r="D97" s="384"/>
      <c r="E97" s="384"/>
      <c r="F97" s="384"/>
      <c r="G97" s="384"/>
      <c r="H97" s="384"/>
      <c r="I97" s="384"/>
      <c r="J97" s="384"/>
      <c r="K97" s="384"/>
      <c r="L97" s="384"/>
      <c r="M97" s="384"/>
      <c r="N97" s="378"/>
      <c r="O97" s="378"/>
      <c r="P97" s="384"/>
      <c r="Q97" s="384"/>
      <c r="R97" s="384"/>
      <c r="S97" s="384"/>
      <c r="T97" s="384"/>
      <c r="U97" s="384"/>
      <c r="V97" s="384"/>
      <c r="W97" s="384"/>
      <c r="X97" s="384"/>
      <c r="Y97" s="384"/>
      <c r="Z97" s="384"/>
      <c r="AA97" s="384"/>
      <c r="AB97" s="384"/>
      <c r="AC97" s="386"/>
    </row>
    <row r="98" spans="4:29" s="387" customFormat="1" x14ac:dyDescent="0.25">
      <c r="D98" s="384"/>
      <c r="E98" s="384"/>
      <c r="F98" s="384"/>
      <c r="G98" s="384"/>
      <c r="H98" s="384"/>
      <c r="I98" s="384"/>
      <c r="J98" s="384"/>
      <c r="K98" s="384"/>
      <c r="L98" s="384"/>
      <c r="M98" s="384"/>
      <c r="N98" s="378"/>
      <c r="O98" s="378"/>
      <c r="P98" s="384"/>
      <c r="Q98" s="384"/>
      <c r="R98" s="384"/>
      <c r="S98" s="384"/>
      <c r="T98" s="384"/>
      <c r="U98" s="384"/>
      <c r="V98" s="384"/>
      <c r="W98" s="384"/>
      <c r="X98" s="384"/>
      <c r="Y98" s="384"/>
      <c r="Z98" s="384"/>
      <c r="AA98" s="384"/>
      <c r="AB98" s="384"/>
      <c r="AC98" s="386"/>
    </row>
    <row r="99" spans="4:29" s="387" customFormat="1" x14ac:dyDescent="0.25">
      <c r="D99" s="384"/>
      <c r="E99" s="384"/>
      <c r="F99" s="384"/>
      <c r="G99" s="384"/>
      <c r="H99" s="384"/>
      <c r="I99" s="384"/>
      <c r="J99" s="384"/>
      <c r="K99" s="384"/>
      <c r="L99" s="384"/>
      <c r="M99" s="384"/>
      <c r="N99" s="378"/>
      <c r="O99" s="378"/>
      <c r="P99" s="384"/>
      <c r="Q99" s="384"/>
      <c r="R99" s="384"/>
      <c r="S99" s="384"/>
      <c r="T99" s="384"/>
      <c r="U99" s="384"/>
      <c r="V99" s="384"/>
      <c r="W99" s="384"/>
      <c r="X99" s="384"/>
      <c r="Y99" s="384"/>
      <c r="Z99" s="384"/>
      <c r="AA99" s="384"/>
      <c r="AB99" s="384"/>
      <c r="AC99" s="386"/>
    </row>
    <row r="100" spans="4:29" s="387" customFormat="1" x14ac:dyDescent="0.25">
      <c r="D100" s="384"/>
      <c r="E100" s="384"/>
      <c r="F100" s="384"/>
      <c r="G100" s="384"/>
      <c r="H100" s="384"/>
      <c r="I100" s="384"/>
      <c r="J100" s="384"/>
      <c r="K100" s="384"/>
      <c r="L100" s="384"/>
      <c r="M100" s="384"/>
      <c r="N100" s="378"/>
      <c r="O100" s="378"/>
      <c r="P100" s="384"/>
      <c r="Q100" s="384"/>
      <c r="R100" s="384"/>
      <c r="S100" s="384"/>
      <c r="T100" s="384"/>
      <c r="U100" s="384"/>
      <c r="V100" s="384"/>
      <c r="W100" s="384"/>
      <c r="X100" s="384"/>
      <c r="Y100" s="384"/>
      <c r="Z100" s="384"/>
      <c r="AA100" s="384"/>
      <c r="AB100" s="384"/>
      <c r="AC100" s="386"/>
    </row>
    <row r="101" spans="4:29" s="387" customFormat="1" x14ac:dyDescent="0.25">
      <c r="D101" s="384"/>
      <c r="E101" s="384"/>
      <c r="F101" s="384"/>
      <c r="G101" s="384"/>
      <c r="H101" s="384"/>
      <c r="I101" s="384"/>
      <c r="J101" s="384"/>
      <c r="K101" s="384"/>
      <c r="L101" s="384"/>
      <c r="M101" s="384"/>
      <c r="N101" s="378"/>
      <c r="O101" s="378"/>
      <c r="P101" s="384"/>
      <c r="Q101" s="384"/>
      <c r="R101" s="384"/>
      <c r="S101" s="384"/>
      <c r="T101" s="384"/>
      <c r="U101" s="384"/>
      <c r="V101" s="384"/>
      <c r="W101" s="384"/>
      <c r="X101" s="384"/>
      <c r="Y101" s="384"/>
      <c r="Z101" s="384"/>
      <c r="AA101" s="384"/>
      <c r="AB101" s="384"/>
      <c r="AC101" s="386"/>
    </row>
    <row r="102" spans="4:29" s="387" customFormat="1" x14ac:dyDescent="0.25">
      <c r="D102" s="384"/>
      <c r="E102" s="384"/>
      <c r="F102" s="384"/>
      <c r="G102" s="384"/>
      <c r="H102" s="384"/>
      <c r="I102" s="384"/>
      <c r="J102" s="384"/>
      <c r="K102" s="384"/>
      <c r="L102" s="384"/>
      <c r="M102" s="384"/>
      <c r="N102" s="378"/>
      <c r="O102" s="378"/>
      <c r="P102" s="384"/>
      <c r="Q102" s="384"/>
      <c r="R102" s="384"/>
      <c r="S102" s="384"/>
      <c r="T102" s="384"/>
      <c r="U102" s="384"/>
      <c r="V102" s="384"/>
      <c r="W102" s="384"/>
      <c r="X102" s="384"/>
      <c r="Y102" s="384"/>
      <c r="Z102" s="384"/>
      <c r="AA102" s="384"/>
      <c r="AB102" s="384"/>
      <c r="AC102" s="386"/>
    </row>
    <row r="103" spans="4:29" s="387" customFormat="1" x14ac:dyDescent="0.25">
      <c r="D103" s="384"/>
      <c r="E103" s="384"/>
      <c r="F103" s="384"/>
      <c r="G103" s="384"/>
      <c r="H103" s="384"/>
      <c r="I103" s="384"/>
      <c r="J103" s="384"/>
      <c r="K103" s="384"/>
      <c r="L103" s="384"/>
      <c r="M103" s="384"/>
      <c r="N103" s="378"/>
      <c r="O103" s="378"/>
      <c r="P103" s="384"/>
      <c r="Q103" s="384"/>
      <c r="R103" s="384"/>
      <c r="S103" s="384"/>
      <c r="T103" s="384"/>
      <c r="U103" s="384"/>
      <c r="V103" s="384"/>
      <c r="W103" s="384"/>
      <c r="X103" s="384"/>
      <c r="Y103" s="384"/>
      <c r="Z103" s="384"/>
      <c r="AA103" s="384"/>
      <c r="AB103" s="384"/>
      <c r="AC103" s="386"/>
    </row>
    <row r="104" spans="4:29" s="387" customFormat="1" x14ac:dyDescent="0.25">
      <c r="D104" s="384"/>
      <c r="E104" s="384"/>
      <c r="F104" s="384"/>
      <c r="G104" s="384"/>
      <c r="H104" s="384"/>
      <c r="I104" s="384"/>
      <c r="J104" s="384"/>
      <c r="K104" s="384"/>
      <c r="L104" s="384"/>
      <c r="M104" s="384"/>
      <c r="N104" s="378"/>
      <c r="O104" s="378"/>
      <c r="P104" s="384"/>
      <c r="Q104" s="384"/>
      <c r="R104" s="384"/>
      <c r="S104" s="384"/>
      <c r="T104" s="384"/>
      <c r="U104" s="384"/>
      <c r="V104" s="384"/>
      <c r="W104" s="384"/>
      <c r="X104" s="384"/>
      <c r="Y104" s="384"/>
      <c r="Z104" s="384"/>
      <c r="AA104" s="384"/>
      <c r="AB104" s="384"/>
      <c r="AC104" s="386"/>
    </row>
    <row r="105" spans="4:29" s="387" customFormat="1" x14ac:dyDescent="0.25">
      <c r="D105" s="384"/>
      <c r="E105" s="384"/>
      <c r="F105" s="384"/>
      <c r="G105" s="384"/>
      <c r="H105" s="384"/>
      <c r="I105" s="384"/>
      <c r="J105" s="384"/>
      <c r="K105" s="384"/>
      <c r="L105" s="384"/>
      <c r="M105" s="384"/>
      <c r="N105" s="378"/>
      <c r="O105" s="378"/>
      <c r="P105" s="384"/>
      <c r="Q105" s="384"/>
      <c r="R105" s="384"/>
      <c r="S105" s="384"/>
      <c r="T105" s="384"/>
      <c r="U105" s="384"/>
      <c r="V105" s="384"/>
      <c r="W105" s="384"/>
      <c r="X105" s="384"/>
      <c r="Y105" s="384"/>
      <c r="Z105" s="384"/>
      <c r="AA105" s="384"/>
      <c r="AB105" s="384"/>
      <c r="AC105" s="386"/>
    </row>
    <row r="106" spans="4:29" s="387" customFormat="1" x14ac:dyDescent="0.25">
      <c r="D106" s="384"/>
      <c r="E106" s="384"/>
      <c r="F106" s="384"/>
      <c r="G106" s="384"/>
      <c r="H106" s="384"/>
      <c r="I106" s="384"/>
      <c r="J106" s="384"/>
      <c r="K106" s="384"/>
      <c r="L106" s="384"/>
      <c r="M106" s="384"/>
      <c r="N106" s="378"/>
      <c r="O106" s="378"/>
      <c r="P106" s="384"/>
      <c r="Q106" s="384"/>
      <c r="R106" s="384"/>
      <c r="S106" s="384"/>
      <c r="T106" s="384"/>
      <c r="U106" s="384"/>
      <c r="V106" s="384"/>
      <c r="W106" s="384"/>
      <c r="X106" s="384"/>
      <c r="Y106" s="384"/>
      <c r="Z106" s="384"/>
      <c r="AA106" s="384"/>
      <c r="AB106" s="384"/>
      <c r="AC106" s="386"/>
    </row>
    <row r="107" spans="4:29" s="387" customFormat="1" x14ac:dyDescent="0.25">
      <c r="D107" s="384"/>
      <c r="E107" s="384"/>
      <c r="F107" s="384"/>
      <c r="G107" s="384"/>
      <c r="H107" s="384"/>
      <c r="I107" s="384"/>
      <c r="J107" s="384"/>
      <c r="K107" s="384"/>
      <c r="L107" s="384"/>
      <c r="M107" s="384"/>
      <c r="N107" s="378"/>
      <c r="O107" s="378"/>
      <c r="P107" s="384"/>
      <c r="Q107" s="384"/>
      <c r="R107" s="384"/>
      <c r="S107" s="384"/>
      <c r="T107" s="384"/>
      <c r="U107" s="384"/>
      <c r="V107" s="384"/>
      <c r="W107" s="384"/>
      <c r="X107" s="384"/>
      <c r="Y107" s="384"/>
      <c r="Z107" s="384"/>
      <c r="AA107" s="384"/>
      <c r="AB107" s="384"/>
      <c r="AC107" s="386"/>
    </row>
    <row r="108" spans="4:29" s="387" customFormat="1" x14ac:dyDescent="0.25">
      <c r="D108" s="384"/>
      <c r="E108" s="384"/>
      <c r="F108" s="384"/>
      <c r="G108" s="384"/>
      <c r="H108" s="384"/>
      <c r="I108" s="384"/>
      <c r="J108" s="384"/>
      <c r="K108" s="384"/>
      <c r="L108" s="384"/>
      <c r="M108" s="384"/>
      <c r="N108" s="378"/>
      <c r="O108" s="378"/>
      <c r="P108" s="384"/>
      <c r="Q108" s="384"/>
      <c r="R108" s="384"/>
      <c r="S108" s="384"/>
      <c r="T108" s="384"/>
      <c r="U108" s="384"/>
      <c r="V108" s="384"/>
      <c r="W108" s="384"/>
      <c r="X108" s="384"/>
      <c r="Y108" s="384"/>
      <c r="Z108" s="384"/>
      <c r="AA108" s="384"/>
      <c r="AB108" s="384"/>
      <c r="AC108" s="386"/>
    </row>
    <row r="109" spans="4:29" s="387" customFormat="1" x14ac:dyDescent="0.25">
      <c r="D109" s="384"/>
      <c r="E109" s="384"/>
      <c r="F109" s="384"/>
      <c r="G109" s="384"/>
      <c r="H109" s="384"/>
      <c r="I109" s="384"/>
      <c r="J109" s="384"/>
      <c r="K109" s="384"/>
      <c r="L109" s="384"/>
      <c r="M109" s="384"/>
      <c r="N109" s="378"/>
      <c r="O109" s="378"/>
      <c r="P109" s="384"/>
      <c r="Q109" s="384"/>
      <c r="R109" s="384"/>
      <c r="S109" s="384"/>
      <c r="T109" s="384"/>
      <c r="U109" s="384"/>
      <c r="V109" s="384"/>
      <c r="W109" s="384"/>
      <c r="X109" s="384"/>
      <c r="Y109" s="384"/>
      <c r="Z109" s="384"/>
      <c r="AA109" s="384"/>
      <c r="AB109" s="384"/>
      <c r="AC109" s="386"/>
    </row>
    <row r="110" spans="4:29" s="387" customFormat="1" x14ac:dyDescent="0.25">
      <c r="D110" s="384"/>
      <c r="E110" s="384"/>
      <c r="F110" s="384"/>
      <c r="G110" s="384"/>
      <c r="H110" s="384"/>
      <c r="I110" s="384"/>
      <c r="J110" s="384"/>
      <c r="K110" s="384"/>
      <c r="L110" s="384"/>
      <c r="M110" s="384"/>
      <c r="N110" s="378"/>
      <c r="O110" s="378"/>
      <c r="P110" s="384"/>
      <c r="Q110" s="384"/>
      <c r="R110" s="384"/>
      <c r="S110" s="384"/>
      <c r="T110" s="384"/>
      <c r="U110" s="384"/>
      <c r="V110" s="384"/>
      <c r="W110" s="384"/>
      <c r="X110" s="384"/>
      <c r="Y110" s="384"/>
      <c r="Z110" s="384"/>
      <c r="AA110" s="384"/>
      <c r="AB110" s="384"/>
      <c r="AC110" s="386"/>
    </row>
    <row r="111" spans="4:29" s="387" customFormat="1" x14ac:dyDescent="0.25">
      <c r="D111" s="384"/>
      <c r="E111" s="384"/>
      <c r="F111" s="384"/>
      <c r="G111" s="384"/>
      <c r="H111" s="384"/>
      <c r="I111" s="384"/>
      <c r="J111" s="384"/>
      <c r="K111" s="384"/>
      <c r="L111" s="384"/>
      <c r="M111" s="384"/>
      <c r="N111" s="378"/>
      <c r="O111" s="378"/>
      <c r="P111" s="384"/>
      <c r="Q111" s="384"/>
      <c r="R111" s="384"/>
      <c r="S111" s="384"/>
      <c r="T111" s="384"/>
      <c r="U111" s="384"/>
      <c r="V111" s="384"/>
      <c r="W111" s="384"/>
      <c r="X111" s="384"/>
      <c r="Y111" s="384"/>
      <c r="Z111" s="384"/>
      <c r="AA111" s="384"/>
      <c r="AB111" s="384"/>
      <c r="AC111" s="386"/>
    </row>
    <row r="112" spans="4:29" s="387" customFormat="1" x14ac:dyDescent="0.25">
      <c r="D112" s="384"/>
      <c r="E112" s="384"/>
      <c r="F112" s="384"/>
      <c r="G112" s="384"/>
      <c r="H112" s="384"/>
      <c r="I112" s="384"/>
      <c r="J112" s="384"/>
      <c r="K112" s="384"/>
      <c r="L112" s="384"/>
      <c r="M112" s="384"/>
      <c r="N112" s="378"/>
      <c r="O112" s="378"/>
      <c r="P112" s="384"/>
      <c r="Q112" s="384"/>
      <c r="R112" s="384"/>
      <c r="S112" s="384"/>
      <c r="T112" s="384"/>
      <c r="U112" s="384"/>
      <c r="V112" s="384"/>
      <c r="W112" s="384"/>
      <c r="X112" s="384"/>
      <c r="Y112" s="384"/>
      <c r="Z112" s="384"/>
      <c r="AA112" s="384"/>
      <c r="AB112" s="384"/>
      <c r="AC112" s="386"/>
    </row>
    <row r="113" spans="4:29" s="387" customFormat="1" x14ac:dyDescent="0.25">
      <c r="D113" s="384"/>
      <c r="E113" s="384"/>
      <c r="F113" s="384"/>
      <c r="G113" s="384"/>
      <c r="H113" s="384"/>
      <c r="I113" s="384"/>
      <c r="J113" s="384"/>
      <c r="K113" s="384"/>
      <c r="L113" s="384"/>
      <c r="M113" s="384"/>
      <c r="N113" s="378"/>
      <c r="O113" s="378"/>
      <c r="P113" s="384"/>
      <c r="Q113" s="384"/>
      <c r="R113" s="384"/>
      <c r="S113" s="384"/>
      <c r="T113" s="384"/>
      <c r="U113" s="384"/>
      <c r="V113" s="384"/>
      <c r="W113" s="384"/>
      <c r="X113" s="384"/>
      <c r="Y113" s="384"/>
      <c r="Z113" s="384"/>
      <c r="AA113" s="384"/>
      <c r="AB113" s="384"/>
      <c r="AC113" s="386"/>
    </row>
    <row r="114" spans="4:29" s="387" customFormat="1" x14ac:dyDescent="0.25">
      <c r="D114" s="384"/>
      <c r="E114" s="384"/>
      <c r="F114" s="384"/>
      <c r="G114" s="384"/>
      <c r="H114" s="384"/>
      <c r="I114" s="384"/>
      <c r="J114" s="384"/>
      <c r="K114" s="384"/>
      <c r="L114" s="384"/>
      <c r="M114" s="384"/>
      <c r="N114" s="378"/>
      <c r="O114" s="378"/>
      <c r="P114" s="384"/>
      <c r="Q114" s="384"/>
      <c r="R114" s="384"/>
      <c r="S114" s="384"/>
      <c r="T114" s="384"/>
      <c r="U114" s="384"/>
      <c r="V114" s="384"/>
      <c r="W114" s="384"/>
      <c r="X114" s="384"/>
      <c r="Y114" s="384"/>
      <c r="Z114" s="384"/>
      <c r="AA114" s="384"/>
      <c r="AB114" s="384"/>
      <c r="AC114" s="386"/>
    </row>
    <row r="115" spans="4:29" s="387" customFormat="1" x14ac:dyDescent="0.25">
      <c r="D115" s="384"/>
      <c r="E115" s="384"/>
      <c r="F115" s="384"/>
      <c r="G115" s="384"/>
      <c r="H115" s="384"/>
      <c r="I115" s="384"/>
      <c r="J115" s="384"/>
      <c r="K115" s="384"/>
      <c r="L115" s="384"/>
      <c r="M115" s="384"/>
      <c r="N115" s="378"/>
      <c r="O115" s="378"/>
      <c r="P115" s="384"/>
      <c r="Q115" s="384"/>
      <c r="R115" s="384"/>
      <c r="S115" s="384"/>
      <c r="T115" s="384"/>
      <c r="U115" s="384"/>
      <c r="V115" s="384"/>
      <c r="W115" s="384"/>
      <c r="X115" s="384"/>
      <c r="Y115" s="384"/>
      <c r="Z115" s="384"/>
      <c r="AA115" s="384"/>
      <c r="AB115" s="384"/>
      <c r="AC115" s="386"/>
    </row>
    <row r="116" spans="4:29" s="387" customFormat="1" x14ac:dyDescent="0.25">
      <c r="D116" s="384"/>
      <c r="E116" s="384"/>
      <c r="F116" s="384"/>
      <c r="G116" s="384"/>
      <c r="H116" s="384"/>
      <c r="I116" s="384"/>
      <c r="J116" s="384"/>
      <c r="K116" s="384"/>
      <c r="L116" s="384"/>
      <c r="M116" s="384"/>
      <c r="N116" s="378"/>
      <c r="O116" s="378"/>
      <c r="P116" s="384"/>
      <c r="Q116" s="384"/>
      <c r="R116" s="384"/>
      <c r="S116" s="384"/>
      <c r="T116" s="384"/>
      <c r="U116" s="384"/>
      <c r="V116" s="384"/>
      <c r="W116" s="384"/>
      <c r="X116" s="384"/>
      <c r="Y116" s="384"/>
      <c r="Z116" s="384"/>
      <c r="AA116" s="384"/>
      <c r="AB116" s="384"/>
      <c r="AC116" s="386"/>
    </row>
    <row r="117" spans="4:29" s="387" customFormat="1" x14ac:dyDescent="0.25">
      <c r="D117" s="384"/>
      <c r="E117" s="384"/>
      <c r="F117" s="384"/>
      <c r="G117" s="384"/>
      <c r="H117" s="384"/>
      <c r="I117" s="384"/>
      <c r="J117" s="384"/>
      <c r="K117" s="384"/>
      <c r="L117" s="384"/>
      <c r="M117" s="384"/>
      <c r="N117" s="378"/>
      <c r="O117" s="378"/>
      <c r="P117" s="384"/>
      <c r="Q117" s="384"/>
      <c r="R117" s="384"/>
      <c r="S117" s="384"/>
      <c r="T117" s="384"/>
      <c r="U117" s="384"/>
      <c r="V117" s="384"/>
      <c r="W117" s="384"/>
      <c r="X117" s="384"/>
      <c r="Y117" s="384"/>
      <c r="Z117" s="384"/>
      <c r="AA117" s="384"/>
      <c r="AB117" s="384"/>
      <c r="AC117" s="386"/>
    </row>
    <row r="118" spans="4:29" s="387" customFormat="1" x14ac:dyDescent="0.25">
      <c r="D118" s="384"/>
      <c r="E118" s="384"/>
      <c r="F118" s="384"/>
      <c r="G118" s="384"/>
      <c r="H118" s="384"/>
      <c r="I118" s="384"/>
      <c r="J118" s="384"/>
      <c r="K118" s="384"/>
      <c r="L118" s="384"/>
      <c r="M118" s="384"/>
      <c r="N118" s="378"/>
      <c r="O118" s="378"/>
      <c r="P118" s="384"/>
      <c r="Q118" s="384"/>
      <c r="R118" s="384"/>
      <c r="S118" s="384"/>
      <c r="T118" s="384"/>
      <c r="U118" s="384"/>
      <c r="V118" s="384"/>
      <c r="W118" s="384"/>
      <c r="X118" s="384"/>
      <c r="Y118" s="384"/>
      <c r="Z118" s="384"/>
      <c r="AA118" s="384"/>
      <c r="AB118" s="384"/>
      <c r="AC118" s="386"/>
    </row>
    <row r="119" spans="4:29" s="387" customFormat="1" x14ac:dyDescent="0.25">
      <c r="D119" s="384"/>
      <c r="E119" s="384"/>
      <c r="F119" s="384"/>
      <c r="G119" s="384"/>
      <c r="H119" s="384"/>
      <c r="I119" s="384"/>
      <c r="J119" s="384"/>
      <c r="K119" s="384"/>
      <c r="L119" s="384"/>
      <c r="M119" s="384"/>
      <c r="N119" s="378"/>
      <c r="O119" s="378"/>
      <c r="P119" s="384"/>
      <c r="Q119" s="384"/>
      <c r="R119" s="384"/>
      <c r="S119" s="384"/>
      <c r="T119" s="384"/>
      <c r="U119" s="384"/>
      <c r="V119" s="384"/>
      <c r="W119" s="384"/>
      <c r="X119" s="384"/>
      <c r="Y119" s="384"/>
      <c r="Z119" s="384"/>
      <c r="AA119" s="384"/>
      <c r="AB119" s="384"/>
      <c r="AC119" s="386"/>
    </row>
    <row r="120" spans="4:29" s="387" customFormat="1" x14ac:dyDescent="0.25">
      <c r="D120" s="384"/>
      <c r="E120" s="384"/>
      <c r="F120" s="384"/>
      <c r="G120" s="384"/>
      <c r="H120" s="384"/>
      <c r="I120" s="384"/>
      <c r="J120" s="384"/>
      <c r="K120" s="384"/>
      <c r="L120" s="384"/>
      <c r="M120" s="384"/>
      <c r="N120" s="378"/>
      <c r="O120" s="378"/>
      <c r="P120" s="384"/>
      <c r="Q120" s="384"/>
      <c r="R120" s="384"/>
      <c r="S120" s="384"/>
      <c r="T120" s="384"/>
      <c r="U120" s="384"/>
      <c r="V120" s="384"/>
      <c r="W120" s="384"/>
      <c r="X120" s="384"/>
      <c r="Y120" s="384"/>
      <c r="Z120" s="384"/>
      <c r="AA120" s="384"/>
      <c r="AB120" s="384"/>
      <c r="AC120" s="386"/>
    </row>
    <row r="121" spans="4:29" s="387" customFormat="1" x14ac:dyDescent="0.25">
      <c r="D121" s="384"/>
      <c r="E121" s="384"/>
      <c r="F121" s="384"/>
      <c r="G121" s="384"/>
      <c r="H121" s="384"/>
      <c r="I121" s="384"/>
      <c r="J121" s="384"/>
      <c r="K121" s="384"/>
      <c r="L121" s="384"/>
      <c r="M121" s="384"/>
      <c r="N121" s="378"/>
      <c r="O121" s="378"/>
      <c r="P121" s="384"/>
      <c r="Q121" s="384"/>
      <c r="R121" s="384"/>
      <c r="S121" s="384"/>
      <c r="T121" s="384"/>
      <c r="U121" s="384"/>
      <c r="V121" s="384"/>
      <c r="W121" s="384"/>
      <c r="X121" s="384"/>
      <c r="Y121" s="384"/>
      <c r="Z121" s="384"/>
      <c r="AA121" s="384"/>
      <c r="AB121" s="384"/>
      <c r="AC121" s="386"/>
    </row>
    <row r="122" spans="4:29" s="387" customFormat="1" x14ac:dyDescent="0.25">
      <c r="D122" s="384"/>
      <c r="E122" s="384"/>
      <c r="F122" s="384"/>
      <c r="G122" s="384"/>
      <c r="H122" s="384"/>
      <c r="I122" s="384"/>
      <c r="J122" s="384"/>
      <c r="K122" s="384"/>
      <c r="L122" s="384"/>
      <c r="M122" s="384"/>
      <c r="N122" s="378"/>
      <c r="O122" s="378"/>
      <c r="P122" s="384"/>
      <c r="Q122" s="384"/>
      <c r="R122" s="384"/>
      <c r="S122" s="384"/>
      <c r="T122" s="384"/>
      <c r="U122" s="384"/>
      <c r="V122" s="384"/>
      <c r="W122" s="384"/>
      <c r="X122" s="384"/>
      <c r="Y122" s="384"/>
      <c r="Z122" s="384"/>
      <c r="AA122" s="384"/>
      <c r="AB122" s="384"/>
      <c r="AC122" s="386"/>
    </row>
    <row r="123" spans="4:29" s="387" customFormat="1" x14ac:dyDescent="0.25">
      <c r="D123" s="384"/>
      <c r="E123" s="384"/>
      <c r="F123" s="384"/>
      <c r="G123" s="384"/>
      <c r="H123" s="384"/>
      <c r="I123" s="384"/>
      <c r="J123" s="384"/>
      <c r="K123" s="384"/>
      <c r="L123" s="384"/>
      <c r="M123" s="384"/>
      <c r="N123" s="378"/>
      <c r="O123" s="378"/>
      <c r="P123" s="384"/>
      <c r="Q123" s="384"/>
      <c r="R123" s="384"/>
      <c r="S123" s="384"/>
      <c r="T123" s="384"/>
      <c r="U123" s="384"/>
      <c r="V123" s="384"/>
      <c r="W123" s="384"/>
      <c r="X123" s="384"/>
      <c r="Y123" s="384"/>
      <c r="Z123" s="384"/>
      <c r="AA123" s="384"/>
      <c r="AB123" s="384"/>
      <c r="AC123" s="386"/>
    </row>
    <row r="124" spans="4:29" s="387" customFormat="1" x14ac:dyDescent="0.25">
      <c r="D124" s="384"/>
      <c r="E124" s="384"/>
      <c r="F124" s="384"/>
      <c r="G124" s="384"/>
      <c r="H124" s="384"/>
      <c r="I124" s="384"/>
      <c r="J124" s="384"/>
      <c r="K124" s="384"/>
      <c r="L124" s="384"/>
      <c r="M124" s="384"/>
      <c r="N124" s="378"/>
      <c r="O124" s="378"/>
      <c r="P124" s="384"/>
      <c r="Q124" s="384"/>
      <c r="R124" s="384"/>
      <c r="S124" s="384"/>
      <c r="T124" s="384"/>
      <c r="U124" s="384"/>
      <c r="V124" s="384"/>
      <c r="W124" s="384"/>
      <c r="X124" s="384"/>
      <c r="Y124" s="384"/>
      <c r="Z124" s="384"/>
      <c r="AA124" s="384"/>
      <c r="AB124" s="384"/>
      <c r="AC124" s="386"/>
    </row>
    <row r="125" spans="4:29" s="387" customFormat="1" x14ac:dyDescent="0.25">
      <c r="D125" s="384"/>
      <c r="E125" s="384"/>
      <c r="F125" s="384"/>
      <c r="G125" s="384"/>
      <c r="H125" s="384"/>
      <c r="I125" s="384"/>
      <c r="J125" s="384"/>
      <c r="K125" s="384"/>
      <c r="L125" s="384"/>
      <c r="M125" s="384"/>
      <c r="N125" s="378"/>
      <c r="O125" s="378"/>
      <c r="P125" s="384"/>
      <c r="Q125" s="384"/>
      <c r="R125" s="384"/>
      <c r="S125" s="384"/>
      <c r="T125" s="384"/>
      <c r="U125" s="384"/>
      <c r="V125" s="384"/>
      <c r="W125" s="384"/>
      <c r="X125" s="384"/>
      <c r="Y125" s="384"/>
      <c r="Z125" s="384"/>
      <c r="AA125" s="384"/>
      <c r="AB125" s="384"/>
      <c r="AC125" s="386"/>
    </row>
    <row r="126" spans="4:29" s="387" customFormat="1" x14ac:dyDescent="0.25">
      <c r="D126" s="384"/>
      <c r="E126" s="384"/>
      <c r="F126" s="384"/>
      <c r="G126" s="384"/>
      <c r="H126" s="384"/>
      <c r="I126" s="384"/>
      <c r="J126" s="384"/>
      <c r="K126" s="384"/>
      <c r="L126" s="384"/>
      <c r="M126" s="384"/>
      <c r="N126" s="378"/>
      <c r="O126" s="378"/>
      <c r="P126" s="384"/>
      <c r="Q126" s="384"/>
      <c r="R126" s="384"/>
      <c r="S126" s="384"/>
      <c r="T126" s="384"/>
      <c r="U126" s="384"/>
      <c r="V126" s="384"/>
      <c r="W126" s="384"/>
      <c r="X126" s="384"/>
      <c r="Y126" s="384"/>
      <c r="Z126" s="384"/>
      <c r="AA126" s="384"/>
      <c r="AB126" s="384"/>
      <c r="AC126" s="386"/>
    </row>
    <row r="127" spans="4:29" s="387" customFormat="1" x14ac:dyDescent="0.25">
      <c r="D127" s="384"/>
      <c r="E127" s="384"/>
      <c r="F127" s="384"/>
      <c r="G127" s="384"/>
      <c r="H127" s="384"/>
      <c r="I127" s="384"/>
      <c r="J127" s="384"/>
      <c r="K127" s="384"/>
      <c r="L127" s="384"/>
      <c r="M127" s="384"/>
      <c r="N127" s="378"/>
      <c r="O127" s="378"/>
      <c r="P127" s="384"/>
      <c r="Q127" s="384"/>
      <c r="R127" s="384"/>
      <c r="S127" s="384"/>
      <c r="T127" s="384"/>
      <c r="U127" s="384"/>
      <c r="V127" s="384"/>
      <c r="W127" s="384"/>
      <c r="X127" s="384"/>
      <c r="Y127" s="384"/>
      <c r="Z127" s="384"/>
      <c r="AA127" s="384"/>
      <c r="AB127" s="384"/>
      <c r="AC127" s="386"/>
    </row>
    <row r="128" spans="4:29" s="387" customFormat="1" x14ac:dyDescent="0.25">
      <c r="D128" s="384"/>
      <c r="E128" s="384"/>
      <c r="F128" s="384"/>
      <c r="G128" s="384"/>
      <c r="H128" s="384"/>
      <c r="I128" s="384"/>
      <c r="J128" s="384"/>
      <c r="K128" s="384"/>
      <c r="L128" s="384"/>
      <c r="M128" s="384"/>
      <c r="N128" s="378"/>
      <c r="O128" s="378"/>
      <c r="P128" s="384"/>
      <c r="Q128" s="384"/>
      <c r="R128" s="384"/>
      <c r="S128" s="384"/>
      <c r="T128" s="384"/>
      <c r="U128" s="384"/>
      <c r="V128" s="384"/>
      <c r="W128" s="384"/>
      <c r="X128" s="384"/>
      <c r="Y128" s="384"/>
      <c r="Z128" s="384"/>
      <c r="AA128" s="384"/>
      <c r="AB128" s="384"/>
      <c r="AC128" s="386"/>
    </row>
    <row r="129" spans="4:29" s="387" customFormat="1" x14ac:dyDescent="0.25">
      <c r="D129" s="384"/>
      <c r="E129" s="384"/>
      <c r="F129" s="384"/>
      <c r="G129" s="384"/>
      <c r="H129" s="384"/>
      <c r="I129" s="384"/>
      <c r="J129" s="384"/>
      <c r="K129" s="384"/>
      <c r="L129" s="384"/>
      <c r="M129" s="384"/>
      <c r="N129" s="378"/>
      <c r="O129" s="378"/>
      <c r="P129" s="384"/>
      <c r="Q129" s="384"/>
      <c r="R129" s="384"/>
      <c r="S129" s="384"/>
      <c r="T129" s="384"/>
      <c r="U129" s="384"/>
      <c r="V129" s="384"/>
      <c r="W129" s="384"/>
      <c r="X129" s="384"/>
      <c r="Y129" s="384"/>
      <c r="Z129" s="384"/>
      <c r="AA129" s="384"/>
      <c r="AB129" s="384"/>
      <c r="AC129" s="386"/>
    </row>
    <row r="130" spans="4:29" s="387" customFormat="1" x14ac:dyDescent="0.25">
      <c r="D130" s="384"/>
      <c r="E130" s="384"/>
      <c r="F130" s="384"/>
      <c r="G130" s="384"/>
      <c r="H130" s="384"/>
      <c r="I130" s="384"/>
      <c r="J130" s="384"/>
      <c r="K130" s="384"/>
      <c r="L130" s="384"/>
      <c r="M130" s="384"/>
      <c r="N130" s="378"/>
      <c r="O130" s="378"/>
      <c r="P130" s="384"/>
      <c r="Q130" s="384"/>
      <c r="R130" s="384"/>
      <c r="S130" s="384"/>
      <c r="T130" s="384"/>
      <c r="U130" s="384"/>
      <c r="V130" s="384"/>
      <c r="W130" s="384"/>
      <c r="X130" s="384"/>
      <c r="Y130" s="384"/>
      <c r="Z130" s="384"/>
      <c r="AA130" s="384"/>
      <c r="AB130" s="384"/>
      <c r="AC130" s="386"/>
    </row>
    <row r="131" spans="4:29" s="387" customFormat="1" x14ac:dyDescent="0.25">
      <c r="D131" s="384"/>
      <c r="E131" s="384"/>
      <c r="F131" s="384"/>
      <c r="G131" s="384"/>
      <c r="H131" s="384"/>
      <c r="I131" s="384"/>
      <c r="J131" s="384"/>
      <c r="K131" s="384"/>
      <c r="L131" s="384"/>
      <c r="M131" s="384"/>
      <c r="N131" s="378"/>
      <c r="O131" s="378"/>
      <c r="P131" s="384"/>
      <c r="Q131" s="384"/>
      <c r="R131" s="384"/>
      <c r="S131" s="384"/>
      <c r="T131" s="384"/>
      <c r="U131" s="384"/>
      <c r="V131" s="384"/>
      <c r="W131" s="384"/>
      <c r="X131" s="384"/>
      <c r="Y131" s="384"/>
      <c r="Z131" s="384"/>
      <c r="AA131" s="384"/>
      <c r="AB131" s="384"/>
      <c r="AC131" s="386"/>
    </row>
    <row r="132" spans="4:29" s="387" customFormat="1" x14ac:dyDescent="0.25">
      <c r="D132" s="384"/>
      <c r="E132" s="384"/>
      <c r="F132" s="384"/>
      <c r="G132" s="384"/>
      <c r="H132" s="384"/>
      <c r="I132" s="384"/>
      <c r="J132" s="384"/>
      <c r="K132" s="384"/>
      <c r="L132" s="384"/>
      <c r="M132" s="384"/>
      <c r="N132" s="378"/>
      <c r="O132" s="378"/>
      <c r="P132" s="384"/>
      <c r="Q132" s="384"/>
      <c r="R132" s="384"/>
      <c r="S132" s="384"/>
      <c r="T132" s="384"/>
      <c r="U132" s="384"/>
      <c r="V132" s="384"/>
      <c r="W132" s="384"/>
      <c r="X132" s="384"/>
      <c r="Y132" s="384"/>
      <c r="Z132" s="384"/>
      <c r="AA132" s="384"/>
      <c r="AB132" s="384"/>
      <c r="AC132" s="386"/>
    </row>
    <row r="133" spans="4:29" s="387" customFormat="1" x14ac:dyDescent="0.25">
      <c r="D133" s="384"/>
      <c r="E133" s="384"/>
      <c r="F133" s="384"/>
      <c r="G133" s="384"/>
      <c r="H133" s="384"/>
      <c r="I133" s="384"/>
      <c r="J133" s="384"/>
      <c r="K133" s="384"/>
      <c r="L133" s="384"/>
      <c r="M133" s="384"/>
      <c r="N133" s="378"/>
      <c r="O133" s="378"/>
      <c r="P133" s="384"/>
      <c r="Q133" s="384"/>
      <c r="R133" s="384"/>
      <c r="S133" s="384"/>
      <c r="T133" s="384"/>
      <c r="U133" s="384"/>
      <c r="V133" s="384"/>
      <c r="W133" s="384"/>
      <c r="X133" s="384"/>
      <c r="Y133" s="384"/>
      <c r="Z133" s="384"/>
      <c r="AA133" s="384"/>
      <c r="AB133" s="384"/>
      <c r="AC133" s="386"/>
    </row>
    <row r="134" spans="4:29" s="387" customFormat="1" x14ac:dyDescent="0.25">
      <c r="D134" s="384"/>
      <c r="E134" s="384"/>
      <c r="F134" s="384"/>
      <c r="G134" s="384"/>
      <c r="H134" s="384"/>
      <c r="I134" s="384"/>
      <c r="J134" s="384"/>
      <c r="K134" s="384"/>
      <c r="L134" s="384"/>
      <c r="M134" s="384"/>
      <c r="N134" s="378"/>
      <c r="O134" s="378"/>
      <c r="P134" s="384"/>
      <c r="Q134" s="384"/>
      <c r="R134" s="384"/>
      <c r="S134" s="384"/>
      <c r="T134" s="384"/>
      <c r="U134" s="384"/>
      <c r="V134" s="384"/>
      <c r="W134" s="384"/>
      <c r="X134" s="384"/>
      <c r="Y134" s="384"/>
      <c r="Z134" s="384"/>
      <c r="AA134" s="384"/>
      <c r="AB134" s="384"/>
      <c r="AC134" s="386"/>
    </row>
    <row r="135" spans="4:29" s="387" customFormat="1" x14ac:dyDescent="0.25">
      <c r="D135" s="384"/>
      <c r="E135" s="384"/>
      <c r="F135" s="384"/>
      <c r="G135" s="384"/>
      <c r="H135" s="384"/>
      <c r="I135" s="384"/>
      <c r="J135" s="384"/>
      <c r="K135" s="384"/>
      <c r="L135" s="384"/>
      <c r="M135" s="384"/>
      <c r="N135" s="378"/>
      <c r="O135" s="378"/>
      <c r="P135" s="384"/>
      <c r="Q135" s="384"/>
      <c r="R135" s="384"/>
      <c r="S135" s="384"/>
      <c r="T135" s="384"/>
      <c r="U135" s="384"/>
      <c r="V135" s="384"/>
      <c r="W135" s="384"/>
      <c r="X135" s="384"/>
      <c r="Y135" s="384"/>
      <c r="Z135" s="384"/>
      <c r="AA135" s="384"/>
      <c r="AB135" s="384"/>
      <c r="AC135" s="386"/>
    </row>
    <row r="136" spans="4:29" s="387" customFormat="1" x14ac:dyDescent="0.25">
      <c r="D136" s="384"/>
      <c r="E136" s="384"/>
      <c r="F136" s="384"/>
      <c r="G136" s="384"/>
      <c r="H136" s="384"/>
      <c r="I136" s="384"/>
      <c r="J136" s="384"/>
      <c r="K136" s="384"/>
      <c r="L136" s="384"/>
      <c r="M136" s="384"/>
      <c r="N136" s="378"/>
      <c r="O136" s="378"/>
      <c r="P136" s="384"/>
      <c r="Q136" s="384"/>
      <c r="R136" s="384"/>
      <c r="S136" s="384"/>
      <c r="T136" s="384"/>
      <c r="U136" s="384"/>
      <c r="V136" s="384"/>
      <c r="W136" s="384"/>
      <c r="X136" s="384"/>
      <c r="Y136" s="384"/>
      <c r="Z136" s="384"/>
      <c r="AA136" s="384"/>
      <c r="AB136" s="384"/>
      <c r="AC136" s="386"/>
    </row>
    <row r="137" spans="4:29" s="387" customFormat="1" x14ac:dyDescent="0.25">
      <c r="D137" s="384"/>
      <c r="E137" s="384"/>
      <c r="F137" s="384"/>
      <c r="G137" s="384"/>
      <c r="H137" s="384"/>
      <c r="I137" s="384"/>
      <c r="J137" s="384"/>
      <c r="K137" s="384"/>
      <c r="L137" s="384"/>
      <c r="M137" s="384"/>
      <c r="N137" s="378"/>
      <c r="O137" s="378"/>
      <c r="P137" s="384"/>
      <c r="Q137" s="384"/>
      <c r="R137" s="384"/>
      <c r="S137" s="384"/>
      <c r="T137" s="384"/>
      <c r="U137" s="384"/>
      <c r="V137" s="384"/>
      <c r="W137" s="384"/>
      <c r="X137" s="384"/>
      <c r="Y137" s="384"/>
      <c r="Z137" s="384"/>
      <c r="AA137" s="384"/>
      <c r="AB137" s="384"/>
      <c r="AC137" s="386"/>
    </row>
    <row r="138" spans="4:29" s="387" customFormat="1" x14ac:dyDescent="0.25">
      <c r="D138" s="384"/>
      <c r="E138" s="384"/>
      <c r="F138" s="384"/>
      <c r="G138" s="384"/>
      <c r="H138" s="384"/>
      <c r="I138" s="384"/>
      <c r="J138" s="384"/>
      <c r="K138" s="384"/>
      <c r="L138" s="384"/>
      <c r="M138" s="384"/>
      <c r="N138" s="378"/>
      <c r="O138" s="378"/>
      <c r="P138" s="384"/>
      <c r="Q138" s="384"/>
      <c r="R138" s="384"/>
      <c r="S138" s="384"/>
      <c r="T138" s="384"/>
      <c r="U138" s="384"/>
      <c r="V138" s="384"/>
      <c r="W138" s="384"/>
      <c r="X138" s="384"/>
      <c r="Y138" s="384"/>
      <c r="Z138" s="384"/>
      <c r="AA138" s="384"/>
      <c r="AB138" s="384"/>
      <c r="AC138" s="386"/>
    </row>
    <row r="139" spans="4:29" s="387" customFormat="1" x14ac:dyDescent="0.25">
      <c r="D139" s="384"/>
      <c r="E139" s="384"/>
      <c r="F139" s="384"/>
      <c r="G139" s="384"/>
      <c r="H139" s="384"/>
      <c r="I139" s="384"/>
      <c r="J139" s="384"/>
      <c r="K139" s="384"/>
      <c r="L139" s="384"/>
      <c r="M139" s="384"/>
      <c r="N139" s="378"/>
      <c r="O139" s="378"/>
      <c r="P139" s="384"/>
      <c r="Q139" s="384"/>
      <c r="R139" s="384"/>
      <c r="S139" s="384"/>
      <c r="T139" s="384"/>
      <c r="U139" s="384"/>
      <c r="V139" s="384"/>
      <c r="W139" s="384"/>
      <c r="X139" s="384"/>
      <c r="Y139" s="384"/>
      <c r="Z139" s="384"/>
      <c r="AA139" s="384"/>
      <c r="AB139" s="384"/>
      <c r="AC139" s="386"/>
    </row>
    <row r="140" spans="4:29" s="387" customFormat="1" x14ac:dyDescent="0.25">
      <c r="D140" s="384"/>
      <c r="E140" s="384"/>
      <c r="F140" s="384"/>
      <c r="G140" s="384"/>
      <c r="H140" s="384"/>
      <c r="I140" s="384"/>
      <c r="J140" s="384"/>
      <c r="K140" s="384"/>
      <c r="L140" s="384"/>
      <c r="M140" s="384"/>
      <c r="N140" s="378"/>
      <c r="O140" s="378"/>
      <c r="P140" s="384"/>
      <c r="Q140" s="384"/>
      <c r="R140" s="384"/>
      <c r="S140" s="384"/>
      <c r="T140" s="384"/>
      <c r="U140" s="384"/>
      <c r="V140" s="384"/>
      <c r="W140" s="384"/>
      <c r="X140" s="384"/>
      <c r="Y140" s="384"/>
      <c r="Z140" s="384"/>
      <c r="AA140" s="384"/>
      <c r="AB140" s="384"/>
      <c r="AC140" s="386"/>
    </row>
    <row r="141" spans="4:29" s="387" customFormat="1" x14ac:dyDescent="0.25">
      <c r="D141" s="384"/>
      <c r="E141" s="384"/>
      <c r="F141" s="384"/>
      <c r="G141" s="384"/>
      <c r="H141" s="384"/>
      <c r="I141" s="384"/>
      <c r="J141" s="384"/>
      <c r="K141" s="384"/>
      <c r="L141" s="384"/>
      <c r="M141" s="384"/>
      <c r="N141" s="378"/>
      <c r="O141" s="378"/>
      <c r="P141" s="384"/>
      <c r="Q141" s="384"/>
      <c r="R141" s="384"/>
      <c r="S141" s="384"/>
      <c r="T141" s="384"/>
      <c r="U141" s="384"/>
      <c r="V141" s="384"/>
      <c r="W141" s="384"/>
      <c r="X141" s="384"/>
      <c r="Y141" s="384"/>
      <c r="Z141" s="384"/>
      <c r="AA141" s="384"/>
      <c r="AB141" s="384"/>
      <c r="AC141" s="386"/>
    </row>
    <row r="142" spans="4:29" s="387" customFormat="1" x14ac:dyDescent="0.25">
      <c r="D142" s="384"/>
      <c r="E142" s="384"/>
      <c r="F142" s="384"/>
      <c r="G142" s="384"/>
      <c r="H142" s="384"/>
      <c r="I142" s="384"/>
      <c r="J142" s="384"/>
      <c r="K142" s="384"/>
      <c r="L142" s="384"/>
      <c r="M142" s="384"/>
      <c r="N142" s="378"/>
      <c r="O142" s="378"/>
      <c r="P142" s="384"/>
      <c r="Q142" s="384"/>
      <c r="R142" s="384"/>
      <c r="S142" s="384"/>
      <c r="T142" s="384"/>
      <c r="U142" s="384"/>
      <c r="V142" s="384"/>
      <c r="W142" s="384"/>
      <c r="X142" s="384"/>
      <c r="Y142" s="384"/>
      <c r="Z142" s="384"/>
      <c r="AA142" s="384"/>
      <c r="AB142" s="384"/>
      <c r="AC142" s="386"/>
    </row>
    <row r="143" spans="4:29" s="387" customFormat="1" x14ac:dyDescent="0.25">
      <c r="D143" s="384"/>
      <c r="E143" s="384"/>
      <c r="F143" s="384"/>
      <c r="G143" s="384"/>
      <c r="H143" s="384"/>
      <c r="I143" s="384"/>
      <c r="J143" s="384"/>
      <c r="K143" s="384"/>
      <c r="L143" s="384"/>
      <c r="M143" s="384"/>
      <c r="N143" s="378"/>
      <c r="O143" s="378"/>
      <c r="P143" s="384"/>
      <c r="Q143" s="384"/>
      <c r="R143" s="384"/>
      <c r="S143" s="384"/>
      <c r="T143" s="384"/>
      <c r="U143" s="384"/>
      <c r="V143" s="384"/>
      <c r="W143" s="384"/>
      <c r="X143" s="384"/>
      <c r="Y143" s="384"/>
      <c r="Z143" s="384"/>
      <c r="AA143" s="384"/>
      <c r="AB143" s="384"/>
      <c r="AC143" s="386"/>
    </row>
    <row r="144" spans="4:29" s="387" customFormat="1" x14ac:dyDescent="0.25">
      <c r="D144" s="384"/>
      <c r="E144" s="384"/>
      <c r="F144" s="384"/>
      <c r="G144" s="384"/>
      <c r="H144" s="384"/>
      <c r="I144" s="384"/>
      <c r="J144" s="384"/>
      <c r="K144" s="384"/>
      <c r="L144" s="384"/>
      <c r="M144" s="384"/>
      <c r="N144" s="378"/>
      <c r="O144" s="378"/>
      <c r="P144" s="384"/>
      <c r="Q144" s="384"/>
      <c r="R144" s="384"/>
      <c r="S144" s="384"/>
      <c r="T144" s="384"/>
      <c r="U144" s="384"/>
      <c r="V144" s="384"/>
      <c r="W144" s="384"/>
      <c r="X144" s="384"/>
      <c r="Y144" s="384"/>
      <c r="Z144" s="384"/>
      <c r="AA144" s="384"/>
      <c r="AB144" s="384"/>
      <c r="AC144" s="386"/>
    </row>
    <row r="145" spans="4:29" s="387" customFormat="1" x14ac:dyDescent="0.25">
      <c r="D145" s="384"/>
      <c r="E145" s="384"/>
      <c r="F145" s="384"/>
      <c r="G145" s="384"/>
      <c r="H145" s="384"/>
      <c r="I145" s="384"/>
      <c r="J145" s="384"/>
      <c r="K145" s="384"/>
      <c r="L145" s="384"/>
      <c r="M145" s="384"/>
      <c r="N145" s="378"/>
      <c r="O145" s="378"/>
      <c r="P145" s="384"/>
      <c r="Q145" s="384"/>
      <c r="R145" s="384"/>
      <c r="S145" s="384"/>
      <c r="T145" s="384"/>
      <c r="U145" s="384"/>
      <c r="V145" s="384"/>
      <c r="W145" s="384"/>
      <c r="X145" s="384"/>
      <c r="Y145" s="384"/>
      <c r="Z145" s="384"/>
      <c r="AA145" s="384"/>
      <c r="AB145" s="384"/>
      <c r="AC145" s="386"/>
    </row>
    <row r="146" spans="4:29" s="387" customFormat="1" x14ac:dyDescent="0.25">
      <c r="D146" s="384"/>
      <c r="E146" s="384"/>
      <c r="F146" s="384"/>
      <c r="G146" s="384"/>
      <c r="H146" s="384"/>
      <c r="I146" s="384"/>
      <c r="J146" s="384"/>
      <c r="K146" s="384"/>
      <c r="L146" s="384"/>
      <c r="M146" s="384"/>
      <c r="N146" s="378"/>
      <c r="O146" s="378"/>
      <c r="P146" s="384"/>
      <c r="Q146" s="384"/>
      <c r="R146" s="384"/>
      <c r="S146" s="384"/>
      <c r="T146" s="384"/>
      <c r="U146" s="384"/>
      <c r="V146" s="384"/>
      <c r="W146" s="384"/>
      <c r="X146" s="384"/>
      <c r="Y146" s="384"/>
      <c r="Z146" s="384"/>
      <c r="AA146" s="384"/>
      <c r="AB146" s="384"/>
      <c r="AC146" s="386"/>
    </row>
    <row r="147" spans="4:29" s="387" customFormat="1" x14ac:dyDescent="0.25">
      <c r="D147" s="384"/>
      <c r="E147" s="384"/>
      <c r="F147" s="384"/>
      <c r="G147" s="384"/>
      <c r="H147" s="384"/>
      <c r="I147" s="384"/>
      <c r="J147" s="384"/>
      <c r="K147" s="384"/>
      <c r="L147" s="384"/>
      <c r="M147" s="384"/>
      <c r="N147" s="378"/>
      <c r="O147" s="378"/>
      <c r="P147" s="384"/>
      <c r="Q147" s="384"/>
      <c r="R147" s="384"/>
      <c r="S147" s="384"/>
      <c r="T147" s="384"/>
      <c r="U147" s="384"/>
      <c r="V147" s="384"/>
      <c r="W147" s="384"/>
      <c r="X147" s="384"/>
      <c r="Y147" s="384"/>
      <c r="Z147" s="384"/>
      <c r="AA147" s="384"/>
      <c r="AB147" s="384"/>
      <c r="AC147" s="386"/>
    </row>
    <row r="148" spans="4:29" s="387" customFormat="1" x14ac:dyDescent="0.25">
      <c r="D148" s="384"/>
      <c r="E148" s="384"/>
      <c r="F148" s="384"/>
      <c r="G148" s="384"/>
      <c r="H148" s="384"/>
      <c r="I148" s="384"/>
      <c r="J148" s="384"/>
      <c r="K148" s="384"/>
      <c r="L148" s="384"/>
      <c r="M148" s="384"/>
      <c r="N148" s="378"/>
      <c r="O148" s="378"/>
      <c r="P148" s="384"/>
      <c r="Q148" s="384"/>
      <c r="R148" s="384"/>
      <c r="S148" s="384"/>
      <c r="T148" s="384"/>
      <c r="U148" s="384"/>
      <c r="V148" s="384"/>
      <c r="W148" s="384"/>
      <c r="X148" s="384"/>
      <c r="Y148" s="384"/>
      <c r="Z148" s="384"/>
      <c r="AA148" s="384"/>
      <c r="AB148" s="384"/>
      <c r="AC148" s="386"/>
    </row>
    <row r="149" spans="4:29" s="387" customFormat="1" x14ac:dyDescent="0.25">
      <c r="D149" s="384"/>
      <c r="E149" s="384"/>
      <c r="F149" s="384"/>
      <c r="G149" s="384"/>
      <c r="H149" s="384"/>
      <c r="I149" s="384"/>
      <c r="J149" s="384"/>
      <c r="K149" s="384"/>
      <c r="L149" s="384"/>
      <c r="M149" s="384"/>
      <c r="N149" s="378"/>
      <c r="O149" s="378"/>
      <c r="P149" s="384"/>
      <c r="Q149" s="384"/>
      <c r="R149" s="384"/>
      <c r="S149" s="384"/>
      <c r="T149" s="384"/>
      <c r="U149" s="384"/>
      <c r="V149" s="384"/>
      <c r="W149" s="384"/>
      <c r="X149" s="384"/>
      <c r="Y149" s="384"/>
      <c r="Z149" s="384"/>
      <c r="AA149" s="384"/>
      <c r="AB149" s="384"/>
      <c r="AC149" s="386"/>
    </row>
    <row r="150" spans="4:29" s="387" customFormat="1" x14ac:dyDescent="0.25">
      <c r="D150" s="384"/>
      <c r="E150" s="384"/>
      <c r="F150" s="384"/>
      <c r="G150" s="384"/>
      <c r="H150" s="384"/>
      <c r="I150" s="384"/>
      <c r="J150" s="384"/>
      <c r="K150" s="384"/>
      <c r="L150" s="384"/>
      <c r="M150" s="384"/>
      <c r="N150" s="378"/>
      <c r="O150" s="378"/>
      <c r="P150" s="384"/>
      <c r="Q150" s="384"/>
      <c r="R150" s="384"/>
      <c r="S150" s="384"/>
      <c r="T150" s="384"/>
      <c r="U150" s="384"/>
      <c r="V150" s="384"/>
      <c r="W150" s="384"/>
      <c r="X150" s="384"/>
      <c r="Y150" s="384"/>
      <c r="Z150" s="384"/>
      <c r="AA150" s="384"/>
      <c r="AB150" s="384"/>
      <c r="AC150" s="386"/>
    </row>
    <row r="151" spans="4:29" s="387" customFormat="1" x14ac:dyDescent="0.25">
      <c r="D151" s="384"/>
      <c r="E151" s="384"/>
      <c r="F151" s="384"/>
      <c r="G151" s="384"/>
      <c r="H151" s="384"/>
      <c r="I151" s="384"/>
      <c r="J151" s="384"/>
      <c r="K151" s="384"/>
      <c r="L151" s="384"/>
      <c r="M151" s="384"/>
      <c r="N151" s="378"/>
      <c r="O151" s="378"/>
      <c r="P151" s="384"/>
      <c r="Q151" s="384"/>
      <c r="R151" s="384"/>
      <c r="S151" s="384"/>
      <c r="T151" s="384"/>
      <c r="U151" s="384"/>
      <c r="V151" s="384"/>
      <c r="W151" s="384"/>
      <c r="X151" s="384"/>
      <c r="Y151" s="384"/>
      <c r="Z151" s="384"/>
      <c r="AA151" s="384"/>
      <c r="AB151" s="384"/>
      <c r="AC151" s="386"/>
    </row>
    <row r="152" spans="4:29" s="387" customFormat="1" x14ac:dyDescent="0.25">
      <c r="D152" s="384"/>
      <c r="E152" s="384"/>
      <c r="F152" s="384"/>
      <c r="G152" s="384"/>
      <c r="H152" s="384"/>
      <c r="I152" s="384"/>
      <c r="J152" s="384"/>
      <c r="K152" s="384"/>
      <c r="L152" s="384"/>
      <c r="M152" s="384"/>
      <c r="N152" s="378"/>
      <c r="O152" s="378"/>
      <c r="P152" s="384"/>
      <c r="Q152" s="384"/>
      <c r="R152" s="384"/>
      <c r="S152" s="384"/>
      <c r="T152" s="384"/>
      <c r="U152" s="384"/>
      <c r="V152" s="384"/>
      <c r="W152" s="384"/>
      <c r="X152" s="384"/>
      <c r="Y152" s="384"/>
      <c r="Z152" s="384"/>
      <c r="AA152" s="384"/>
      <c r="AB152" s="384"/>
      <c r="AC152" s="386"/>
    </row>
    <row r="153" spans="4:29" s="387" customFormat="1" x14ac:dyDescent="0.25">
      <c r="D153" s="384"/>
      <c r="E153" s="384"/>
      <c r="F153" s="384"/>
      <c r="G153" s="384"/>
      <c r="H153" s="384"/>
      <c r="I153" s="384"/>
      <c r="J153" s="384"/>
      <c r="K153" s="384"/>
      <c r="L153" s="384"/>
      <c r="M153" s="384"/>
      <c r="N153" s="378"/>
      <c r="O153" s="378"/>
      <c r="P153" s="384"/>
      <c r="Q153" s="384"/>
      <c r="R153" s="384"/>
      <c r="S153" s="384"/>
      <c r="T153" s="384"/>
      <c r="U153" s="384"/>
      <c r="V153" s="384"/>
      <c r="W153" s="384"/>
      <c r="X153" s="384"/>
      <c r="Y153" s="384"/>
      <c r="Z153" s="384"/>
      <c r="AA153" s="384"/>
      <c r="AB153" s="384"/>
      <c r="AC153" s="386"/>
    </row>
    <row r="154" spans="4:29" s="387" customFormat="1" x14ac:dyDescent="0.25">
      <c r="D154" s="384"/>
      <c r="E154" s="384"/>
      <c r="F154" s="384"/>
      <c r="G154" s="384"/>
      <c r="H154" s="384"/>
      <c r="I154" s="384"/>
      <c r="J154" s="384"/>
      <c r="K154" s="384"/>
      <c r="L154" s="384"/>
      <c r="M154" s="384"/>
      <c r="N154" s="378"/>
      <c r="O154" s="378"/>
      <c r="P154" s="384"/>
      <c r="Q154" s="384"/>
      <c r="R154" s="384"/>
      <c r="S154" s="384"/>
      <c r="T154" s="384"/>
      <c r="U154" s="384"/>
      <c r="V154" s="384"/>
      <c r="W154" s="384"/>
      <c r="X154" s="384"/>
      <c r="Y154" s="384"/>
      <c r="Z154" s="384"/>
      <c r="AA154" s="384"/>
      <c r="AB154" s="384"/>
      <c r="AC154" s="386"/>
    </row>
    <row r="155" spans="4:29" s="387" customFormat="1" x14ac:dyDescent="0.25">
      <c r="D155" s="384"/>
      <c r="E155" s="384"/>
      <c r="F155" s="384"/>
      <c r="G155" s="384"/>
      <c r="H155" s="384"/>
      <c r="I155" s="384"/>
      <c r="J155" s="384"/>
      <c r="K155" s="384"/>
      <c r="L155" s="384"/>
      <c r="M155" s="384"/>
      <c r="N155" s="378"/>
      <c r="O155" s="378"/>
      <c r="P155" s="384"/>
      <c r="Q155" s="384"/>
      <c r="R155" s="384"/>
      <c r="S155" s="384"/>
      <c r="T155" s="384"/>
      <c r="U155" s="384"/>
      <c r="V155" s="384"/>
      <c r="W155" s="384"/>
      <c r="X155" s="384"/>
      <c r="Y155" s="384"/>
      <c r="Z155" s="384"/>
      <c r="AA155" s="384"/>
      <c r="AB155" s="384"/>
      <c r="AC155" s="386"/>
    </row>
    <row r="156" spans="4:29" s="387" customFormat="1" x14ac:dyDescent="0.25">
      <c r="D156" s="384"/>
      <c r="E156" s="384"/>
      <c r="F156" s="384"/>
      <c r="G156" s="384"/>
      <c r="H156" s="384"/>
      <c r="I156" s="384"/>
      <c r="J156" s="384"/>
      <c r="K156" s="384"/>
      <c r="L156" s="384"/>
      <c r="M156" s="384"/>
      <c r="N156" s="378"/>
      <c r="O156" s="378"/>
      <c r="P156" s="384"/>
      <c r="Q156" s="384"/>
      <c r="R156" s="384"/>
      <c r="S156" s="384"/>
      <c r="T156" s="384"/>
      <c r="U156" s="384"/>
      <c r="V156" s="384"/>
      <c r="W156" s="384"/>
      <c r="X156" s="384"/>
      <c r="Y156" s="384"/>
      <c r="Z156" s="384"/>
      <c r="AA156" s="384"/>
      <c r="AB156" s="384"/>
      <c r="AC156" s="386"/>
    </row>
    <row r="157" spans="4:29" s="387" customFormat="1" x14ac:dyDescent="0.25">
      <c r="D157" s="384"/>
      <c r="E157" s="384"/>
      <c r="F157" s="384"/>
      <c r="G157" s="384"/>
      <c r="H157" s="384"/>
      <c r="I157" s="384"/>
      <c r="J157" s="384"/>
      <c r="K157" s="384"/>
      <c r="L157" s="384"/>
      <c r="M157" s="384"/>
      <c r="N157" s="378"/>
      <c r="O157" s="378"/>
      <c r="P157" s="384"/>
      <c r="Q157" s="384"/>
      <c r="R157" s="384"/>
      <c r="S157" s="384"/>
      <c r="T157" s="384"/>
      <c r="U157" s="384"/>
      <c r="V157" s="384"/>
      <c r="W157" s="384"/>
      <c r="X157" s="384"/>
      <c r="Y157" s="384"/>
      <c r="Z157" s="384"/>
      <c r="AA157" s="384"/>
      <c r="AB157" s="384"/>
      <c r="AC157" s="386"/>
    </row>
    <row r="158" spans="4:29" s="387" customFormat="1" x14ac:dyDescent="0.25">
      <c r="D158" s="384"/>
      <c r="E158" s="384"/>
      <c r="F158" s="384"/>
      <c r="G158" s="384"/>
      <c r="H158" s="384"/>
      <c r="I158" s="384"/>
      <c r="J158" s="384"/>
      <c r="K158" s="384"/>
      <c r="L158" s="384"/>
      <c r="M158" s="384"/>
      <c r="N158" s="378"/>
      <c r="O158" s="378"/>
      <c r="P158" s="384"/>
      <c r="Q158" s="384"/>
      <c r="R158" s="384"/>
      <c r="S158" s="384"/>
      <c r="T158" s="384"/>
      <c r="U158" s="384"/>
      <c r="V158" s="384"/>
      <c r="W158" s="384"/>
      <c r="X158" s="384"/>
      <c r="Y158" s="384"/>
      <c r="Z158" s="384"/>
      <c r="AA158" s="384"/>
      <c r="AB158" s="384"/>
      <c r="AC158" s="386"/>
    </row>
    <row r="159" spans="4:29" s="387" customFormat="1" x14ac:dyDescent="0.25">
      <c r="D159" s="384"/>
      <c r="E159" s="384"/>
      <c r="F159" s="384"/>
      <c r="G159" s="384"/>
      <c r="H159" s="384"/>
      <c r="I159" s="384"/>
      <c r="J159" s="384"/>
      <c r="K159" s="384"/>
      <c r="L159" s="384"/>
      <c r="M159" s="384"/>
      <c r="N159" s="378"/>
      <c r="O159" s="378"/>
      <c r="P159" s="384"/>
      <c r="Q159" s="384"/>
      <c r="R159" s="384"/>
      <c r="S159" s="384"/>
      <c r="T159" s="384"/>
      <c r="U159" s="384"/>
      <c r="V159" s="384"/>
      <c r="W159" s="384"/>
      <c r="X159" s="384"/>
      <c r="Y159" s="384"/>
      <c r="Z159" s="384"/>
      <c r="AA159" s="384"/>
      <c r="AB159" s="384"/>
      <c r="AC159" s="386"/>
    </row>
    <row r="160" spans="4:29" s="387" customFormat="1" x14ac:dyDescent="0.25">
      <c r="D160" s="384"/>
      <c r="E160" s="384"/>
      <c r="F160" s="384"/>
      <c r="G160" s="384"/>
      <c r="H160" s="384"/>
      <c r="I160" s="384"/>
      <c r="J160" s="384"/>
      <c r="K160" s="384"/>
      <c r="L160" s="384"/>
      <c r="M160" s="384"/>
      <c r="N160" s="378"/>
      <c r="O160" s="378"/>
      <c r="P160" s="384"/>
      <c r="Q160" s="384"/>
      <c r="R160" s="384"/>
      <c r="S160" s="384"/>
      <c r="T160" s="384"/>
      <c r="U160" s="384"/>
      <c r="V160" s="384"/>
      <c r="W160" s="384"/>
      <c r="X160" s="384"/>
      <c r="Y160" s="384"/>
      <c r="Z160" s="384"/>
      <c r="AA160" s="384"/>
      <c r="AB160" s="384"/>
      <c r="AC160" s="386"/>
    </row>
    <row r="161" spans="4:29" s="387" customFormat="1" x14ac:dyDescent="0.25">
      <c r="D161" s="384"/>
      <c r="E161" s="384"/>
      <c r="F161" s="384"/>
      <c r="G161" s="384"/>
      <c r="H161" s="384"/>
      <c r="I161" s="384"/>
      <c r="J161" s="384"/>
      <c r="K161" s="384"/>
      <c r="L161" s="384"/>
      <c r="M161" s="384"/>
      <c r="N161" s="378"/>
      <c r="O161" s="378"/>
      <c r="P161" s="384"/>
      <c r="Q161" s="384"/>
      <c r="R161" s="384"/>
      <c r="S161" s="384"/>
      <c r="T161" s="384"/>
      <c r="U161" s="384"/>
      <c r="V161" s="384"/>
      <c r="W161" s="384"/>
      <c r="X161" s="384"/>
      <c r="Y161" s="384"/>
      <c r="Z161" s="384"/>
      <c r="AA161" s="384"/>
      <c r="AB161" s="384"/>
      <c r="AC161" s="386"/>
    </row>
    <row r="162" spans="4:29" s="387" customFormat="1" x14ac:dyDescent="0.25">
      <c r="D162" s="384"/>
      <c r="E162" s="384"/>
      <c r="F162" s="384"/>
      <c r="G162" s="384"/>
      <c r="H162" s="384"/>
      <c r="I162" s="384"/>
      <c r="J162" s="384"/>
      <c r="K162" s="384"/>
      <c r="L162" s="384"/>
      <c r="M162" s="384"/>
      <c r="N162" s="378"/>
      <c r="O162" s="378"/>
      <c r="P162" s="384"/>
      <c r="Q162" s="384"/>
      <c r="R162" s="384"/>
      <c r="S162" s="384"/>
      <c r="T162" s="384"/>
      <c r="U162" s="384"/>
      <c r="V162" s="384"/>
      <c r="W162" s="384"/>
      <c r="X162" s="384"/>
      <c r="Y162" s="384"/>
      <c r="Z162" s="384"/>
      <c r="AA162" s="384"/>
      <c r="AB162" s="384"/>
      <c r="AC162" s="386"/>
    </row>
    <row r="163" spans="4:29" s="387" customFormat="1" x14ac:dyDescent="0.25">
      <c r="D163" s="384"/>
      <c r="E163" s="384"/>
      <c r="F163" s="384"/>
      <c r="G163" s="384"/>
      <c r="H163" s="384"/>
      <c r="I163" s="384"/>
      <c r="J163" s="384"/>
      <c r="K163" s="384"/>
      <c r="L163" s="384"/>
      <c r="M163" s="384"/>
      <c r="N163" s="378"/>
      <c r="O163" s="378"/>
      <c r="P163" s="384"/>
      <c r="Q163" s="384"/>
      <c r="R163" s="384"/>
      <c r="S163" s="384"/>
      <c r="T163" s="384"/>
      <c r="U163" s="384"/>
      <c r="V163" s="384"/>
      <c r="W163" s="384"/>
      <c r="X163" s="384"/>
      <c r="Y163" s="384"/>
      <c r="Z163" s="384"/>
      <c r="AA163" s="384"/>
      <c r="AB163" s="384"/>
      <c r="AC163" s="386"/>
    </row>
    <row r="164" spans="4:29" s="387" customFormat="1" x14ac:dyDescent="0.25">
      <c r="D164" s="384"/>
      <c r="E164" s="384"/>
      <c r="F164" s="384"/>
      <c r="G164" s="384"/>
      <c r="H164" s="384"/>
      <c r="I164" s="384"/>
      <c r="J164" s="384"/>
      <c r="K164" s="384"/>
      <c r="L164" s="384"/>
      <c r="M164" s="384"/>
      <c r="N164" s="378"/>
      <c r="O164" s="378"/>
      <c r="P164" s="384"/>
      <c r="Q164" s="384"/>
      <c r="R164" s="384"/>
      <c r="S164" s="384"/>
      <c r="T164" s="384"/>
      <c r="U164" s="384"/>
      <c r="V164" s="384"/>
      <c r="W164" s="384"/>
      <c r="X164" s="384"/>
      <c r="Y164" s="384"/>
      <c r="Z164" s="384"/>
      <c r="AA164" s="384"/>
      <c r="AB164" s="384"/>
      <c r="AC164" s="386"/>
    </row>
    <row r="165" spans="4:29" s="387" customFormat="1" x14ac:dyDescent="0.25">
      <c r="D165" s="384"/>
      <c r="E165" s="384"/>
      <c r="F165" s="384"/>
      <c r="G165" s="384"/>
      <c r="H165" s="384"/>
      <c r="I165" s="384"/>
      <c r="J165" s="384"/>
      <c r="K165" s="384"/>
      <c r="L165" s="384"/>
      <c r="M165" s="384"/>
      <c r="N165" s="378"/>
      <c r="O165" s="378"/>
      <c r="P165" s="384"/>
      <c r="Q165" s="384"/>
      <c r="R165" s="384"/>
      <c r="S165" s="384"/>
      <c r="T165" s="384"/>
      <c r="U165" s="384"/>
      <c r="V165" s="384"/>
      <c r="W165" s="384"/>
      <c r="X165" s="384"/>
      <c r="Y165" s="384"/>
      <c r="Z165" s="384"/>
      <c r="AA165" s="384"/>
      <c r="AB165" s="384"/>
      <c r="AC165" s="386"/>
    </row>
    <row r="166" spans="4:29" s="387" customFormat="1" x14ac:dyDescent="0.25">
      <c r="D166" s="384"/>
      <c r="E166" s="384"/>
      <c r="F166" s="384"/>
      <c r="G166" s="384"/>
      <c r="H166" s="384"/>
      <c r="I166" s="384"/>
      <c r="J166" s="384"/>
      <c r="K166" s="384"/>
      <c r="L166" s="384"/>
      <c r="M166" s="384"/>
      <c r="N166" s="378"/>
      <c r="O166" s="378"/>
      <c r="P166" s="384"/>
      <c r="Q166" s="384"/>
      <c r="R166" s="384"/>
      <c r="S166" s="384"/>
      <c r="T166" s="384"/>
      <c r="U166" s="384"/>
      <c r="V166" s="384"/>
      <c r="W166" s="384"/>
      <c r="X166" s="384"/>
      <c r="Y166" s="384"/>
      <c r="Z166" s="384"/>
      <c r="AA166" s="384"/>
      <c r="AB166" s="384"/>
      <c r="AC166" s="386"/>
    </row>
    <row r="167" spans="4:29" s="387" customFormat="1" x14ac:dyDescent="0.25">
      <c r="D167" s="384"/>
      <c r="E167" s="384"/>
      <c r="F167" s="384"/>
      <c r="G167" s="384"/>
      <c r="H167" s="384"/>
      <c r="I167" s="384"/>
      <c r="J167" s="384"/>
      <c r="K167" s="384"/>
      <c r="L167" s="384"/>
      <c r="M167" s="384"/>
      <c r="N167" s="378"/>
      <c r="O167" s="378"/>
      <c r="P167" s="384"/>
      <c r="Q167" s="384"/>
      <c r="R167" s="384"/>
      <c r="S167" s="384"/>
      <c r="T167" s="384"/>
      <c r="U167" s="384"/>
      <c r="V167" s="384"/>
      <c r="W167" s="384"/>
      <c r="X167" s="384"/>
      <c r="Y167" s="384"/>
      <c r="Z167" s="384"/>
      <c r="AA167" s="384"/>
      <c r="AB167" s="384"/>
      <c r="AC167" s="386"/>
    </row>
    <row r="168" spans="4:29" s="387" customFormat="1" x14ac:dyDescent="0.25">
      <c r="D168" s="384"/>
      <c r="E168" s="384"/>
      <c r="F168" s="384"/>
      <c r="G168" s="384"/>
      <c r="H168" s="384"/>
      <c r="I168" s="384"/>
      <c r="J168" s="384"/>
      <c r="K168" s="384"/>
      <c r="L168" s="384"/>
      <c r="M168" s="384"/>
      <c r="N168" s="378"/>
      <c r="O168" s="378"/>
      <c r="P168" s="384"/>
      <c r="Q168" s="384"/>
      <c r="R168" s="384"/>
      <c r="S168" s="384"/>
      <c r="T168" s="384"/>
      <c r="U168" s="384"/>
      <c r="V168" s="384"/>
      <c r="W168" s="384"/>
      <c r="X168" s="384"/>
      <c r="Y168" s="384"/>
      <c r="Z168" s="384"/>
      <c r="AA168" s="384"/>
      <c r="AB168" s="384"/>
      <c r="AC168" s="386"/>
    </row>
    <row r="169" spans="4:29" s="387" customFormat="1" x14ac:dyDescent="0.25">
      <c r="D169" s="384"/>
      <c r="E169" s="384"/>
      <c r="F169" s="384"/>
      <c r="G169" s="384"/>
      <c r="H169" s="384"/>
      <c r="I169" s="384"/>
      <c r="J169" s="384"/>
      <c r="K169" s="384"/>
      <c r="L169" s="384"/>
      <c r="M169" s="384"/>
      <c r="N169" s="378"/>
      <c r="O169" s="378"/>
      <c r="P169" s="384"/>
      <c r="Q169" s="384"/>
      <c r="R169" s="384"/>
      <c r="S169" s="384"/>
      <c r="T169" s="384"/>
      <c r="U169" s="384"/>
      <c r="V169" s="384"/>
      <c r="W169" s="384"/>
      <c r="X169" s="384"/>
      <c r="Y169" s="384"/>
      <c r="Z169" s="384"/>
      <c r="AA169" s="384"/>
      <c r="AB169" s="384"/>
      <c r="AC169" s="386"/>
    </row>
    <row r="170" spans="4:29" s="387" customFormat="1" x14ac:dyDescent="0.25">
      <c r="D170" s="384"/>
      <c r="E170" s="384"/>
      <c r="F170" s="384"/>
      <c r="G170" s="384"/>
      <c r="H170" s="384"/>
      <c r="I170" s="384"/>
      <c r="J170" s="384"/>
      <c r="K170" s="384"/>
      <c r="L170" s="384"/>
      <c r="M170" s="384"/>
      <c r="N170" s="378"/>
      <c r="O170" s="378"/>
      <c r="P170" s="384"/>
      <c r="Q170" s="384"/>
      <c r="R170" s="384"/>
      <c r="S170" s="384"/>
      <c r="T170" s="384"/>
      <c r="U170" s="384"/>
      <c r="V170" s="384"/>
      <c r="W170" s="384"/>
      <c r="X170" s="384"/>
      <c r="Y170" s="384"/>
      <c r="Z170" s="384"/>
      <c r="AA170" s="384"/>
      <c r="AB170" s="384"/>
      <c r="AC170" s="386"/>
    </row>
    <row r="171" spans="4:29" s="387" customFormat="1" x14ac:dyDescent="0.25">
      <c r="D171" s="384"/>
      <c r="E171" s="384"/>
      <c r="F171" s="384"/>
      <c r="G171" s="384"/>
      <c r="H171" s="384"/>
      <c r="I171" s="384"/>
      <c r="J171" s="384"/>
      <c r="K171" s="384"/>
      <c r="L171" s="384"/>
      <c r="M171" s="384"/>
      <c r="N171" s="378"/>
      <c r="O171" s="378"/>
      <c r="P171" s="384"/>
      <c r="Q171" s="384"/>
      <c r="R171" s="384"/>
      <c r="S171" s="384"/>
      <c r="T171" s="384"/>
      <c r="U171" s="384"/>
      <c r="V171" s="384"/>
      <c r="W171" s="384"/>
      <c r="X171" s="384"/>
      <c r="Y171" s="384"/>
      <c r="Z171" s="384"/>
      <c r="AA171" s="384"/>
      <c r="AB171" s="384"/>
      <c r="AC171" s="386"/>
    </row>
    <row r="172" spans="4:29" s="387" customFormat="1" x14ac:dyDescent="0.25">
      <c r="D172" s="384"/>
      <c r="E172" s="384"/>
      <c r="F172" s="384"/>
      <c r="G172" s="384"/>
      <c r="H172" s="384"/>
      <c r="I172" s="384"/>
      <c r="J172" s="384"/>
      <c r="K172" s="384"/>
      <c r="L172" s="384"/>
      <c r="M172" s="384"/>
      <c r="N172" s="378"/>
      <c r="O172" s="378"/>
      <c r="P172" s="384"/>
      <c r="Q172" s="384"/>
      <c r="R172" s="384"/>
      <c r="S172" s="384"/>
      <c r="T172" s="384"/>
      <c r="U172" s="384"/>
      <c r="V172" s="384"/>
      <c r="W172" s="384"/>
      <c r="X172" s="384"/>
      <c r="Y172" s="384"/>
      <c r="Z172" s="384"/>
      <c r="AA172" s="384"/>
      <c r="AB172" s="384"/>
      <c r="AC172" s="386"/>
    </row>
    <row r="173" spans="4:29" s="387" customFormat="1" x14ac:dyDescent="0.25">
      <c r="D173" s="384"/>
      <c r="E173" s="384"/>
      <c r="F173" s="384"/>
      <c r="G173" s="384"/>
      <c r="H173" s="384"/>
      <c r="I173" s="384"/>
      <c r="J173" s="384"/>
      <c r="K173" s="384"/>
      <c r="L173" s="384"/>
      <c r="M173" s="384"/>
      <c r="N173" s="378"/>
      <c r="O173" s="378"/>
      <c r="P173" s="384"/>
      <c r="Q173" s="384"/>
      <c r="R173" s="384"/>
      <c r="S173" s="384"/>
      <c r="T173" s="384"/>
      <c r="U173" s="384"/>
      <c r="V173" s="384"/>
      <c r="W173" s="384"/>
      <c r="X173" s="384"/>
      <c r="Y173" s="384"/>
      <c r="Z173" s="384"/>
      <c r="AA173" s="384"/>
      <c r="AB173" s="384"/>
      <c r="AC173" s="386"/>
    </row>
    <row r="174" spans="4:29" s="387" customFormat="1" x14ac:dyDescent="0.25">
      <c r="D174" s="384"/>
      <c r="E174" s="384"/>
      <c r="F174" s="384"/>
      <c r="G174" s="384"/>
      <c r="H174" s="384"/>
      <c r="I174" s="384"/>
      <c r="J174" s="384"/>
      <c r="K174" s="384"/>
      <c r="L174" s="384"/>
      <c r="M174" s="384"/>
      <c r="N174" s="378"/>
      <c r="O174" s="378"/>
      <c r="P174" s="384"/>
      <c r="Q174" s="384"/>
      <c r="R174" s="384"/>
      <c r="S174" s="384"/>
      <c r="T174" s="384"/>
      <c r="U174" s="384"/>
      <c r="V174" s="384"/>
      <c r="W174" s="384"/>
      <c r="X174" s="384"/>
      <c r="Y174" s="384"/>
      <c r="Z174" s="384"/>
      <c r="AA174" s="384"/>
      <c r="AB174" s="384"/>
      <c r="AC174" s="386"/>
    </row>
    <row r="175" spans="4:29" s="387" customFormat="1" x14ac:dyDescent="0.25">
      <c r="D175" s="384"/>
      <c r="E175" s="384"/>
      <c r="F175" s="384"/>
      <c r="G175" s="384"/>
      <c r="H175" s="384"/>
      <c r="I175" s="384"/>
      <c r="J175" s="384"/>
      <c r="K175" s="384"/>
      <c r="L175" s="384"/>
      <c r="M175" s="384"/>
      <c r="N175" s="378"/>
      <c r="O175" s="378"/>
      <c r="P175" s="384"/>
      <c r="Q175" s="384"/>
      <c r="R175" s="384"/>
      <c r="S175" s="384"/>
      <c r="T175" s="384"/>
      <c r="U175" s="384"/>
      <c r="V175" s="384"/>
      <c r="W175" s="384"/>
      <c r="X175" s="384"/>
      <c r="Y175" s="384"/>
      <c r="Z175" s="384"/>
      <c r="AA175" s="384"/>
      <c r="AB175" s="384"/>
      <c r="AC175" s="386"/>
    </row>
    <row r="176" spans="4:29" s="387" customFormat="1" x14ac:dyDescent="0.25">
      <c r="D176" s="384"/>
      <c r="E176" s="384"/>
      <c r="F176" s="384"/>
      <c r="G176" s="384"/>
      <c r="H176" s="384"/>
      <c r="I176" s="384"/>
      <c r="J176" s="384"/>
      <c r="K176" s="384"/>
      <c r="L176" s="384"/>
      <c r="M176" s="384"/>
      <c r="N176" s="378"/>
      <c r="O176" s="378"/>
      <c r="P176" s="384"/>
      <c r="Q176" s="384"/>
      <c r="R176" s="384"/>
      <c r="S176" s="384"/>
      <c r="T176" s="384"/>
      <c r="U176" s="384"/>
      <c r="V176" s="384"/>
      <c r="W176" s="384"/>
      <c r="X176" s="384"/>
      <c r="Y176" s="384"/>
      <c r="Z176" s="384"/>
      <c r="AA176" s="384"/>
      <c r="AB176" s="384"/>
      <c r="AC176" s="386"/>
    </row>
    <row r="177" spans="4:29" s="387" customFormat="1" x14ac:dyDescent="0.25">
      <c r="D177" s="384"/>
      <c r="E177" s="384"/>
      <c r="F177" s="384"/>
      <c r="G177" s="384"/>
      <c r="H177" s="384"/>
      <c r="I177" s="384"/>
      <c r="J177" s="384"/>
      <c r="K177" s="384"/>
      <c r="L177" s="384"/>
      <c r="M177" s="384"/>
      <c r="N177" s="378"/>
      <c r="O177" s="378"/>
      <c r="P177" s="384"/>
      <c r="Q177" s="384"/>
      <c r="R177" s="384"/>
      <c r="S177" s="384"/>
      <c r="T177" s="384"/>
      <c r="U177" s="384"/>
      <c r="V177" s="384"/>
      <c r="W177" s="384"/>
      <c r="X177" s="384"/>
      <c r="Y177" s="384"/>
      <c r="Z177" s="384"/>
      <c r="AA177" s="384"/>
      <c r="AB177" s="384"/>
      <c r="AC177" s="386"/>
    </row>
    <row r="178" spans="4:29" s="387" customFormat="1" x14ac:dyDescent="0.25">
      <c r="D178" s="384"/>
      <c r="E178" s="384"/>
      <c r="F178" s="384"/>
      <c r="G178" s="384"/>
      <c r="H178" s="384"/>
      <c r="I178" s="384"/>
      <c r="J178" s="384"/>
      <c r="K178" s="384"/>
      <c r="L178" s="384"/>
      <c r="M178" s="384"/>
      <c r="N178" s="378"/>
      <c r="O178" s="378"/>
      <c r="P178" s="384"/>
      <c r="Q178" s="384"/>
      <c r="R178" s="384"/>
      <c r="S178" s="384"/>
      <c r="T178" s="384"/>
      <c r="U178" s="384"/>
      <c r="V178" s="384"/>
      <c r="W178" s="384"/>
      <c r="X178" s="384"/>
      <c r="Y178" s="384"/>
      <c r="Z178" s="384"/>
      <c r="AA178" s="384"/>
      <c r="AB178" s="384"/>
      <c r="AC178" s="386"/>
    </row>
    <row r="179" spans="4:29" s="387" customFormat="1" x14ac:dyDescent="0.25">
      <c r="D179" s="384"/>
      <c r="E179" s="384"/>
      <c r="F179" s="384"/>
      <c r="G179" s="384"/>
      <c r="H179" s="384"/>
      <c r="I179" s="384"/>
      <c r="J179" s="384"/>
      <c r="K179" s="384"/>
      <c r="L179" s="384"/>
      <c r="M179" s="384"/>
      <c r="N179" s="378"/>
      <c r="O179" s="378"/>
      <c r="P179" s="384"/>
      <c r="Q179" s="384"/>
      <c r="R179" s="384"/>
      <c r="S179" s="384"/>
      <c r="T179" s="384"/>
      <c r="U179" s="384"/>
      <c r="V179" s="384"/>
      <c r="W179" s="384"/>
      <c r="X179" s="384"/>
      <c r="Y179" s="384"/>
      <c r="Z179" s="384"/>
      <c r="AA179" s="384"/>
      <c r="AB179" s="384"/>
      <c r="AC179" s="386"/>
    </row>
    <row r="180" spans="4:29" s="387" customFormat="1" x14ac:dyDescent="0.25">
      <c r="D180" s="384"/>
      <c r="E180" s="384"/>
      <c r="F180" s="384"/>
      <c r="G180" s="384"/>
      <c r="H180" s="384"/>
      <c r="I180" s="384"/>
      <c r="J180" s="384"/>
      <c r="K180" s="384"/>
      <c r="L180" s="384"/>
      <c r="M180" s="384"/>
      <c r="N180" s="378"/>
      <c r="O180" s="378"/>
      <c r="P180" s="384"/>
      <c r="Q180" s="384"/>
      <c r="R180" s="384"/>
      <c r="S180" s="384"/>
      <c r="T180" s="384"/>
      <c r="U180" s="384"/>
      <c r="V180" s="384"/>
      <c r="W180" s="384"/>
      <c r="X180" s="384"/>
      <c r="Y180" s="384"/>
      <c r="Z180" s="384"/>
      <c r="AA180" s="384"/>
      <c r="AB180" s="384"/>
      <c r="AC180" s="386"/>
    </row>
    <row r="181" spans="4:29" s="387" customFormat="1" x14ac:dyDescent="0.25">
      <c r="D181" s="384"/>
      <c r="E181" s="384"/>
      <c r="F181" s="384"/>
      <c r="G181" s="384"/>
      <c r="H181" s="384"/>
      <c r="I181" s="384"/>
      <c r="J181" s="384"/>
      <c r="K181" s="384"/>
      <c r="L181" s="384"/>
      <c r="M181" s="384"/>
      <c r="N181" s="378"/>
      <c r="O181" s="378"/>
      <c r="P181" s="384"/>
      <c r="Q181" s="384"/>
      <c r="R181" s="384"/>
      <c r="S181" s="384"/>
      <c r="T181" s="384"/>
      <c r="U181" s="384"/>
      <c r="V181" s="384"/>
      <c r="W181" s="384"/>
      <c r="X181" s="384"/>
      <c r="Y181" s="384"/>
      <c r="Z181" s="384"/>
      <c r="AA181" s="384"/>
      <c r="AB181" s="384"/>
      <c r="AC181" s="386"/>
    </row>
    <row r="182" spans="4:29" s="387" customFormat="1" x14ac:dyDescent="0.25">
      <c r="D182" s="384"/>
      <c r="E182" s="384"/>
      <c r="F182" s="384"/>
      <c r="G182" s="384"/>
      <c r="H182" s="384"/>
      <c r="I182" s="384"/>
      <c r="J182" s="384"/>
      <c r="K182" s="384"/>
      <c r="L182" s="384"/>
      <c r="M182" s="384"/>
      <c r="N182" s="378"/>
      <c r="O182" s="378"/>
      <c r="P182" s="384"/>
      <c r="Q182" s="384"/>
      <c r="R182" s="384"/>
      <c r="S182" s="384"/>
      <c r="T182" s="384"/>
      <c r="U182" s="384"/>
      <c r="V182" s="384"/>
      <c r="W182" s="384"/>
      <c r="X182" s="384"/>
      <c r="Y182" s="384"/>
      <c r="Z182" s="384"/>
      <c r="AA182" s="384"/>
      <c r="AB182" s="384"/>
      <c r="AC182" s="386"/>
    </row>
    <row r="183" spans="4:29" s="387" customFormat="1" x14ac:dyDescent="0.25">
      <c r="D183" s="384"/>
      <c r="E183" s="384"/>
      <c r="F183" s="384"/>
      <c r="G183" s="384"/>
      <c r="H183" s="384"/>
      <c r="I183" s="384"/>
      <c r="J183" s="384"/>
      <c r="K183" s="384"/>
      <c r="L183" s="384"/>
      <c r="M183" s="384"/>
      <c r="N183" s="378"/>
      <c r="O183" s="378"/>
      <c r="P183" s="384"/>
      <c r="Q183" s="384"/>
      <c r="R183" s="384"/>
      <c r="S183" s="384"/>
      <c r="T183" s="384"/>
      <c r="U183" s="384"/>
      <c r="V183" s="384"/>
      <c r="W183" s="384"/>
      <c r="X183" s="384"/>
      <c r="Y183" s="384"/>
      <c r="Z183" s="384"/>
      <c r="AA183" s="384"/>
      <c r="AB183" s="384"/>
      <c r="AC183" s="386"/>
    </row>
    <row r="184" spans="4:29" s="387" customFormat="1" x14ac:dyDescent="0.25">
      <c r="D184" s="384"/>
      <c r="E184" s="384"/>
      <c r="F184" s="384"/>
      <c r="G184" s="384"/>
      <c r="H184" s="384"/>
      <c r="I184" s="384"/>
      <c r="J184" s="384"/>
      <c r="K184" s="384"/>
      <c r="L184" s="384"/>
      <c r="M184" s="384"/>
      <c r="N184" s="378"/>
      <c r="O184" s="378"/>
      <c r="P184" s="384"/>
      <c r="Q184" s="384"/>
      <c r="R184" s="384"/>
      <c r="S184" s="384"/>
      <c r="T184" s="384"/>
      <c r="U184" s="384"/>
      <c r="V184" s="384"/>
      <c r="W184" s="384"/>
      <c r="X184" s="384"/>
      <c r="Y184" s="384"/>
      <c r="Z184" s="384"/>
      <c r="AA184" s="384"/>
      <c r="AB184" s="384"/>
      <c r="AC184" s="386"/>
    </row>
    <row r="185" spans="4:29" s="387" customFormat="1" x14ac:dyDescent="0.25">
      <c r="D185" s="384"/>
      <c r="E185" s="384"/>
      <c r="F185" s="384"/>
      <c r="G185" s="384"/>
      <c r="H185" s="384"/>
      <c r="I185" s="384"/>
      <c r="J185" s="384"/>
      <c r="K185" s="384"/>
      <c r="L185" s="384"/>
      <c r="M185" s="384"/>
      <c r="N185" s="378"/>
      <c r="O185" s="378"/>
      <c r="P185" s="384"/>
      <c r="Q185" s="384"/>
      <c r="R185" s="384"/>
      <c r="S185" s="384"/>
      <c r="T185" s="384"/>
      <c r="U185" s="384"/>
      <c r="V185" s="384"/>
      <c r="W185" s="384"/>
      <c r="X185" s="384"/>
      <c r="Y185" s="384"/>
      <c r="Z185" s="384"/>
      <c r="AA185" s="384"/>
      <c r="AB185" s="384"/>
      <c r="AC185" s="386"/>
    </row>
    <row r="186" spans="4:29" s="387" customFormat="1" x14ac:dyDescent="0.25">
      <c r="D186" s="384"/>
      <c r="E186" s="384"/>
      <c r="F186" s="384"/>
      <c r="G186" s="384"/>
      <c r="H186" s="384"/>
      <c r="I186" s="384"/>
      <c r="J186" s="384"/>
      <c r="K186" s="384"/>
      <c r="L186" s="384"/>
      <c r="M186" s="384"/>
      <c r="N186" s="378"/>
      <c r="O186" s="378"/>
      <c r="P186" s="384"/>
      <c r="Q186" s="384"/>
      <c r="R186" s="384"/>
      <c r="S186" s="384"/>
      <c r="T186" s="384"/>
      <c r="U186" s="384"/>
      <c r="V186" s="384"/>
      <c r="W186" s="384"/>
      <c r="X186" s="384"/>
      <c r="Y186" s="384"/>
      <c r="Z186" s="384"/>
      <c r="AA186" s="384"/>
      <c r="AB186" s="384"/>
      <c r="AC186" s="386"/>
    </row>
    <row r="187" spans="4:29" s="387" customFormat="1" x14ac:dyDescent="0.25">
      <c r="D187" s="384"/>
      <c r="E187" s="384"/>
      <c r="F187" s="384"/>
      <c r="G187" s="384"/>
      <c r="H187" s="384"/>
      <c r="I187" s="384"/>
      <c r="J187" s="384"/>
      <c r="K187" s="384"/>
      <c r="L187" s="384"/>
      <c r="M187" s="384"/>
      <c r="N187" s="378"/>
      <c r="O187" s="378"/>
      <c r="P187" s="384"/>
      <c r="Q187" s="384"/>
      <c r="R187" s="384"/>
      <c r="S187" s="384"/>
      <c r="T187" s="384"/>
      <c r="U187" s="384"/>
      <c r="V187" s="384"/>
      <c r="W187" s="384"/>
      <c r="X187" s="384"/>
      <c r="Y187" s="384"/>
      <c r="Z187" s="384"/>
      <c r="AA187" s="384"/>
      <c r="AB187" s="384"/>
      <c r="AC187" s="386"/>
    </row>
    <row r="188" spans="4:29" s="387" customFormat="1" x14ac:dyDescent="0.25">
      <c r="D188" s="384"/>
      <c r="E188" s="384"/>
      <c r="F188" s="384"/>
      <c r="G188" s="384"/>
      <c r="H188" s="384"/>
      <c r="I188" s="384"/>
      <c r="J188" s="384"/>
      <c r="K188" s="384"/>
      <c r="L188" s="384"/>
      <c r="M188" s="384"/>
      <c r="N188" s="378"/>
      <c r="O188" s="378"/>
      <c r="P188" s="384"/>
      <c r="Q188" s="384"/>
      <c r="R188" s="384"/>
      <c r="S188" s="384"/>
      <c r="T188" s="384"/>
      <c r="U188" s="384"/>
      <c r="V188" s="384"/>
      <c r="W188" s="384"/>
      <c r="X188" s="384"/>
      <c r="Y188" s="384"/>
      <c r="Z188" s="384"/>
      <c r="AA188" s="384"/>
      <c r="AB188" s="384"/>
      <c r="AC188" s="386"/>
    </row>
    <row r="189" spans="4:29" s="387" customFormat="1" x14ac:dyDescent="0.25">
      <c r="D189" s="384"/>
      <c r="E189" s="384"/>
      <c r="F189" s="384"/>
      <c r="G189" s="384"/>
      <c r="H189" s="384"/>
      <c r="I189" s="384"/>
      <c r="J189" s="384"/>
      <c r="K189" s="384"/>
      <c r="L189" s="384"/>
      <c r="M189" s="384"/>
      <c r="N189" s="378"/>
      <c r="O189" s="378"/>
      <c r="P189" s="384"/>
      <c r="Q189" s="384"/>
      <c r="R189" s="384"/>
      <c r="S189" s="384"/>
      <c r="T189" s="384"/>
      <c r="U189" s="384"/>
      <c r="V189" s="384"/>
      <c r="W189" s="384"/>
      <c r="X189" s="384"/>
      <c r="Y189" s="384"/>
      <c r="Z189" s="384"/>
      <c r="AA189" s="384"/>
      <c r="AB189" s="384"/>
      <c r="AC189" s="386"/>
    </row>
    <row r="190" spans="4:29" s="387" customFormat="1" x14ac:dyDescent="0.25">
      <c r="D190" s="384"/>
      <c r="E190" s="384"/>
      <c r="F190" s="384"/>
      <c r="G190" s="384"/>
      <c r="H190" s="384"/>
      <c r="I190" s="384"/>
      <c r="J190" s="384"/>
      <c r="K190" s="384"/>
      <c r="L190" s="384"/>
      <c r="M190" s="384"/>
      <c r="N190" s="378"/>
      <c r="O190" s="378"/>
      <c r="P190" s="384"/>
      <c r="Q190" s="384"/>
      <c r="R190" s="384"/>
      <c r="S190" s="384"/>
      <c r="T190" s="384"/>
      <c r="U190" s="384"/>
      <c r="V190" s="384"/>
      <c r="W190" s="384"/>
      <c r="X190" s="384"/>
      <c r="Y190" s="384"/>
      <c r="Z190" s="384"/>
      <c r="AA190" s="384"/>
      <c r="AB190" s="384"/>
      <c r="AC190" s="386"/>
    </row>
    <row r="191" spans="4:29" s="387" customFormat="1" x14ac:dyDescent="0.25">
      <c r="D191" s="384"/>
      <c r="E191" s="384"/>
      <c r="F191" s="384"/>
      <c r="G191" s="384"/>
      <c r="H191" s="384"/>
      <c r="I191" s="384"/>
      <c r="J191" s="384"/>
      <c r="K191" s="384"/>
      <c r="L191" s="384"/>
      <c r="M191" s="384"/>
      <c r="N191" s="378"/>
      <c r="O191" s="378"/>
      <c r="P191" s="384"/>
      <c r="Q191" s="384"/>
      <c r="R191" s="384"/>
      <c r="S191" s="384"/>
      <c r="T191" s="384"/>
      <c r="U191" s="384"/>
      <c r="V191" s="384"/>
      <c r="W191" s="384"/>
      <c r="X191" s="384"/>
      <c r="Y191" s="384"/>
      <c r="Z191" s="384"/>
      <c r="AA191" s="384"/>
      <c r="AB191" s="384"/>
      <c r="AC191" s="386"/>
    </row>
    <row r="192" spans="4:29" s="387" customFormat="1" x14ac:dyDescent="0.25">
      <c r="D192" s="384"/>
      <c r="E192" s="384"/>
      <c r="F192" s="384"/>
      <c r="G192" s="384"/>
      <c r="H192" s="384"/>
      <c r="I192" s="384"/>
      <c r="J192" s="384"/>
      <c r="K192" s="384"/>
      <c r="L192" s="384"/>
      <c r="M192" s="384"/>
      <c r="N192" s="378"/>
      <c r="O192" s="378"/>
      <c r="P192" s="384"/>
      <c r="Q192" s="384"/>
      <c r="R192" s="384"/>
      <c r="S192" s="384"/>
      <c r="T192" s="384"/>
      <c r="U192" s="384"/>
      <c r="V192" s="384"/>
      <c r="W192" s="384"/>
      <c r="X192" s="384"/>
      <c r="Y192" s="384"/>
      <c r="Z192" s="384"/>
      <c r="AA192" s="384"/>
      <c r="AB192" s="384"/>
      <c r="AC192" s="386"/>
    </row>
  </sheetData>
  <autoFilter ref="A9:AC24"/>
  <mergeCells count="14">
    <mergeCell ref="A1:C1"/>
    <mergeCell ref="A2:C2"/>
    <mergeCell ref="A3:C3"/>
    <mergeCell ref="P1:AB1"/>
    <mergeCell ref="P2:AB2"/>
    <mergeCell ref="A5:AB5"/>
    <mergeCell ref="D7:O7"/>
    <mergeCell ref="P7:AA7"/>
    <mergeCell ref="P23:W23"/>
    <mergeCell ref="P27:W27"/>
    <mergeCell ref="A21:AB21"/>
    <mergeCell ref="A7:A8"/>
    <mergeCell ref="B7:C7"/>
    <mergeCell ref="P22:W2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N36"/>
  <sheetViews>
    <sheetView showZeros="0" topLeftCell="A13" zoomScale="80" zoomScaleNormal="80" workbookViewId="0">
      <selection activeCell="Z22" sqref="Z22:AF26"/>
    </sheetView>
  </sheetViews>
  <sheetFormatPr defaultRowHeight="15.75" x14ac:dyDescent="0.25"/>
  <cols>
    <col min="1" max="1" width="3.85546875" style="356" customWidth="1"/>
    <col min="2" max="2" width="23" style="394" customWidth="1"/>
    <col min="3" max="3" width="11" style="356" customWidth="1"/>
    <col min="4" max="7" width="7.28515625" style="388" bestFit="1" customWidth="1"/>
    <col min="8" max="25" width="7.28515625" style="388" customWidth="1"/>
    <col min="26" max="27" width="7.28515625" style="388" bestFit="1" customWidth="1"/>
    <col min="28" max="30" width="7.28515625" style="388" customWidth="1"/>
    <col min="31" max="31" width="7.28515625" style="388" bestFit="1" customWidth="1"/>
    <col min="32" max="35" width="7.28515625" style="388" customWidth="1"/>
    <col min="36" max="36" width="7.28515625" style="388" bestFit="1" customWidth="1"/>
    <col min="37" max="39" width="7.28515625" style="388" customWidth="1"/>
    <col min="40" max="40" width="9.7109375" style="388" bestFit="1" customWidth="1"/>
    <col min="41" max="16384" width="9.140625" style="356"/>
  </cols>
  <sheetData>
    <row r="1" spans="1:40" s="390" customFormat="1" x14ac:dyDescent="0.25">
      <c r="A1" s="1404" t="s">
        <v>559</v>
      </c>
      <c r="B1" s="1404"/>
      <c r="C1" s="1404"/>
      <c r="D1" s="389"/>
      <c r="X1" s="36"/>
      <c r="Y1" s="36"/>
      <c r="Z1" s="1401" t="s">
        <v>560</v>
      </c>
      <c r="AA1" s="1401"/>
      <c r="AB1" s="1401"/>
      <c r="AC1" s="1401"/>
      <c r="AD1" s="1401"/>
      <c r="AE1" s="1401"/>
      <c r="AF1" s="1401"/>
      <c r="AG1" s="1401"/>
      <c r="AH1" s="1401"/>
      <c r="AI1" s="1401"/>
      <c r="AJ1" s="1401"/>
      <c r="AK1" s="1401"/>
      <c r="AL1" s="1401"/>
      <c r="AM1" s="1401"/>
      <c r="AN1" s="1401"/>
    </row>
    <row r="2" spans="1:40" s="390" customFormat="1" ht="16.5" x14ac:dyDescent="0.25">
      <c r="A2" s="1404" t="s">
        <v>580</v>
      </c>
      <c r="B2" s="1404"/>
      <c r="C2" s="1404"/>
      <c r="D2" s="389"/>
      <c r="X2" s="37"/>
      <c r="Y2" s="37"/>
      <c r="Z2" s="1405" t="s">
        <v>562</v>
      </c>
      <c r="AA2" s="1405"/>
      <c r="AB2" s="1405"/>
      <c r="AC2" s="1405"/>
      <c r="AD2" s="1405"/>
      <c r="AE2" s="1405"/>
      <c r="AF2" s="1405"/>
      <c r="AG2" s="1405"/>
      <c r="AH2" s="1405"/>
      <c r="AI2" s="1405"/>
      <c r="AJ2" s="1405"/>
      <c r="AK2" s="1405"/>
      <c r="AL2" s="1405"/>
      <c r="AM2" s="1405"/>
      <c r="AN2" s="1405"/>
    </row>
    <row r="3" spans="1:40" s="390" customFormat="1" x14ac:dyDescent="0.25">
      <c r="A3" s="1406" t="s">
        <v>52</v>
      </c>
      <c r="B3" s="1406"/>
      <c r="C3" s="1406"/>
      <c r="D3" s="389"/>
      <c r="E3" s="391"/>
      <c r="F3" s="391"/>
      <c r="G3" s="391"/>
      <c r="H3" s="391"/>
      <c r="I3" s="391"/>
      <c r="J3" s="391"/>
      <c r="K3" s="391"/>
      <c r="L3" s="391"/>
      <c r="M3" s="391"/>
      <c r="N3" s="391"/>
      <c r="O3" s="391"/>
      <c r="P3" s="391"/>
      <c r="Q3" s="391"/>
      <c r="R3" s="796"/>
      <c r="S3" s="796"/>
      <c r="T3" s="796"/>
      <c r="U3" s="391"/>
      <c r="V3" s="587"/>
      <c r="W3" s="391"/>
      <c r="X3" s="391"/>
      <c r="Y3" s="391"/>
      <c r="Z3" s="389"/>
      <c r="AA3" s="389"/>
      <c r="AB3" s="389"/>
      <c r="AC3" s="389"/>
      <c r="AD3" s="389"/>
      <c r="AE3" s="389"/>
      <c r="AF3" s="389"/>
      <c r="AG3" s="389"/>
      <c r="AH3" s="389"/>
      <c r="AI3" s="389"/>
      <c r="AJ3" s="389"/>
    </row>
    <row r="4" spans="1:40" x14ac:dyDescent="0.25">
      <c r="A4" s="18"/>
      <c r="B4" s="18"/>
      <c r="C4" s="18"/>
      <c r="D4" s="38"/>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9" t="s">
        <v>563</v>
      </c>
    </row>
    <row r="5" spans="1:40" ht="35.25" customHeight="1" x14ac:dyDescent="0.25">
      <c r="A5" s="1390" t="str">
        <f>'P.KH-TC'!A5:AB5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c r="AC5" s="1390"/>
      <c r="AD5" s="1390"/>
      <c r="AE5" s="1390"/>
      <c r="AF5" s="1390"/>
      <c r="AG5" s="1390"/>
      <c r="AH5" s="1390"/>
      <c r="AI5" s="1390"/>
      <c r="AJ5" s="1390"/>
      <c r="AK5" s="1390"/>
      <c r="AL5" s="1390"/>
      <c r="AM5" s="1390"/>
      <c r="AN5" s="1390"/>
    </row>
    <row r="7" spans="1:40" ht="16.5" x14ac:dyDescent="0.25">
      <c r="A7" s="1396" t="s">
        <v>0</v>
      </c>
      <c r="B7" s="1409" t="s">
        <v>564</v>
      </c>
      <c r="C7" s="1409"/>
      <c r="D7" s="1391" t="s">
        <v>110</v>
      </c>
      <c r="E7" s="1392"/>
      <c r="F7" s="1392"/>
      <c r="G7" s="1392"/>
      <c r="H7" s="1392"/>
      <c r="I7" s="1392"/>
      <c r="J7" s="1392"/>
      <c r="K7" s="1392"/>
      <c r="L7" s="1392"/>
      <c r="M7" s="1392"/>
      <c r="N7" s="1392"/>
      <c r="O7" s="1392"/>
      <c r="P7" s="1392"/>
      <c r="Q7" s="1392"/>
      <c r="R7" s="814"/>
      <c r="S7" s="814"/>
      <c r="T7" s="814"/>
      <c r="U7" s="358"/>
      <c r="V7" s="586"/>
      <c r="W7" s="358"/>
      <c r="X7" s="358"/>
      <c r="Y7" s="358"/>
      <c r="Z7" s="1407" t="s">
        <v>565</v>
      </c>
      <c r="AA7" s="1392"/>
      <c r="AB7" s="1392"/>
      <c r="AC7" s="1392"/>
      <c r="AD7" s="1392"/>
      <c r="AE7" s="1392"/>
      <c r="AF7" s="1392"/>
      <c r="AG7" s="1392"/>
      <c r="AH7" s="1392"/>
      <c r="AI7" s="1392"/>
      <c r="AJ7" s="1392"/>
      <c r="AK7" s="1392"/>
      <c r="AL7" s="120"/>
      <c r="AM7" s="120"/>
      <c r="AN7" s="1408" t="s">
        <v>4</v>
      </c>
    </row>
    <row r="8" spans="1:40" s="394" customFormat="1" ht="39.75" customHeight="1" x14ac:dyDescent="0.25">
      <c r="A8" s="1397"/>
      <c r="B8" s="1" t="s">
        <v>461</v>
      </c>
      <c r="C8" s="1" t="s">
        <v>566</v>
      </c>
      <c r="D8" s="392" t="s">
        <v>567</v>
      </c>
      <c r="E8" s="392" t="s">
        <v>568</v>
      </c>
      <c r="F8" s="392" t="s">
        <v>569</v>
      </c>
      <c r="G8" s="392" t="s">
        <v>570</v>
      </c>
      <c r="H8" s="392" t="s">
        <v>571</v>
      </c>
      <c r="I8" s="392" t="s">
        <v>572</v>
      </c>
      <c r="J8" s="392" t="s">
        <v>573</v>
      </c>
      <c r="K8" s="392" t="s">
        <v>703</v>
      </c>
      <c r="L8" s="392" t="s">
        <v>704</v>
      </c>
      <c r="M8" s="392" t="s">
        <v>748</v>
      </c>
      <c r="N8" s="392" t="s">
        <v>749</v>
      </c>
      <c r="O8" s="392" t="s">
        <v>750</v>
      </c>
      <c r="P8" s="392" t="s">
        <v>780</v>
      </c>
      <c r="Q8" s="392" t="s">
        <v>784</v>
      </c>
      <c r="R8" s="392" t="s">
        <v>796</v>
      </c>
      <c r="S8" s="392" t="s">
        <v>797</v>
      </c>
      <c r="T8" s="392" t="s">
        <v>901</v>
      </c>
      <c r="U8" s="392" t="s">
        <v>1080</v>
      </c>
      <c r="V8" s="392" t="s">
        <v>1081</v>
      </c>
      <c r="W8" s="392" t="s">
        <v>1082</v>
      </c>
      <c r="X8" s="393" t="s">
        <v>588</v>
      </c>
      <c r="Y8" s="361" t="s">
        <v>795</v>
      </c>
      <c r="Z8" s="392" t="s">
        <v>567</v>
      </c>
      <c r="AA8" s="392" t="s">
        <v>568</v>
      </c>
      <c r="AB8" s="392" t="s">
        <v>569</v>
      </c>
      <c r="AC8" s="392" t="s">
        <v>570</v>
      </c>
      <c r="AD8" s="392" t="s">
        <v>571</v>
      </c>
      <c r="AE8" s="392" t="s">
        <v>572</v>
      </c>
      <c r="AF8" s="392" t="s">
        <v>573</v>
      </c>
      <c r="AG8" s="392" t="s">
        <v>703</v>
      </c>
      <c r="AH8" s="392" t="s">
        <v>704</v>
      </c>
      <c r="AI8" s="392" t="s">
        <v>748</v>
      </c>
      <c r="AJ8" s="392" t="s">
        <v>749</v>
      </c>
      <c r="AK8" s="392" t="s">
        <v>750</v>
      </c>
      <c r="AL8" s="393" t="s">
        <v>588</v>
      </c>
      <c r="AM8" s="361" t="s">
        <v>795</v>
      </c>
      <c r="AN8" s="1408"/>
    </row>
    <row r="9" spans="1:40" x14ac:dyDescent="0.25">
      <c r="A9" s="362" t="s">
        <v>574</v>
      </c>
      <c r="B9" s="352"/>
      <c r="C9" s="273">
        <v>-1</v>
      </c>
      <c r="D9" s="273">
        <v>-2</v>
      </c>
      <c r="E9" s="273">
        <v>-3</v>
      </c>
      <c r="F9" s="273">
        <v>-4</v>
      </c>
      <c r="G9" s="273">
        <v>-5</v>
      </c>
      <c r="H9" s="395">
        <v>-6</v>
      </c>
      <c r="I9" s="273">
        <v>-7</v>
      </c>
      <c r="J9" s="273">
        <v>-8</v>
      </c>
      <c r="K9" s="273">
        <v>-9</v>
      </c>
      <c r="L9" s="273">
        <v>-10</v>
      </c>
      <c r="M9" s="273">
        <v>-11</v>
      </c>
      <c r="N9" s="395">
        <v>-12</v>
      </c>
      <c r="O9" s="273">
        <v>-13</v>
      </c>
      <c r="P9" s="273">
        <v>-14</v>
      </c>
      <c r="Q9" s="273">
        <v>-15</v>
      </c>
      <c r="R9" s="273">
        <v>-16</v>
      </c>
      <c r="S9" s="273">
        <v>-17</v>
      </c>
      <c r="T9" s="273">
        <v>-18</v>
      </c>
      <c r="U9" s="273">
        <v>-19</v>
      </c>
      <c r="V9" s="273">
        <v>-20</v>
      </c>
      <c r="W9" s="273">
        <v>-21</v>
      </c>
      <c r="X9" s="273">
        <v>-22</v>
      </c>
      <c r="Y9" s="273">
        <v>-23</v>
      </c>
      <c r="Z9" s="273">
        <v>-24</v>
      </c>
      <c r="AA9" s="273">
        <v>-25</v>
      </c>
      <c r="AB9" s="273">
        <v>-26</v>
      </c>
      <c r="AC9" s="273">
        <v>-27</v>
      </c>
      <c r="AD9" s="273">
        <v>-28</v>
      </c>
      <c r="AE9" s="273">
        <v>-29</v>
      </c>
      <c r="AF9" s="273">
        <v>-30</v>
      </c>
      <c r="AG9" s="273">
        <v>-31</v>
      </c>
      <c r="AH9" s="273">
        <v>-32</v>
      </c>
      <c r="AI9" s="273">
        <v>-33</v>
      </c>
      <c r="AJ9" s="273">
        <v>-34</v>
      </c>
      <c r="AK9" s="273">
        <v>-35</v>
      </c>
      <c r="AL9" s="273">
        <v>-36</v>
      </c>
      <c r="AM9" s="273">
        <v>-37</v>
      </c>
      <c r="AN9" s="1408"/>
    </row>
    <row r="10" spans="1:40" ht="18.75" x14ac:dyDescent="0.25">
      <c r="A10" s="143" t="s">
        <v>5</v>
      </c>
      <c r="B10" s="75" t="s">
        <v>251</v>
      </c>
      <c r="C10" s="410" t="s">
        <v>252</v>
      </c>
      <c r="D10" s="1187" t="s">
        <v>581</v>
      </c>
      <c r="E10" s="1187"/>
      <c r="F10" s="1187" t="s">
        <v>581</v>
      </c>
      <c r="G10" s="1187" t="s">
        <v>581</v>
      </c>
      <c r="H10" s="1187" t="s">
        <v>581</v>
      </c>
      <c r="I10" s="1187" t="s">
        <v>581</v>
      </c>
      <c r="J10" s="1188"/>
      <c r="K10" s="1188" t="s">
        <v>581</v>
      </c>
      <c r="L10" s="1188" t="s">
        <v>581</v>
      </c>
      <c r="M10" s="1188" t="s">
        <v>581</v>
      </c>
      <c r="N10" s="1188"/>
      <c r="O10" s="1188"/>
      <c r="P10" s="1188"/>
      <c r="Q10" s="1188"/>
      <c r="R10" s="936"/>
      <c r="S10" s="936"/>
      <c r="T10" s="935"/>
      <c r="U10" s="815"/>
      <c r="V10" s="815"/>
      <c r="W10" s="815"/>
      <c r="X10" s="398">
        <f>SUM(COUNTIF(D10:W10,"x"),COUNTIF(D10:W10,"A"))</f>
        <v>8</v>
      </c>
      <c r="Y10" s="399">
        <f>SUM(COUNTIF(D10:W10,"x"),COUNTIF(D10:W10,"B"))</f>
        <v>8</v>
      </c>
      <c r="Z10" s="1187" t="s">
        <v>581</v>
      </c>
      <c r="AA10" s="1188"/>
      <c r="AB10" s="1188"/>
      <c r="AC10" s="1190"/>
      <c r="AD10" s="1188"/>
      <c r="AE10" s="1188"/>
      <c r="AF10" s="1188"/>
      <c r="AG10" s="1154"/>
      <c r="AH10" s="658"/>
      <c r="AI10" s="658"/>
      <c r="AJ10" s="658"/>
      <c r="AK10" s="658"/>
      <c r="AL10" s="398">
        <f t="shared" ref="AL10" si="0">SUM(COUNTIF(Z10:AK10,"x"),COUNTIF(Z10:AK10,"A"))</f>
        <v>1</v>
      </c>
      <c r="AM10" s="399">
        <f t="shared" ref="AM10" si="1">SUM(COUNTIF(Z10:AK10,"x"),COUNTIF(Z10:AK10,"B"))</f>
        <v>1</v>
      </c>
      <c r="AN10" s="575"/>
    </row>
    <row r="11" spans="1:40" ht="18.75" x14ac:dyDescent="0.25">
      <c r="A11" s="143" t="s">
        <v>6</v>
      </c>
      <c r="B11" s="5" t="s">
        <v>506</v>
      </c>
      <c r="C11" s="42" t="s">
        <v>115</v>
      </c>
      <c r="D11" s="1187" t="s">
        <v>581</v>
      </c>
      <c r="E11" s="1187"/>
      <c r="F11" s="1187" t="s">
        <v>581</v>
      </c>
      <c r="G11" s="1187" t="s">
        <v>581</v>
      </c>
      <c r="H11" s="1187"/>
      <c r="I11" s="1187" t="s">
        <v>581</v>
      </c>
      <c r="J11" s="1188"/>
      <c r="K11" s="1188" t="s">
        <v>581</v>
      </c>
      <c r="L11" s="1188" t="s">
        <v>581</v>
      </c>
      <c r="M11" s="1188" t="s">
        <v>581</v>
      </c>
      <c r="N11" s="1188"/>
      <c r="O11" s="1188"/>
      <c r="P11" s="1188"/>
      <c r="Q11" s="1188"/>
      <c r="R11" s="936"/>
      <c r="S11" s="936"/>
      <c r="T11" s="935"/>
      <c r="U11" s="815"/>
      <c r="V11" s="815"/>
      <c r="W11" s="815"/>
      <c r="X11" s="398">
        <f t="shared" ref="X11:X25" si="2">SUM(COUNTIF(D11:W11,"x"),COUNTIF(D11:W11,"A"))</f>
        <v>7</v>
      </c>
      <c r="Y11" s="399">
        <f t="shared" ref="Y11:Y25" si="3">SUM(COUNTIF(D11:W11,"x"),COUNTIF(D11:W11,"B"))</f>
        <v>7</v>
      </c>
      <c r="Z11" s="1187" t="s">
        <v>581</v>
      </c>
      <c r="AA11" s="1188" t="s">
        <v>581</v>
      </c>
      <c r="AB11" s="1188"/>
      <c r="AC11" s="1188"/>
      <c r="AD11" s="1188"/>
      <c r="AE11" s="1188"/>
      <c r="AF11" s="1188"/>
      <c r="AG11" s="1154"/>
      <c r="AH11" s="658"/>
      <c r="AI11" s="658"/>
      <c r="AJ11" s="658"/>
      <c r="AK11" s="658"/>
      <c r="AL11" s="398">
        <f>SUM(COUNTIF(Z11:AK11,"x"),COUNTIF(Z11:AK11,"A"))</f>
        <v>2</v>
      </c>
      <c r="AM11" s="399">
        <f>SUM(COUNTIF(Z11:AK11,"x"),COUNTIF(Z11:AK11,"B"))</f>
        <v>2</v>
      </c>
      <c r="AN11" s="401"/>
    </row>
    <row r="12" spans="1:40" ht="18.75" x14ac:dyDescent="0.25">
      <c r="A12" s="143" t="s">
        <v>10</v>
      </c>
      <c r="B12" s="364" t="s">
        <v>357</v>
      </c>
      <c r="C12" s="396" t="s">
        <v>66</v>
      </c>
      <c r="D12" s="1187" t="s">
        <v>581</v>
      </c>
      <c r="E12" s="1187"/>
      <c r="F12" s="1187" t="s">
        <v>581</v>
      </c>
      <c r="G12" s="1188" t="s">
        <v>581</v>
      </c>
      <c r="H12" s="1187" t="s">
        <v>581</v>
      </c>
      <c r="I12" s="1187" t="s">
        <v>581</v>
      </c>
      <c r="J12" s="1188"/>
      <c r="K12" s="1188" t="s">
        <v>581</v>
      </c>
      <c r="L12" s="1188" t="s">
        <v>581</v>
      </c>
      <c r="M12" s="1188" t="s">
        <v>581</v>
      </c>
      <c r="N12" s="1188"/>
      <c r="O12" s="1188"/>
      <c r="P12" s="1188"/>
      <c r="Q12" s="1188"/>
      <c r="R12" s="936"/>
      <c r="S12" s="936"/>
      <c r="T12" s="935"/>
      <c r="U12" s="815"/>
      <c r="V12" s="815"/>
      <c r="W12" s="815"/>
      <c r="X12" s="398">
        <f t="shared" si="2"/>
        <v>8</v>
      </c>
      <c r="Y12" s="399">
        <f t="shared" si="3"/>
        <v>8</v>
      </c>
      <c r="Z12" s="1187" t="s">
        <v>581</v>
      </c>
      <c r="AA12" s="1188" t="s">
        <v>581</v>
      </c>
      <c r="AB12" s="1188" t="s">
        <v>581</v>
      </c>
      <c r="AC12" s="1188"/>
      <c r="AD12" s="1188"/>
      <c r="AE12" s="1188"/>
      <c r="AF12" s="1188"/>
      <c r="AG12" s="1154"/>
      <c r="AH12" s="658"/>
      <c r="AI12" s="658"/>
      <c r="AJ12" s="658"/>
      <c r="AK12" s="658"/>
      <c r="AL12" s="398">
        <f t="shared" ref="AL12:AL26" si="4">SUM(COUNTIF(Z12:AK12,"x"),COUNTIF(Z12:AK12,"A"))</f>
        <v>3</v>
      </c>
      <c r="AM12" s="399">
        <f t="shared" ref="AM12:AM26" si="5">SUM(COUNTIF(Z12:AK12,"x"),COUNTIF(Z12:AK12,"B"))</f>
        <v>3</v>
      </c>
      <c r="AN12" s="369"/>
    </row>
    <row r="13" spans="1:40" ht="18.75" x14ac:dyDescent="0.25">
      <c r="A13" s="143" t="s">
        <v>11</v>
      </c>
      <c r="B13" s="364" t="s">
        <v>358</v>
      </c>
      <c r="C13" s="402" t="s">
        <v>67</v>
      </c>
      <c r="D13" s="1187" t="s">
        <v>581</v>
      </c>
      <c r="E13" s="1187"/>
      <c r="F13" s="1187" t="s">
        <v>581</v>
      </c>
      <c r="G13" s="1188" t="s">
        <v>581</v>
      </c>
      <c r="H13" s="1187"/>
      <c r="I13" s="1187"/>
      <c r="J13" s="1188"/>
      <c r="K13" s="1188" t="s">
        <v>581</v>
      </c>
      <c r="L13" s="1188" t="s">
        <v>581</v>
      </c>
      <c r="M13" s="1188" t="s">
        <v>581</v>
      </c>
      <c r="N13" s="1188"/>
      <c r="O13" s="1188"/>
      <c r="P13" s="1188"/>
      <c r="Q13" s="1188"/>
      <c r="R13" s="936"/>
      <c r="S13" s="936"/>
      <c r="T13" s="935"/>
      <c r="U13" s="815"/>
      <c r="V13" s="815"/>
      <c r="W13" s="815"/>
      <c r="X13" s="398">
        <f t="shared" si="2"/>
        <v>6</v>
      </c>
      <c r="Y13" s="399">
        <f t="shared" si="3"/>
        <v>6</v>
      </c>
      <c r="Z13" s="1187" t="s">
        <v>581</v>
      </c>
      <c r="AA13" s="1188"/>
      <c r="AB13" s="1188"/>
      <c r="AC13" s="1188"/>
      <c r="AD13" s="1188"/>
      <c r="AE13" s="1188"/>
      <c r="AF13" s="1188" t="s">
        <v>581</v>
      </c>
      <c r="AG13" s="1154"/>
      <c r="AH13" s="658"/>
      <c r="AI13" s="658"/>
      <c r="AJ13" s="658"/>
      <c r="AK13" s="658"/>
      <c r="AL13" s="398">
        <f t="shared" si="4"/>
        <v>2</v>
      </c>
      <c r="AM13" s="399">
        <f t="shared" si="5"/>
        <v>2</v>
      </c>
      <c r="AN13" s="369"/>
    </row>
    <row r="14" spans="1:40" ht="28.5" customHeight="1" x14ac:dyDescent="0.25">
      <c r="A14" s="143" t="s">
        <v>12</v>
      </c>
      <c r="B14" s="364" t="s">
        <v>359</v>
      </c>
      <c r="C14" s="402" t="s">
        <v>68</v>
      </c>
      <c r="D14" s="1187" t="s">
        <v>581</v>
      </c>
      <c r="E14" s="1188"/>
      <c r="F14" s="1187" t="s">
        <v>581</v>
      </c>
      <c r="G14" s="1188" t="s">
        <v>581</v>
      </c>
      <c r="H14" s="1187"/>
      <c r="I14" s="1187"/>
      <c r="J14" s="1188"/>
      <c r="K14" s="1188" t="s">
        <v>581</v>
      </c>
      <c r="L14" s="1188" t="s">
        <v>581</v>
      </c>
      <c r="M14" s="1188" t="s">
        <v>581</v>
      </c>
      <c r="N14" s="1188"/>
      <c r="O14" s="1188"/>
      <c r="P14" s="1188"/>
      <c r="Q14" s="1188"/>
      <c r="R14" s="936"/>
      <c r="S14" s="936"/>
      <c r="T14" s="935"/>
      <c r="U14" s="815"/>
      <c r="V14" s="815"/>
      <c r="W14" s="815"/>
      <c r="X14" s="398">
        <f t="shared" si="2"/>
        <v>6</v>
      </c>
      <c r="Y14" s="399">
        <f t="shared" si="3"/>
        <v>6</v>
      </c>
      <c r="Z14" s="1187" t="s">
        <v>581</v>
      </c>
      <c r="AA14" s="1188"/>
      <c r="AB14" s="1188"/>
      <c r="AC14" s="1188"/>
      <c r="AD14" s="1188"/>
      <c r="AE14" s="1188"/>
      <c r="AF14" s="1188"/>
      <c r="AG14" s="1154"/>
      <c r="AH14" s="658"/>
      <c r="AI14" s="658"/>
      <c r="AJ14" s="658"/>
      <c r="AK14" s="658"/>
      <c r="AL14" s="398">
        <f t="shared" si="4"/>
        <v>1</v>
      </c>
      <c r="AM14" s="399">
        <f t="shared" si="5"/>
        <v>1</v>
      </c>
      <c r="AN14" s="369"/>
    </row>
    <row r="15" spans="1:40" ht="18.75" x14ac:dyDescent="0.25">
      <c r="A15" s="143" t="s">
        <v>13</v>
      </c>
      <c r="B15" s="364" t="s">
        <v>360</v>
      </c>
      <c r="C15" s="402" t="s">
        <v>365</v>
      </c>
      <c r="D15" s="1187" t="s">
        <v>581</v>
      </c>
      <c r="E15" s="1188"/>
      <c r="F15" s="1187"/>
      <c r="G15" s="1188" t="s">
        <v>581</v>
      </c>
      <c r="H15" s="1187"/>
      <c r="I15" s="1187"/>
      <c r="J15" s="1188"/>
      <c r="K15" s="1188"/>
      <c r="L15" s="1188" t="s">
        <v>581</v>
      </c>
      <c r="M15" s="1188"/>
      <c r="N15" s="1188"/>
      <c r="O15" s="1188"/>
      <c r="P15" s="1188"/>
      <c r="Q15" s="1188" t="s">
        <v>581</v>
      </c>
      <c r="R15" s="936"/>
      <c r="S15" s="936"/>
      <c r="T15" s="935"/>
      <c r="U15" s="815"/>
      <c r="V15" s="815"/>
      <c r="W15" s="815"/>
      <c r="X15" s="398">
        <f t="shared" si="2"/>
        <v>4</v>
      </c>
      <c r="Y15" s="399">
        <f t="shared" si="3"/>
        <v>4</v>
      </c>
      <c r="Z15" s="1187"/>
      <c r="AA15" s="1188"/>
      <c r="AB15" s="1188"/>
      <c r="AC15" s="1188"/>
      <c r="AD15" s="1188"/>
      <c r="AE15" s="1188"/>
      <c r="AF15" s="1188" t="s">
        <v>581</v>
      </c>
      <c r="AG15" s="1154"/>
      <c r="AH15" s="658"/>
      <c r="AI15" s="658"/>
      <c r="AJ15" s="660"/>
      <c r="AK15" s="658"/>
      <c r="AL15" s="398">
        <f t="shared" si="4"/>
        <v>1</v>
      </c>
      <c r="AM15" s="399">
        <f t="shared" si="5"/>
        <v>1</v>
      </c>
      <c r="AN15" s="369"/>
    </row>
    <row r="16" spans="1:40" ht="18.75" x14ac:dyDescent="0.25">
      <c r="A16" s="143" t="s">
        <v>14</v>
      </c>
      <c r="B16" s="364" t="s">
        <v>361</v>
      </c>
      <c r="C16" s="402" t="s">
        <v>69</v>
      </c>
      <c r="D16" s="1187" t="s">
        <v>581</v>
      </c>
      <c r="E16" s="1188"/>
      <c r="F16" s="1187"/>
      <c r="G16" s="1188" t="s">
        <v>581</v>
      </c>
      <c r="H16" s="1187"/>
      <c r="I16" s="1187"/>
      <c r="J16" s="1188"/>
      <c r="K16" s="1188" t="s">
        <v>581</v>
      </c>
      <c r="L16" s="1188"/>
      <c r="M16" s="1188"/>
      <c r="N16" s="1188"/>
      <c r="O16" s="1188"/>
      <c r="P16" s="1188"/>
      <c r="Q16" s="1188"/>
      <c r="R16" s="936"/>
      <c r="S16" s="936"/>
      <c r="T16" s="935"/>
      <c r="U16" s="815"/>
      <c r="V16" s="815"/>
      <c r="W16" s="815"/>
      <c r="X16" s="398">
        <f t="shared" si="2"/>
        <v>3</v>
      </c>
      <c r="Y16" s="399">
        <f t="shared" si="3"/>
        <v>3</v>
      </c>
      <c r="Z16" s="1187" t="s">
        <v>581</v>
      </c>
      <c r="AA16" s="1188" t="s">
        <v>581</v>
      </c>
      <c r="AB16" s="1188"/>
      <c r="AC16" s="1188"/>
      <c r="AD16" s="1188"/>
      <c r="AE16" s="1188"/>
      <c r="AF16" s="1188"/>
      <c r="AG16" s="1154"/>
      <c r="AH16" s="658"/>
      <c r="AI16" s="658"/>
      <c r="AJ16" s="658"/>
      <c r="AK16" s="658"/>
      <c r="AL16" s="398">
        <f t="shared" si="4"/>
        <v>2</v>
      </c>
      <c r="AM16" s="399">
        <f t="shared" si="5"/>
        <v>2</v>
      </c>
      <c r="AN16" s="369"/>
    </row>
    <row r="17" spans="1:40" ht="18.75" x14ac:dyDescent="0.25">
      <c r="A17" s="143" t="s">
        <v>15</v>
      </c>
      <c r="B17" s="364" t="s">
        <v>362</v>
      </c>
      <c r="C17" s="402" t="s">
        <v>70</v>
      </c>
      <c r="D17" s="1187" t="s">
        <v>581</v>
      </c>
      <c r="E17" s="1188" t="s">
        <v>581</v>
      </c>
      <c r="F17" s="1187"/>
      <c r="G17" s="1188" t="s">
        <v>581</v>
      </c>
      <c r="H17" s="1187"/>
      <c r="I17" s="1187"/>
      <c r="J17" s="1188"/>
      <c r="K17" s="1188" t="s">
        <v>581</v>
      </c>
      <c r="L17" s="1188" t="s">
        <v>581</v>
      </c>
      <c r="M17" s="1188" t="s">
        <v>581</v>
      </c>
      <c r="N17" s="1188"/>
      <c r="O17" s="1188"/>
      <c r="P17" s="1188"/>
      <c r="Q17" s="1188"/>
      <c r="R17" s="936"/>
      <c r="S17" s="936"/>
      <c r="T17" s="935"/>
      <c r="U17" s="815"/>
      <c r="V17" s="815"/>
      <c r="W17" s="815"/>
      <c r="X17" s="398">
        <f t="shared" si="2"/>
        <v>6</v>
      </c>
      <c r="Y17" s="399">
        <f t="shared" si="3"/>
        <v>6</v>
      </c>
      <c r="Z17" s="1187" t="s">
        <v>581</v>
      </c>
      <c r="AA17" s="1188"/>
      <c r="AB17" s="1188"/>
      <c r="AC17" s="1188"/>
      <c r="AD17" s="1188"/>
      <c r="AE17" s="1188"/>
      <c r="AF17" s="1188" t="s">
        <v>581</v>
      </c>
      <c r="AG17" s="1154"/>
      <c r="AH17" s="658"/>
      <c r="AI17" s="658"/>
      <c r="AJ17" s="658"/>
      <c r="AK17" s="658"/>
      <c r="AL17" s="398">
        <f t="shared" si="4"/>
        <v>2</v>
      </c>
      <c r="AM17" s="399">
        <f t="shared" si="5"/>
        <v>2</v>
      </c>
      <c r="AN17" s="369"/>
    </row>
    <row r="18" spans="1:40" ht="30" customHeight="1" x14ac:dyDescent="0.25">
      <c r="A18" s="143" t="s">
        <v>16</v>
      </c>
      <c r="B18" s="364" t="s">
        <v>363</v>
      </c>
      <c r="C18" s="402" t="s">
        <v>366</v>
      </c>
      <c r="D18" s="1187" t="s">
        <v>581</v>
      </c>
      <c r="E18" s="1188"/>
      <c r="F18" s="1187"/>
      <c r="G18" s="1188" t="s">
        <v>581</v>
      </c>
      <c r="H18" s="1187"/>
      <c r="I18" s="1187"/>
      <c r="J18" s="1188"/>
      <c r="K18" s="1188"/>
      <c r="L18" s="1188" t="s">
        <v>581</v>
      </c>
      <c r="M18" s="1188"/>
      <c r="N18" s="1188"/>
      <c r="O18" s="1188"/>
      <c r="P18" s="1188"/>
      <c r="Q18" s="1188" t="s">
        <v>581</v>
      </c>
      <c r="R18" s="936"/>
      <c r="S18" s="936"/>
      <c r="T18" s="935"/>
      <c r="U18" s="815"/>
      <c r="V18" s="815"/>
      <c r="W18" s="815"/>
      <c r="X18" s="398">
        <f t="shared" si="2"/>
        <v>4</v>
      </c>
      <c r="Y18" s="399">
        <f t="shared" si="3"/>
        <v>4</v>
      </c>
      <c r="Z18" s="1187"/>
      <c r="AA18" s="1188" t="s">
        <v>581</v>
      </c>
      <c r="AB18" s="1188"/>
      <c r="AC18" s="1188"/>
      <c r="AD18" s="1188"/>
      <c r="AE18" s="1188"/>
      <c r="AF18" s="1188"/>
      <c r="AG18" s="1154"/>
      <c r="AH18" s="658"/>
      <c r="AI18" s="658"/>
      <c r="AJ18" s="658"/>
      <c r="AK18" s="658"/>
      <c r="AL18" s="398">
        <f t="shared" si="4"/>
        <v>1</v>
      </c>
      <c r="AM18" s="399">
        <f t="shared" si="5"/>
        <v>1</v>
      </c>
      <c r="AN18" s="369"/>
    </row>
    <row r="19" spans="1:40" ht="18.75" x14ac:dyDescent="0.25">
      <c r="A19" s="143" t="s">
        <v>17</v>
      </c>
      <c r="B19" s="364" t="s">
        <v>364</v>
      </c>
      <c r="C19" s="402" t="s">
        <v>71</v>
      </c>
      <c r="D19" s="1187" t="s">
        <v>581</v>
      </c>
      <c r="E19" s="1188"/>
      <c r="F19" s="1187"/>
      <c r="G19" s="1188" t="s">
        <v>581</v>
      </c>
      <c r="H19" s="1187"/>
      <c r="I19" s="1187"/>
      <c r="J19" s="1188" t="s">
        <v>581</v>
      </c>
      <c r="K19" s="1188" t="s">
        <v>581</v>
      </c>
      <c r="L19" s="1188" t="s">
        <v>581</v>
      </c>
      <c r="M19" s="1188"/>
      <c r="N19" s="1188"/>
      <c r="O19" s="1188"/>
      <c r="P19" s="1188"/>
      <c r="Q19" s="1188"/>
      <c r="R19" s="936"/>
      <c r="S19" s="936"/>
      <c r="T19" s="935"/>
      <c r="U19" s="815"/>
      <c r="V19" s="815"/>
      <c r="W19" s="815"/>
      <c r="X19" s="398">
        <f t="shared" ref="X19" si="6">SUM(COUNTIF(D19:W19,"x"),COUNTIF(D19:W19,"A"))</f>
        <v>5</v>
      </c>
      <c r="Y19" s="399">
        <f t="shared" ref="Y19" si="7">SUM(COUNTIF(D19:W19,"x"),COUNTIF(D19:W19,"B"))</f>
        <v>5</v>
      </c>
      <c r="Z19" s="1187"/>
      <c r="AA19" s="1188"/>
      <c r="AB19" s="1188"/>
      <c r="AC19" s="1188"/>
      <c r="AD19" s="1188"/>
      <c r="AE19" s="1188"/>
      <c r="AF19" s="1188"/>
      <c r="AG19" s="1154"/>
      <c r="AH19" s="658"/>
      <c r="AI19" s="658"/>
      <c r="AJ19" s="658"/>
      <c r="AK19" s="658"/>
      <c r="AL19" s="398">
        <f t="shared" ref="AL19" si="8">SUM(COUNTIF(Z19:AK19,"x"),COUNTIF(Z19:AK19,"A"))</f>
        <v>0</v>
      </c>
      <c r="AM19" s="399">
        <f t="shared" ref="AM19" si="9">SUM(COUNTIF(Z19:AK19,"x"),COUNTIF(Z19:AK19,"B"))</f>
        <v>0</v>
      </c>
      <c r="AN19" s="369"/>
    </row>
    <row r="20" spans="1:40" ht="18.75" x14ac:dyDescent="0.25">
      <c r="A20" s="143" t="s">
        <v>18</v>
      </c>
      <c r="B20" s="44" t="s">
        <v>148</v>
      </c>
      <c r="C20" s="26" t="s">
        <v>92</v>
      </c>
      <c r="D20" s="1187"/>
      <c r="E20" s="1188"/>
      <c r="F20" s="1187"/>
      <c r="G20" s="1188" t="s">
        <v>581</v>
      </c>
      <c r="H20" s="1187"/>
      <c r="I20" s="1187"/>
      <c r="J20" s="1188"/>
      <c r="K20" s="1188" t="s">
        <v>581</v>
      </c>
      <c r="L20" s="1188" t="s">
        <v>581</v>
      </c>
      <c r="M20" s="1188"/>
      <c r="N20" s="1188"/>
      <c r="O20" s="1188"/>
      <c r="P20" s="1188"/>
      <c r="Q20" s="1188"/>
      <c r="R20" s="936"/>
      <c r="S20" s="936"/>
      <c r="T20" s="935"/>
      <c r="U20" s="815"/>
      <c r="V20" s="815"/>
      <c r="W20" s="815"/>
      <c r="X20" s="398">
        <f t="shared" si="2"/>
        <v>3</v>
      </c>
      <c r="Y20" s="399">
        <f t="shared" si="3"/>
        <v>3</v>
      </c>
      <c r="Z20" s="1187"/>
      <c r="AA20" s="1188"/>
      <c r="AB20" s="1188"/>
      <c r="AC20" s="1188"/>
      <c r="AD20" s="1188"/>
      <c r="AE20" s="1188"/>
      <c r="AF20" s="1188" t="s">
        <v>581</v>
      </c>
      <c r="AG20" s="1154"/>
      <c r="AH20" s="658"/>
      <c r="AI20" s="658"/>
      <c r="AJ20" s="658"/>
      <c r="AK20" s="658"/>
      <c r="AL20" s="398">
        <f t="shared" si="4"/>
        <v>1</v>
      </c>
      <c r="AM20" s="399">
        <f t="shared" si="5"/>
        <v>1</v>
      </c>
      <c r="AN20" s="369"/>
    </row>
    <row r="21" spans="1:40" ht="18.75" x14ac:dyDescent="0.25">
      <c r="A21" s="362" t="s">
        <v>577</v>
      </c>
      <c r="B21" s="364"/>
      <c r="C21" s="396"/>
      <c r="D21" s="1187"/>
      <c r="E21" s="1188"/>
      <c r="F21" s="1187"/>
      <c r="G21" s="1188"/>
      <c r="H21" s="1187"/>
      <c r="I21" s="1187"/>
      <c r="J21" s="1188"/>
      <c r="K21" s="1188"/>
      <c r="L21" s="1188"/>
      <c r="M21" s="1188"/>
      <c r="N21" s="1188"/>
      <c r="O21" s="1188"/>
      <c r="P21" s="1188"/>
      <c r="Q21" s="1188"/>
      <c r="R21" s="936"/>
      <c r="S21" s="936"/>
      <c r="T21" s="935"/>
      <c r="U21" s="816"/>
      <c r="V21" s="816"/>
      <c r="W21" s="816"/>
      <c r="X21" s="398">
        <f t="shared" si="2"/>
        <v>0</v>
      </c>
      <c r="Y21" s="399">
        <f t="shared" si="3"/>
        <v>0</v>
      </c>
      <c r="Z21" s="1187"/>
      <c r="AA21" s="1188"/>
      <c r="AB21" s="1188"/>
      <c r="AC21" s="1188"/>
      <c r="AD21" s="1188"/>
      <c r="AE21" s="1188"/>
      <c r="AF21" s="1188"/>
      <c r="AG21" s="1154"/>
      <c r="AH21" s="658"/>
      <c r="AI21" s="658"/>
      <c r="AJ21" s="659"/>
      <c r="AK21" s="659"/>
      <c r="AL21" s="398">
        <f t="shared" si="4"/>
        <v>0</v>
      </c>
      <c r="AM21" s="399">
        <f t="shared" si="5"/>
        <v>0</v>
      </c>
      <c r="AN21" s="369"/>
    </row>
    <row r="22" spans="1:40" ht="18.75" x14ac:dyDescent="0.25">
      <c r="A22" s="143" t="s">
        <v>12</v>
      </c>
      <c r="B22" s="364" t="s">
        <v>1131</v>
      </c>
      <c r="C22" s="396" t="s">
        <v>1132</v>
      </c>
      <c r="D22" s="1187"/>
      <c r="E22" s="1188"/>
      <c r="F22" s="1187"/>
      <c r="G22" s="1188"/>
      <c r="H22" s="1187"/>
      <c r="I22" s="1187"/>
      <c r="J22" s="1188"/>
      <c r="K22" s="1188"/>
      <c r="L22" s="1188" t="s">
        <v>581</v>
      </c>
      <c r="M22" s="1188"/>
      <c r="N22" s="1188"/>
      <c r="O22" s="1188"/>
      <c r="P22" s="1188"/>
      <c r="Q22" s="1188"/>
      <c r="R22" s="936"/>
      <c r="S22" s="936"/>
      <c r="T22" s="935"/>
      <c r="U22" s="815"/>
      <c r="V22" s="815"/>
      <c r="W22" s="815"/>
      <c r="X22" s="398">
        <f>SUM(COUNTIF(D22:W22,"x"),COUNTIF(D22:W22,"A"))</f>
        <v>1</v>
      </c>
      <c r="Y22" s="399">
        <f>SUM(COUNTIF(D22:W22,"x"),COUNTIF(D22:W22,"B"))</f>
        <v>1</v>
      </c>
      <c r="Z22" s="1187"/>
      <c r="AA22" s="1188"/>
      <c r="AB22" s="1188"/>
      <c r="AC22" s="1188"/>
      <c r="AD22" s="1188"/>
      <c r="AE22" s="1188"/>
      <c r="AF22" s="1188" t="s">
        <v>581</v>
      </c>
      <c r="AG22" s="1154"/>
      <c r="AH22" s="767"/>
      <c r="AI22" s="767"/>
      <c r="AJ22" s="768"/>
      <c r="AK22" s="767"/>
      <c r="AL22" s="398">
        <f t="shared" ref="AL22" si="10">SUM(COUNTIF(Z22:AK22,"x"),COUNTIF(Z22:AK22,"A"))</f>
        <v>1</v>
      </c>
      <c r="AM22" s="399">
        <f t="shared" ref="AM22" si="11">SUM(COUNTIF(Z22:AK22,"x"),COUNTIF(Z22:AK22,"B"))</f>
        <v>1</v>
      </c>
      <c r="AN22" s="760"/>
    </row>
    <row r="23" spans="1:40" ht="18.75" x14ac:dyDescent="0.25">
      <c r="A23" s="143" t="s">
        <v>5</v>
      </c>
      <c r="B23" s="364" t="s">
        <v>367</v>
      </c>
      <c r="C23" s="396" t="s">
        <v>78</v>
      </c>
      <c r="D23" s="1187" t="s">
        <v>581</v>
      </c>
      <c r="E23" s="1188"/>
      <c r="F23" s="1187"/>
      <c r="G23" s="1188" t="s">
        <v>581</v>
      </c>
      <c r="H23" s="1187"/>
      <c r="I23" s="1187"/>
      <c r="J23" s="1188"/>
      <c r="K23" s="1188" t="s">
        <v>581</v>
      </c>
      <c r="L23" s="1188"/>
      <c r="M23" s="1188" t="s">
        <v>581</v>
      </c>
      <c r="N23" s="1188"/>
      <c r="O23" s="1188"/>
      <c r="P23" s="1188"/>
      <c r="Q23" s="1188"/>
      <c r="R23" s="936"/>
      <c r="S23" s="936"/>
      <c r="T23" s="935"/>
      <c r="U23" s="815"/>
      <c r="V23" s="815"/>
      <c r="W23" s="815"/>
      <c r="X23" s="398">
        <f t="shared" si="2"/>
        <v>4</v>
      </c>
      <c r="Y23" s="399">
        <f t="shared" si="3"/>
        <v>4</v>
      </c>
      <c r="Z23" s="1187"/>
      <c r="AA23" s="1188"/>
      <c r="AB23" s="1188"/>
      <c r="AC23" s="1188"/>
      <c r="AD23" s="1188"/>
      <c r="AE23" s="1188"/>
      <c r="AF23" s="1188"/>
      <c r="AG23" s="1154"/>
      <c r="AH23" s="658"/>
      <c r="AI23" s="658"/>
      <c r="AJ23" s="658"/>
      <c r="AK23" s="658"/>
      <c r="AL23" s="398">
        <f t="shared" si="4"/>
        <v>0</v>
      </c>
      <c r="AM23" s="399">
        <f t="shared" si="5"/>
        <v>0</v>
      </c>
      <c r="AN23" s="369"/>
    </row>
    <row r="24" spans="1:40" ht="18.75" x14ac:dyDescent="0.25">
      <c r="A24" s="143" t="s">
        <v>6</v>
      </c>
      <c r="B24" s="364" t="s">
        <v>368</v>
      </c>
      <c r="C24" s="396" t="s">
        <v>79</v>
      </c>
      <c r="D24" s="1187" t="s">
        <v>581</v>
      </c>
      <c r="E24" s="1187" t="s">
        <v>581</v>
      </c>
      <c r="F24" s="1187"/>
      <c r="G24" s="1188" t="s">
        <v>581</v>
      </c>
      <c r="H24" s="1187"/>
      <c r="I24" s="1187"/>
      <c r="J24" s="1188" t="s">
        <v>581</v>
      </c>
      <c r="K24" s="1188" t="s">
        <v>581</v>
      </c>
      <c r="L24" s="1188"/>
      <c r="M24" s="1188" t="s">
        <v>581</v>
      </c>
      <c r="N24" s="1188"/>
      <c r="O24" s="1188"/>
      <c r="P24" s="1188"/>
      <c r="Q24" s="1188"/>
      <c r="R24" s="936"/>
      <c r="S24" s="936"/>
      <c r="T24" s="935"/>
      <c r="U24" s="815"/>
      <c r="V24" s="815"/>
      <c r="W24" s="815"/>
      <c r="X24" s="398">
        <f t="shared" si="2"/>
        <v>6</v>
      </c>
      <c r="Y24" s="399">
        <f t="shared" si="3"/>
        <v>6</v>
      </c>
      <c r="Z24" s="1187"/>
      <c r="AA24" s="1188" t="s">
        <v>581</v>
      </c>
      <c r="AB24" s="1188" t="s">
        <v>581</v>
      </c>
      <c r="AC24" s="1188"/>
      <c r="AD24" s="1188"/>
      <c r="AE24" s="1188" t="s">
        <v>581</v>
      </c>
      <c r="AF24" s="1188"/>
      <c r="AG24" s="1154"/>
      <c r="AH24" s="658"/>
      <c r="AI24" s="658"/>
      <c r="AJ24" s="658"/>
      <c r="AK24" s="658"/>
      <c r="AL24" s="398">
        <f t="shared" si="4"/>
        <v>3</v>
      </c>
      <c r="AM24" s="399">
        <f t="shared" si="5"/>
        <v>3</v>
      </c>
      <c r="AN24" s="29"/>
    </row>
    <row r="25" spans="1:40" ht="18.75" x14ac:dyDescent="0.25">
      <c r="A25" s="143" t="s">
        <v>10</v>
      </c>
      <c r="B25" s="364" t="s">
        <v>369</v>
      </c>
      <c r="C25" s="396" t="s">
        <v>80</v>
      </c>
      <c r="D25" s="1187" t="s">
        <v>581</v>
      </c>
      <c r="E25" s="1188" t="s">
        <v>581</v>
      </c>
      <c r="F25" s="1187"/>
      <c r="G25" s="1188" t="s">
        <v>581</v>
      </c>
      <c r="H25" s="1187"/>
      <c r="I25" s="1187"/>
      <c r="J25" s="1188"/>
      <c r="K25" s="1188" t="s">
        <v>581</v>
      </c>
      <c r="L25" s="1188" t="s">
        <v>581</v>
      </c>
      <c r="M25" s="1188"/>
      <c r="N25" s="1188"/>
      <c r="O25" s="1188"/>
      <c r="P25" s="1188"/>
      <c r="Q25" s="1188"/>
      <c r="R25" s="936"/>
      <c r="S25" s="936"/>
      <c r="T25" s="935"/>
      <c r="U25" s="815"/>
      <c r="V25" s="815"/>
      <c r="W25" s="815"/>
      <c r="X25" s="398">
        <f t="shared" si="2"/>
        <v>5</v>
      </c>
      <c r="Y25" s="399">
        <f t="shared" si="3"/>
        <v>5</v>
      </c>
      <c r="Z25" s="1187"/>
      <c r="AA25" s="1188" t="s">
        <v>581</v>
      </c>
      <c r="AB25" s="1188"/>
      <c r="AC25" s="1188" t="s">
        <v>581</v>
      </c>
      <c r="AD25" s="1188" t="s">
        <v>581</v>
      </c>
      <c r="AE25" s="1188"/>
      <c r="AF25" s="1188" t="s">
        <v>581</v>
      </c>
      <c r="AG25" s="1154"/>
      <c r="AH25" s="658"/>
      <c r="AI25" s="658"/>
      <c r="AJ25" s="660"/>
      <c r="AK25" s="658"/>
      <c r="AL25" s="398">
        <f t="shared" si="4"/>
        <v>4</v>
      </c>
      <c r="AM25" s="399">
        <f t="shared" si="5"/>
        <v>4</v>
      </c>
      <c r="AN25" s="369"/>
    </row>
    <row r="26" spans="1:40" ht="18.75" x14ac:dyDescent="0.25">
      <c r="A26" s="143" t="s">
        <v>11</v>
      </c>
      <c r="B26" s="364" t="s">
        <v>370</v>
      </c>
      <c r="C26" s="396" t="s">
        <v>81</v>
      </c>
      <c r="D26" s="1187" t="s">
        <v>581</v>
      </c>
      <c r="E26" s="1188"/>
      <c r="F26" s="1187"/>
      <c r="G26" s="1188"/>
      <c r="H26" s="1187"/>
      <c r="I26" s="1187"/>
      <c r="J26" s="1188"/>
      <c r="K26" s="1188" t="s">
        <v>581</v>
      </c>
      <c r="L26" s="1188" t="s">
        <v>581</v>
      </c>
      <c r="M26" s="1188" t="s">
        <v>581</v>
      </c>
      <c r="N26" s="1188" t="s">
        <v>581</v>
      </c>
      <c r="O26" s="1188" t="s">
        <v>581</v>
      </c>
      <c r="P26" s="1188" t="s">
        <v>581</v>
      </c>
      <c r="Q26" s="1188"/>
      <c r="R26" s="936"/>
      <c r="S26" s="936"/>
      <c r="T26" s="935"/>
      <c r="U26" s="815"/>
      <c r="V26" s="815"/>
      <c r="W26" s="815"/>
      <c r="X26" s="398">
        <f>SUM(COUNTIF(D26:W26,"x"),COUNTIF(D26:W26,"A"))</f>
        <v>7</v>
      </c>
      <c r="Y26" s="399">
        <f>SUM(COUNTIF(D26:W26,"x"),COUNTIF(D26:W26,"B"))</f>
        <v>7</v>
      </c>
      <c r="Z26" s="1187"/>
      <c r="AA26" s="1188"/>
      <c r="AB26" s="1188"/>
      <c r="AC26" s="1188"/>
      <c r="AD26" s="1188"/>
      <c r="AE26" s="1188"/>
      <c r="AF26" s="1188" t="s">
        <v>581</v>
      </c>
      <c r="AG26" s="1154"/>
      <c r="AH26" s="767"/>
      <c r="AI26" s="767"/>
      <c r="AJ26" s="768"/>
      <c r="AK26" s="767"/>
      <c r="AL26" s="398">
        <f t="shared" si="4"/>
        <v>1</v>
      </c>
      <c r="AM26" s="399">
        <f t="shared" si="5"/>
        <v>1</v>
      </c>
      <c r="AN26" s="760"/>
    </row>
    <row r="27" spans="1:40" x14ac:dyDescent="0.25">
      <c r="A27" s="374"/>
      <c r="B27" s="374"/>
      <c r="C27" s="374"/>
      <c r="D27" s="374">
        <f t="shared" ref="D27:W27" si="12">COUNTIF(D10:D26,"x")</f>
        <v>14</v>
      </c>
      <c r="E27" s="374">
        <f t="shared" si="12"/>
        <v>3</v>
      </c>
      <c r="F27" s="374">
        <f t="shared" si="12"/>
        <v>5</v>
      </c>
      <c r="G27" s="374">
        <f t="shared" si="12"/>
        <v>14</v>
      </c>
      <c r="H27" s="374">
        <f t="shared" si="12"/>
        <v>2</v>
      </c>
      <c r="I27" s="374">
        <f t="shared" si="12"/>
        <v>3</v>
      </c>
      <c r="J27" s="374">
        <f t="shared" si="12"/>
        <v>2</v>
      </c>
      <c r="K27" s="374">
        <f t="shared" si="12"/>
        <v>13</v>
      </c>
      <c r="L27" s="374">
        <f t="shared" si="12"/>
        <v>13</v>
      </c>
      <c r="M27" s="374">
        <f t="shared" si="12"/>
        <v>9</v>
      </c>
      <c r="N27" s="374">
        <f t="shared" si="12"/>
        <v>1</v>
      </c>
      <c r="O27" s="374">
        <f t="shared" si="12"/>
        <v>1</v>
      </c>
      <c r="P27" s="374">
        <f t="shared" si="12"/>
        <v>1</v>
      </c>
      <c r="Q27" s="374">
        <f t="shared" si="12"/>
        <v>2</v>
      </c>
      <c r="R27" s="374">
        <f t="shared" si="12"/>
        <v>0</v>
      </c>
      <c r="S27" s="374">
        <f t="shared" si="12"/>
        <v>0</v>
      </c>
      <c r="T27" s="374">
        <f t="shared" si="12"/>
        <v>0</v>
      </c>
      <c r="U27" s="374">
        <f t="shared" si="12"/>
        <v>0</v>
      </c>
      <c r="V27" s="374">
        <f t="shared" si="12"/>
        <v>0</v>
      </c>
      <c r="W27" s="374">
        <f t="shared" si="12"/>
        <v>0</v>
      </c>
      <c r="X27" s="374"/>
      <c r="Y27" s="374"/>
      <c r="Z27" s="374">
        <f t="shared" ref="Z27:AK27" si="13">COUNTIF(Z10:Z26,"x")</f>
        <v>7</v>
      </c>
      <c r="AA27" s="374">
        <f t="shared" si="13"/>
        <v>6</v>
      </c>
      <c r="AB27" s="374">
        <f t="shared" si="13"/>
        <v>2</v>
      </c>
      <c r="AC27" s="374">
        <f t="shared" si="13"/>
        <v>1</v>
      </c>
      <c r="AD27" s="374">
        <f t="shared" si="13"/>
        <v>1</v>
      </c>
      <c r="AE27" s="374">
        <f t="shared" si="13"/>
        <v>1</v>
      </c>
      <c r="AF27" s="374">
        <f t="shared" si="13"/>
        <v>7</v>
      </c>
      <c r="AG27" s="374">
        <f t="shared" si="13"/>
        <v>0</v>
      </c>
      <c r="AH27" s="374">
        <f t="shared" si="13"/>
        <v>0</v>
      </c>
      <c r="AI27" s="374">
        <f t="shared" si="13"/>
        <v>0</v>
      </c>
      <c r="AJ27" s="374">
        <f t="shared" si="13"/>
        <v>0</v>
      </c>
      <c r="AK27" s="374">
        <f t="shared" si="13"/>
        <v>0</v>
      </c>
      <c r="AL27" s="374"/>
      <c r="AM27" s="374"/>
      <c r="AN27" s="374"/>
    </row>
    <row r="28" spans="1:40" x14ac:dyDescent="0.25">
      <c r="A28" s="1395" t="s">
        <v>578</v>
      </c>
      <c r="B28" s="1395"/>
      <c r="C28" s="1395"/>
      <c r="D28" s="1395"/>
      <c r="E28" s="1395"/>
      <c r="F28" s="1395"/>
      <c r="G28" s="1395"/>
      <c r="H28" s="1395"/>
      <c r="I28" s="1395"/>
      <c r="J28" s="1395"/>
      <c r="K28" s="1395"/>
      <c r="L28" s="1395"/>
      <c r="M28" s="1395"/>
      <c r="N28" s="1395"/>
      <c r="O28" s="1395"/>
      <c r="P28" s="1395"/>
      <c r="Q28" s="1395"/>
      <c r="R28" s="1395"/>
      <c r="S28" s="1395"/>
      <c r="T28" s="1395"/>
      <c r="U28" s="1395"/>
      <c r="V28" s="1395"/>
      <c r="W28" s="1395"/>
      <c r="X28" s="1395"/>
      <c r="Y28" s="1395"/>
      <c r="Z28" s="1395"/>
      <c r="AA28" s="1395"/>
      <c r="AB28" s="1395"/>
      <c r="AC28" s="1395"/>
      <c r="AD28" s="1395"/>
      <c r="AE28" s="1395"/>
      <c r="AF28" s="1395"/>
      <c r="AG28" s="1395"/>
      <c r="AH28" s="1395"/>
      <c r="AI28" s="1395"/>
      <c r="AJ28" s="1395"/>
      <c r="AK28" s="1395"/>
      <c r="AL28" s="1395"/>
      <c r="AM28" s="1395"/>
      <c r="AN28" s="1395"/>
    </row>
    <row r="29" spans="1:40" ht="17.25" x14ac:dyDescent="0.3">
      <c r="A29" s="375"/>
      <c r="C29" s="375"/>
      <c r="D29" s="376"/>
      <c r="E29" s="377"/>
      <c r="F29" s="377"/>
      <c r="G29" s="377"/>
      <c r="H29" s="377"/>
      <c r="I29" s="377"/>
      <c r="J29" s="377"/>
      <c r="K29" s="377"/>
      <c r="L29" s="377"/>
      <c r="M29" s="377"/>
      <c r="N29" s="377"/>
      <c r="O29" s="377"/>
      <c r="P29" s="377"/>
      <c r="Q29" s="377"/>
      <c r="R29" s="377"/>
      <c r="S29" s="377"/>
      <c r="T29" s="377"/>
      <c r="U29" s="377"/>
      <c r="V29" s="377"/>
      <c r="W29" s="377"/>
      <c r="X29" s="377"/>
      <c r="Y29" s="377"/>
      <c r="Z29" s="224"/>
      <c r="AA29" s="224"/>
      <c r="AB29" s="1399" t="str">
        <f>'P.KH-TC'!P22</f>
        <v>TP. HCM, ngày 2 tháng 11 năm 2023</v>
      </c>
      <c r="AC29" s="1399"/>
      <c r="AD29" s="1399"/>
      <c r="AE29" s="1399"/>
      <c r="AF29" s="1399"/>
      <c r="AG29" s="1399"/>
      <c r="AH29" s="1399"/>
      <c r="AI29" s="224"/>
      <c r="AJ29" s="224"/>
      <c r="AK29" s="224"/>
      <c r="AL29" s="224"/>
      <c r="AM29" s="224"/>
      <c r="AN29" s="224"/>
    </row>
    <row r="30" spans="1:40" ht="17.25" x14ac:dyDescent="0.3">
      <c r="A30" s="375"/>
      <c r="C30" s="375"/>
      <c r="D30" s="376"/>
      <c r="AB30" s="1403" t="s">
        <v>579</v>
      </c>
      <c r="AC30" s="1403"/>
      <c r="AD30" s="1403"/>
      <c r="AE30" s="1403"/>
      <c r="AF30" s="1403"/>
      <c r="AG30" s="1403"/>
      <c r="AH30" s="1403"/>
      <c r="AI30" s="1403"/>
      <c r="AJ30" s="1403"/>
      <c r="AK30" s="403"/>
      <c r="AL30" s="403"/>
      <c r="AM30" s="403"/>
      <c r="AN30" s="403"/>
    </row>
    <row r="31" spans="1:40" ht="18.75" x14ac:dyDescent="0.3">
      <c r="B31" s="381" t="s">
        <v>805</v>
      </c>
      <c r="C31" s="382" t="s">
        <v>802</v>
      </c>
    </row>
    <row r="32" spans="1:40" ht="18.75" x14ac:dyDescent="0.3">
      <c r="B32" s="382" t="s">
        <v>803</v>
      </c>
      <c r="C32" s="382" t="s">
        <v>804</v>
      </c>
    </row>
    <row r="36" spans="28:40" ht="16.5" x14ac:dyDescent="0.25">
      <c r="AB36" s="1403" t="s">
        <v>355</v>
      </c>
      <c r="AC36" s="1403"/>
      <c r="AD36" s="1403"/>
      <c r="AE36" s="1403"/>
      <c r="AF36" s="1403"/>
      <c r="AG36" s="1403"/>
      <c r="AH36" s="1403"/>
      <c r="AI36" s="1403"/>
      <c r="AJ36" s="1403"/>
      <c r="AK36" s="403"/>
      <c r="AL36" s="403"/>
      <c r="AM36" s="403"/>
      <c r="AN36" s="403"/>
    </row>
  </sheetData>
  <mergeCells count="15">
    <mergeCell ref="AB30:AJ30"/>
    <mergeCell ref="AB36:AJ36"/>
    <mergeCell ref="A28:AN28"/>
    <mergeCell ref="AB29:AH29"/>
    <mergeCell ref="A1:C1"/>
    <mergeCell ref="Z1:AN1"/>
    <mergeCell ref="A2:C2"/>
    <mergeCell ref="Z2:AN2"/>
    <mergeCell ref="A3:C3"/>
    <mergeCell ref="Z7:AK7"/>
    <mergeCell ref="AN7:AN9"/>
    <mergeCell ref="B7:C7"/>
    <mergeCell ref="A5:AN5"/>
    <mergeCell ref="A7:A8"/>
    <mergeCell ref="D7:Q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H46"/>
  <sheetViews>
    <sheetView showZeros="0" topLeftCell="E19" zoomScale="80" zoomScaleNormal="80" workbookViewId="0">
      <selection activeCell="AD20" sqref="AD20:AE21"/>
    </sheetView>
  </sheetViews>
  <sheetFormatPr defaultRowHeight="15" x14ac:dyDescent="0.25"/>
  <cols>
    <col min="1" max="1" width="5.28515625" style="356" customWidth="1"/>
    <col min="2" max="2" width="25.28515625" style="356" customWidth="1"/>
    <col min="3" max="3" width="11.5703125" style="356" customWidth="1"/>
    <col min="4" max="15" width="7" style="388" customWidth="1"/>
    <col min="16" max="17" width="6.7109375" style="378" customWidth="1"/>
    <col min="18" max="29" width="7.85546875" style="388" customWidth="1"/>
    <col min="30" max="31" width="6.85546875" style="378" customWidth="1"/>
    <col min="32" max="32" width="13.28515625" style="388" customWidth="1"/>
    <col min="33" max="34" width="9.140625" style="355"/>
    <col min="35" max="16384" width="9.140625" style="356"/>
  </cols>
  <sheetData>
    <row r="1" spans="1:34" ht="15" customHeight="1" x14ac:dyDescent="0.25">
      <c r="A1" s="1400" t="s">
        <v>559</v>
      </c>
      <c r="B1" s="1400"/>
      <c r="C1" s="1400"/>
      <c r="D1" s="16"/>
      <c r="E1" s="17"/>
      <c r="F1" s="17"/>
      <c r="G1" s="17"/>
      <c r="H1" s="17"/>
      <c r="I1" s="17"/>
      <c r="J1" s="17"/>
      <c r="K1" s="17"/>
      <c r="L1" s="17"/>
      <c r="M1" s="17"/>
      <c r="N1" s="17"/>
      <c r="O1" s="17"/>
      <c r="P1" s="17"/>
      <c r="Q1" s="17"/>
      <c r="R1" s="1401" t="s">
        <v>560</v>
      </c>
      <c r="S1" s="1402"/>
      <c r="T1" s="1402"/>
      <c r="U1" s="1402"/>
      <c r="V1" s="1402"/>
      <c r="W1" s="1402"/>
      <c r="X1" s="1402"/>
      <c r="Y1" s="1402"/>
      <c r="Z1" s="1402"/>
      <c r="AA1" s="1402"/>
      <c r="AB1" s="1402"/>
      <c r="AC1" s="1402"/>
      <c r="AD1" s="1402"/>
      <c r="AE1" s="1402"/>
      <c r="AF1" s="1402"/>
    </row>
    <row r="2" spans="1:34" ht="15" customHeight="1" x14ac:dyDescent="0.25">
      <c r="A2" s="1400" t="s">
        <v>561</v>
      </c>
      <c r="B2" s="1400"/>
      <c r="C2" s="1400"/>
      <c r="D2" s="16"/>
      <c r="E2" s="17"/>
      <c r="F2" s="17"/>
      <c r="G2" s="17"/>
      <c r="H2" s="17"/>
      <c r="I2" s="17"/>
      <c r="J2" s="17"/>
      <c r="K2" s="17"/>
      <c r="L2" s="17"/>
      <c r="M2" s="17"/>
      <c r="N2" s="17"/>
      <c r="O2" s="17"/>
      <c r="P2" s="17"/>
      <c r="Q2" s="17"/>
      <c r="R2" s="1401" t="s">
        <v>562</v>
      </c>
      <c r="S2" s="1401"/>
      <c r="T2" s="1401"/>
      <c r="U2" s="1401"/>
      <c r="V2" s="1401"/>
      <c r="W2" s="1401"/>
      <c r="X2" s="1401"/>
      <c r="Y2" s="1401"/>
      <c r="Z2" s="1401"/>
      <c r="AA2" s="1401"/>
      <c r="AB2" s="1401"/>
      <c r="AC2" s="1401"/>
      <c r="AD2" s="1401"/>
      <c r="AE2" s="1401"/>
      <c r="AF2" s="1401"/>
    </row>
    <row r="3" spans="1:34" ht="15" customHeight="1" x14ac:dyDescent="0.25">
      <c r="A3" s="1401" t="s">
        <v>616</v>
      </c>
      <c r="B3" s="1401"/>
      <c r="C3" s="1401"/>
      <c r="D3" s="16"/>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row>
    <row r="4" spans="1:34" ht="15" customHeight="1" x14ac:dyDescent="0.25">
      <c r="A4" s="18"/>
      <c r="B4" s="18"/>
      <c r="C4" s="18"/>
      <c r="D4" s="16"/>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9" t="s">
        <v>563</v>
      </c>
    </row>
    <row r="5" spans="1:34" ht="24.75" customHeight="1" x14ac:dyDescent="0.25">
      <c r="A5" s="1390" t="str">
        <f>'P.KH-TC'!A5:AB5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c r="AC5" s="1390"/>
      <c r="AD5" s="1390"/>
      <c r="AE5" s="1390"/>
      <c r="AF5" s="1390"/>
    </row>
    <row r="7" spans="1:34" ht="33.75" customHeight="1" x14ac:dyDescent="0.25">
      <c r="A7" s="404" t="s">
        <v>0</v>
      </c>
      <c r="B7" s="1391" t="s">
        <v>564</v>
      </c>
      <c r="C7" s="1393"/>
      <c r="D7" s="1391" t="s">
        <v>110</v>
      </c>
      <c r="E7" s="1392"/>
      <c r="F7" s="1392"/>
      <c r="G7" s="1392"/>
      <c r="H7" s="1392"/>
      <c r="I7" s="1392"/>
      <c r="J7" s="1392"/>
      <c r="K7" s="1392"/>
      <c r="L7" s="1392"/>
      <c r="M7" s="1392"/>
      <c r="N7" s="1392"/>
      <c r="O7" s="1392"/>
      <c r="P7" s="1393"/>
      <c r="Q7" s="358"/>
      <c r="R7" s="1391" t="s">
        <v>565</v>
      </c>
      <c r="S7" s="1392"/>
      <c r="T7" s="1392"/>
      <c r="U7" s="1392"/>
      <c r="V7" s="1392"/>
      <c r="W7" s="1392"/>
      <c r="X7" s="1392"/>
      <c r="Y7" s="1392"/>
      <c r="Z7" s="1392"/>
      <c r="AA7" s="1392"/>
      <c r="AB7" s="1392"/>
      <c r="AC7" s="1392"/>
      <c r="AD7" s="1393"/>
      <c r="AE7" s="359"/>
      <c r="AF7" s="360" t="s">
        <v>4</v>
      </c>
    </row>
    <row r="8" spans="1:34" ht="80.25" customHeight="1" x14ac:dyDescent="0.25">
      <c r="A8" s="405"/>
      <c r="B8" s="120" t="s">
        <v>461</v>
      </c>
      <c r="C8" s="120" t="s">
        <v>566</v>
      </c>
      <c r="D8" s="212" t="s">
        <v>567</v>
      </c>
      <c r="E8" s="212" t="s">
        <v>568</v>
      </c>
      <c r="F8" s="212" t="s">
        <v>569</v>
      </c>
      <c r="G8" s="212" t="s">
        <v>570</v>
      </c>
      <c r="H8" s="212" t="s">
        <v>571</v>
      </c>
      <c r="I8" s="212" t="s">
        <v>572</v>
      </c>
      <c r="J8" s="212" t="s">
        <v>573</v>
      </c>
      <c r="K8" s="212" t="s">
        <v>703</v>
      </c>
      <c r="L8" s="212" t="s">
        <v>704</v>
      </c>
      <c r="M8" s="212" t="s">
        <v>748</v>
      </c>
      <c r="N8" s="212" t="s">
        <v>749</v>
      </c>
      <c r="O8" s="212" t="s">
        <v>750</v>
      </c>
      <c r="P8" s="133" t="s">
        <v>588</v>
      </c>
      <c r="Q8" s="361" t="s">
        <v>795</v>
      </c>
      <c r="R8" s="212" t="s">
        <v>567</v>
      </c>
      <c r="S8" s="212" t="s">
        <v>568</v>
      </c>
      <c r="T8" s="212" t="s">
        <v>569</v>
      </c>
      <c r="U8" s="212" t="s">
        <v>570</v>
      </c>
      <c r="V8" s="212" t="s">
        <v>571</v>
      </c>
      <c r="W8" s="212" t="s">
        <v>572</v>
      </c>
      <c r="X8" s="212" t="s">
        <v>573</v>
      </c>
      <c r="Y8" s="212" t="s">
        <v>703</v>
      </c>
      <c r="Z8" s="212" t="s">
        <v>704</v>
      </c>
      <c r="AA8" s="212" t="s">
        <v>748</v>
      </c>
      <c r="AB8" s="212" t="s">
        <v>749</v>
      </c>
      <c r="AC8" s="212" t="s">
        <v>750</v>
      </c>
      <c r="AD8" s="133" t="s">
        <v>588</v>
      </c>
      <c r="AE8" s="361" t="s">
        <v>795</v>
      </c>
      <c r="AF8" s="360"/>
    </row>
    <row r="9" spans="1:34" ht="24" customHeight="1" x14ac:dyDescent="0.25">
      <c r="A9" s="362" t="s">
        <v>574</v>
      </c>
      <c r="B9" s="352"/>
      <c r="C9" s="273">
        <v>-1</v>
      </c>
      <c r="D9" s="273">
        <v>-2</v>
      </c>
      <c r="E9" s="273">
        <v>-3</v>
      </c>
      <c r="F9" s="273">
        <v>-4</v>
      </c>
      <c r="G9" s="273">
        <v>-5</v>
      </c>
      <c r="H9" s="273">
        <v>-6</v>
      </c>
      <c r="I9" s="273">
        <v>-7</v>
      </c>
      <c r="J9" s="273">
        <v>-8</v>
      </c>
      <c r="K9" s="273">
        <v>-9</v>
      </c>
      <c r="L9" s="273">
        <v>-10</v>
      </c>
      <c r="M9" s="273">
        <v>-11</v>
      </c>
      <c r="N9" s="273">
        <v>-12</v>
      </c>
      <c r="O9" s="273">
        <v>-13</v>
      </c>
      <c r="P9" s="273">
        <v>-14</v>
      </c>
      <c r="Q9" s="274">
        <v>-15</v>
      </c>
      <c r="R9" s="273">
        <v>-16</v>
      </c>
      <c r="S9" s="273">
        <v>-17</v>
      </c>
      <c r="T9" s="273">
        <v>-18</v>
      </c>
      <c r="U9" s="273">
        <v>-19</v>
      </c>
      <c r="V9" s="273">
        <v>-20</v>
      </c>
      <c r="W9" s="273">
        <v>-21</v>
      </c>
      <c r="X9" s="273">
        <v>-22</v>
      </c>
      <c r="Y9" s="273">
        <v>-23</v>
      </c>
      <c r="Z9" s="273">
        <v>-24</v>
      </c>
      <c r="AA9" s="273">
        <v>-25</v>
      </c>
      <c r="AB9" s="273">
        <v>-26</v>
      </c>
      <c r="AC9" s="273">
        <v>-27</v>
      </c>
      <c r="AD9" s="273">
        <v>-28</v>
      </c>
      <c r="AE9" s="274">
        <v>-29</v>
      </c>
      <c r="AF9" s="369"/>
    </row>
    <row r="10" spans="1:34" ht="24" customHeight="1" x14ac:dyDescent="0.25">
      <c r="A10" s="143">
        <v>1</v>
      </c>
      <c r="B10" s="364" t="s">
        <v>371</v>
      </c>
      <c r="C10" s="63" t="s">
        <v>710</v>
      </c>
      <c r="D10" s="752" t="s">
        <v>1141</v>
      </c>
      <c r="E10" s="752" t="s">
        <v>1141</v>
      </c>
      <c r="F10" s="752">
        <v>0</v>
      </c>
      <c r="G10" s="752">
        <v>0</v>
      </c>
      <c r="H10" s="509" t="s">
        <v>1141</v>
      </c>
      <c r="I10" s="509">
        <v>0</v>
      </c>
      <c r="J10" s="509">
        <v>0</v>
      </c>
      <c r="K10" s="509"/>
      <c r="L10" s="509"/>
      <c r="M10" s="509"/>
      <c r="N10" s="509"/>
      <c r="O10" s="509"/>
      <c r="P10" s="406">
        <f>SUM(COUNTIF(D10:O10,"x"),COUNTIF(D10:O10,"A"))</f>
        <v>3</v>
      </c>
      <c r="Q10" s="407">
        <f>SUM(COUNTIF(D10:O10,"x"),COUNTIF(D10:O10,"b"))</f>
        <v>3</v>
      </c>
      <c r="R10" s="720" t="s">
        <v>1141</v>
      </c>
      <c r="S10" s="720" t="s">
        <v>1141</v>
      </c>
      <c r="T10" s="720">
        <v>0</v>
      </c>
      <c r="U10" s="720">
        <v>0</v>
      </c>
      <c r="V10" s="720"/>
      <c r="W10" s="720"/>
      <c r="X10" s="510"/>
      <c r="Y10" s="510"/>
      <c r="Z10" s="510"/>
      <c r="AA10" s="510"/>
      <c r="AB10" s="510"/>
      <c r="AC10" s="510"/>
      <c r="AD10" s="406">
        <f>SUM(COUNTIF(R10:AC10,"x"),COUNTIF(R10:AC10,"A"))</f>
        <v>2</v>
      </c>
      <c r="AE10" s="407">
        <f>SUM(COUNTIF(R10:AC10,"x"),COUNTIF(R10:AC10,"b"))</f>
        <v>2</v>
      </c>
      <c r="AF10" s="369"/>
    </row>
    <row r="11" spans="1:34" ht="24" customHeight="1" x14ac:dyDescent="0.25">
      <c r="A11" s="143">
        <f>A10+1</f>
        <v>2</v>
      </c>
      <c r="B11" s="8" t="s">
        <v>377</v>
      </c>
      <c r="C11" s="143" t="s">
        <v>681</v>
      </c>
      <c r="D11" s="752" t="s">
        <v>1141</v>
      </c>
      <c r="E11" s="752" t="s">
        <v>1141</v>
      </c>
      <c r="F11" s="752">
        <v>0</v>
      </c>
      <c r="G11" s="752" t="s">
        <v>1141</v>
      </c>
      <c r="H11" s="509">
        <v>0</v>
      </c>
      <c r="I11" s="509">
        <v>0</v>
      </c>
      <c r="J11" s="509">
        <v>0</v>
      </c>
      <c r="K11" s="509"/>
      <c r="L11" s="509"/>
      <c r="M11" s="509"/>
      <c r="N11" s="509"/>
      <c r="O11" s="509"/>
      <c r="P11" s="406">
        <f t="shared" ref="P11:P37" si="0">SUM(COUNTIF(D11:O11,"x"),COUNTIF(D11:O11,"A"))</f>
        <v>3</v>
      </c>
      <c r="Q11" s="407">
        <f t="shared" ref="Q11:Q37" si="1">SUM(COUNTIF(D11:O11,"x"),COUNTIF(D11:O11,"b"))</f>
        <v>3</v>
      </c>
      <c r="R11" s="720" t="s">
        <v>1141</v>
      </c>
      <c r="S11" s="720" t="s">
        <v>1141</v>
      </c>
      <c r="T11" s="720">
        <v>0</v>
      </c>
      <c r="U11" s="720">
        <v>0</v>
      </c>
      <c r="V11" s="720"/>
      <c r="W11" s="720"/>
      <c r="X11" s="510"/>
      <c r="Y11" s="510"/>
      <c r="Z11" s="510"/>
      <c r="AA11" s="510"/>
      <c r="AB11" s="510"/>
      <c r="AC11" s="510"/>
      <c r="AD11" s="406">
        <f t="shared" ref="AD11:AD37" si="2">SUM(COUNTIF(R11:AC11,"x"),COUNTIF(R11:AC11,"A"))</f>
        <v>2</v>
      </c>
      <c r="AE11" s="407">
        <f t="shared" ref="AE11:AE37" si="3">SUM(COUNTIF(R11:AC11,"x"),COUNTIF(R11:AC11,"b"))</f>
        <v>2</v>
      </c>
      <c r="AF11" s="369"/>
    </row>
    <row r="12" spans="1:34" ht="24" customHeight="1" x14ac:dyDescent="0.25">
      <c r="A12" s="143">
        <f t="shared" ref="A12:A21" si="4">A11+1</f>
        <v>3</v>
      </c>
      <c r="B12" s="9" t="s">
        <v>478</v>
      </c>
      <c r="C12" s="7" t="s">
        <v>695</v>
      </c>
      <c r="D12" s="752" t="s">
        <v>1141</v>
      </c>
      <c r="E12" s="752">
        <v>0</v>
      </c>
      <c r="F12" s="752">
        <v>0</v>
      </c>
      <c r="G12" s="752" t="s">
        <v>1141</v>
      </c>
      <c r="H12" s="509">
        <v>0</v>
      </c>
      <c r="I12" s="509" t="s">
        <v>1141</v>
      </c>
      <c r="J12" s="509">
        <v>0</v>
      </c>
      <c r="K12" s="509"/>
      <c r="L12" s="509"/>
      <c r="M12" s="509"/>
      <c r="N12" s="509"/>
      <c r="O12" s="509"/>
      <c r="P12" s="406">
        <f t="shared" si="0"/>
        <v>3</v>
      </c>
      <c r="Q12" s="407">
        <f t="shared" si="1"/>
        <v>3</v>
      </c>
      <c r="R12" s="720" t="s">
        <v>1141</v>
      </c>
      <c r="S12" s="720" t="s">
        <v>1141</v>
      </c>
      <c r="T12" s="720">
        <v>0</v>
      </c>
      <c r="U12" s="720">
        <v>0</v>
      </c>
      <c r="V12" s="720"/>
      <c r="W12" s="720"/>
      <c r="X12" s="510"/>
      <c r="Y12" s="510"/>
      <c r="Z12" s="510"/>
      <c r="AA12" s="510"/>
      <c r="AB12" s="510"/>
      <c r="AC12" s="510"/>
      <c r="AD12" s="406">
        <f t="shared" si="2"/>
        <v>2</v>
      </c>
      <c r="AE12" s="407">
        <f t="shared" si="3"/>
        <v>2</v>
      </c>
      <c r="AF12" s="369"/>
      <c r="AG12" s="356"/>
      <c r="AH12" s="356"/>
    </row>
    <row r="13" spans="1:34" ht="24" customHeight="1" x14ac:dyDescent="0.25">
      <c r="A13" s="143">
        <f t="shared" si="4"/>
        <v>4</v>
      </c>
      <c r="B13" s="8" t="s">
        <v>372</v>
      </c>
      <c r="C13" s="63" t="s">
        <v>701</v>
      </c>
      <c r="D13" s="752" t="s">
        <v>1141</v>
      </c>
      <c r="E13" s="752" t="s">
        <v>1141</v>
      </c>
      <c r="F13" s="752">
        <v>0</v>
      </c>
      <c r="G13" s="752" t="s">
        <v>1141</v>
      </c>
      <c r="H13" s="509">
        <v>0</v>
      </c>
      <c r="I13" s="509">
        <v>0</v>
      </c>
      <c r="J13" s="509">
        <v>0</v>
      </c>
      <c r="K13" s="509"/>
      <c r="L13" s="509"/>
      <c r="M13" s="509"/>
      <c r="N13" s="509"/>
      <c r="O13" s="509"/>
      <c r="P13" s="406">
        <f t="shared" si="0"/>
        <v>3</v>
      </c>
      <c r="Q13" s="407">
        <f t="shared" si="1"/>
        <v>3</v>
      </c>
      <c r="R13" s="720">
        <v>0</v>
      </c>
      <c r="S13" s="720" t="s">
        <v>1141</v>
      </c>
      <c r="T13" s="720">
        <v>0</v>
      </c>
      <c r="U13" s="720">
        <v>0</v>
      </c>
      <c r="V13" s="720"/>
      <c r="W13" s="720"/>
      <c r="X13" s="510"/>
      <c r="Y13" s="510"/>
      <c r="Z13" s="510"/>
      <c r="AA13" s="510"/>
      <c r="AB13" s="510"/>
      <c r="AC13" s="510"/>
      <c r="AD13" s="406">
        <f t="shared" si="2"/>
        <v>1</v>
      </c>
      <c r="AE13" s="407">
        <f t="shared" si="3"/>
        <v>1</v>
      </c>
      <c r="AF13" s="369"/>
    </row>
    <row r="14" spans="1:34" ht="24" customHeight="1" x14ac:dyDescent="0.25">
      <c r="A14" s="143">
        <f t="shared" si="4"/>
        <v>5</v>
      </c>
      <c r="B14" s="8" t="s">
        <v>373</v>
      </c>
      <c r="C14" s="63" t="s">
        <v>688</v>
      </c>
      <c r="D14" s="752" t="s">
        <v>1141</v>
      </c>
      <c r="E14" s="752" t="s">
        <v>1141</v>
      </c>
      <c r="F14" s="752">
        <v>0</v>
      </c>
      <c r="G14" s="752" t="s">
        <v>1141</v>
      </c>
      <c r="H14" s="509">
        <v>0</v>
      </c>
      <c r="I14" s="509">
        <v>0</v>
      </c>
      <c r="J14" s="509">
        <v>0</v>
      </c>
      <c r="K14" s="509"/>
      <c r="L14" s="509"/>
      <c r="M14" s="509"/>
      <c r="N14" s="509"/>
      <c r="O14" s="509"/>
      <c r="P14" s="406">
        <f t="shared" si="0"/>
        <v>3</v>
      </c>
      <c r="Q14" s="407">
        <f t="shared" si="1"/>
        <v>3</v>
      </c>
      <c r="R14" s="720">
        <v>0</v>
      </c>
      <c r="S14" s="720" t="s">
        <v>1141</v>
      </c>
      <c r="T14" s="720">
        <v>0</v>
      </c>
      <c r="U14" s="720">
        <v>0</v>
      </c>
      <c r="V14" s="720"/>
      <c r="W14" s="720"/>
      <c r="X14" s="510"/>
      <c r="Y14" s="510"/>
      <c r="Z14" s="510"/>
      <c r="AA14" s="510"/>
      <c r="AB14" s="510"/>
      <c r="AC14" s="510"/>
      <c r="AD14" s="406">
        <f t="shared" si="2"/>
        <v>1</v>
      </c>
      <c r="AE14" s="407">
        <f t="shared" si="3"/>
        <v>1</v>
      </c>
      <c r="AF14" s="369"/>
    </row>
    <row r="15" spans="1:34" ht="24" customHeight="1" x14ac:dyDescent="0.25">
      <c r="A15" s="143">
        <f t="shared" si="4"/>
        <v>6</v>
      </c>
      <c r="B15" s="8" t="s">
        <v>374</v>
      </c>
      <c r="C15" s="63" t="s">
        <v>702</v>
      </c>
      <c r="D15" s="752" t="s">
        <v>1141</v>
      </c>
      <c r="E15" s="752" t="s">
        <v>1141</v>
      </c>
      <c r="F15" s="752">
        <v>0</v>
      </c>
      <c r="G15" s="752" t="s">
        <v>1141</v>
      </c>
      <c r="H15" s="509">
        <v>0</v>
      </c>
      <c r="I15" s="509">
        <v>0</v>
      </c>
      <c r="J15" s="509">
        <v>0</v>
      </c>
      <c r="K15" s="509"/>
      <c r="L15" s="509"/>
      <c r="M15" s="509"/>
      <c r="N15" s="509"/>
      <c r="O15" s="509"/>
      <c r="P15" s="406">
        <f t="shared" si="0"/>
        <v>3</v>
      </c>
      <c r="Q15" s="407">
        <f t="shared" si="1"/>
        <v>3</v>
      </c>
      <c r="R15" s="720">
        <v>0</v>
      </c>
      <c r="S15" s="720" t="s">
        <v>1141</v>
      </c>
      <c r="T15" s="720">
        <v>0</v>
      </c>
      <c r="U15" s="720">
        <v>0</v>
      </c>
      <c r="V15" s="720"/>
      <c r="W15" s="720"/>
      <c r="X15" s="510"/>
      <c r="Y15" s="510"/>
      <c r="Z15" s="510"/>
      <c r="AA15" s="510"/>
      <c r="AB15" s="510"/>
      <c r="AC15" s="510"/>
      <c r="AD15" s="406">
        <f t="shared" si="2"/>
        <v>1</v>
      </c>
      <c r="AE15" s="407">
        <f t="shared" si="3"/>
        <v>1</v>
      </c>
      <c r="AF15" s="369"/>
    </row>
    <row r="16" spans="1:34" ht="24" customHeight="1" x14ac:dyDescent="0.25">
      <c r="A16" s="143">
        <f t="shared" si="4"/>
        <v>7</v>
      </c>
      <c r="B16" s="8" t="s">
        <v>375</v>
      </c>
      <c r="C16" s="63" t="s">
        <v>700</v>
      </c>
      <c r="D16" s="752">
        <v>0</v>
      </c>
      <c r="E16" s="752" t="s">
        <v>1141</v>
      </c>
      <c r="F16" s="752">
        <v>0</v>
      </c>
      <c r="G16" s="752" t="s">
        <v>1141</v>
      </c>
      <c r="H16" s="509">
        <v>0</v>
      </c>
      <c r="I16" s="509">
        <v>0</v>
      </c>
      <c r="J16" s="509">
        <v>0</v>
      </c>
      <c r="K16" s="509"/>
      <c r="L16" s="509"/>
      <c r="M16" s="509"/>
      <c r="N16" s="509"/>
      <c r="O16" s="509"/>
      <c r="P16" s="406">
        <f t="shared" si="0"/>
        <v>2</v>
      </c>
      <c r="Q16" s="407">
        <f t="shared" si="1"/>
        <v>2</v>
      </c>
      <c r="R16" s="720">
        <v>0</v>
      </c>
      <c r="S16" s="720" t="s">
        <v>1141</v>
      </c>
      <c r="T16" s="720">
        <v>0</v>
      </c>
      <c r="U16" s="720">
        <v>0</v>
      </c>
      <c r="V16" s="720"/>
      <c r="W16" s="720"/>
      <c r="X16" s="510"/>
      <c r="Y16" s="510"/>
      <c r="Z16" s="510"/>
      <c r="AA16" s="510"/>
      <c r="AB16" s="510"/>
      <c r="AC16" s="510"/>
      <c r="AD16" s="406">
        <f t="shared" si="2"/>
        <v>1</v>
      </c>
      <c r="AE16" s="407">
        <f t="shared" si="3"/>
        <v>1</v>
      </c>
      <c r="AF16" s="369"/>
    </row>
    <row r="17" spans="1:32" ht="24" customHeight="1" x14ac:dyDescent="0.25">
      <c r="A17" s="143">
        <f t="shared" si="4"/>
        <v>8</v>
      </c>
      <c r="B17" s="8" t="s">
        <v>376</v>
      </c>
      <c r="C17" s="143" t="s">
        <v>682</v>
      </c>
      <c r="D17" s="752" t="s">
        <v>1141</v>
      </c>
      <c r="E17" s="752" t="s">
        <v>1141</v>
      </c>
      <c r="F17" s="752">
        <v>0</v>
      </c>
      <c r="G17" s="752" t="s">
        <v>1141</v>
      </c>
      <c r="H17" s="509">
        <v>0</v>
      </c>
      <c r="I17" s="509">
        <v>0</v>
      </c>
      <c r="J17" s="509">
        <v>0</v>
      </c>
      <c r="K17" s="509"/>
      <c r="L17" s="509"/>
      <c r="M17" s="509"/>
      <c r="N17" s="509"/>
      <c r="O17" s="509"/>
      <c r="P17" s="406">
        <f t="shared" si="0"/>
        <v>3</v>
      </c>
      <c r="Q17" s="407">
        <f t="shared" si="1"/>
        <v>3</v>
      </c>
      <c r="R17" s="720">
        <v>0</v>
      </c>
      <c r="S17" s="720" t="s">
        <v>1141</v>
      </c>
      <c r="T17" s="720">
        <v>0</v>
      </c>
      <c r="U17" s="720">
        <v>0</v>
      </c>
      <c r="V17" s="720"/>
      <c r="W17" s="720"/>
      <c r="X17" s="510"/>
      <c r="Y17" s="510"/>
      <c r="Z17" s="510"/>
      <c r="AA17" s="510"/>
      <c r="AB17" s="510"/>
      <c r="AC17" s="510"/>
      <c r="AD17" s="406">
        <f t="shared" si="2"/>
        <v>1</v>
      </c>
      <c r="AE17" s="407">
        <f t="shared" si="3"/>
        <v>1</v>
      </c>
      <c r="AF17" s="369"/>
    </row>
    <row r="18" spans="1:32" ht="24" customHeight="1" x14ac:dyDescent="0.25">
      <c r="A18" s="143">
        <f t="shared" si="4"/>
        <v>9</v>
      </c>
      <c r="B18" s="8" t="s">
        <v>378</v>
      </c>
      <c r="C18" s="63" t="s">
        <v>697</v>
      </c>
      <c r="D18" s="752" t="s">
        <v>1141</v>
      </c>
      <c r="E18" s="752" t="s">
        <v>1141</v>
      </c>
      <c r="F18" s="752">
        <v>0</v>
      </c>
      <c r="G18" s="752" t="s">
        <v>1141</v>
      </c>
      <c r="H18" s="509">
        <v>0</v>
      </c>
      <c r="I18" s="509">
        <v>0</v>
      </c>
      <c r="J18" s="509">
        <v>0</v>
      </c>
      <c r="K18" s="509"/>
      <c r="L18" s="509"/>
      <c r="M18" s="509"/>
      <c r="N18" s="509"/>
      <c r="O18" s="509"/>
      <c r="P18" s="406">
        <f t="shared" si="0"/>
        <v>3</v>
      </c>
      <c r="Q18" s="407">
        <f t="shared" si="1"/>
        <v>3</v>
      </c>
      <c r="R18" s="720">
        <v>0</v>
      </c>
      <c r="S18" s="720" t="s">
        <v>1141</v>
      </c>
      <c r="T18" s="720">
        <v>0</v>
      </c>
      <c r="U18" s="720">
        <v>0</v>
      </c>
      <c r="V18" s="720"/>
      <c r="W18" s="720"/>
      <c r="X18" s="510"/>
      <c r="Y18" s="510"/>
      <c r="Z18" s="510"/>
      <c r="AA18" s="510"/>
      <c r="AB18" s="510"/>
      <c r="AC18" s="510"/>
      <c r="AD18" s="406">
        <f t="shared" si="2"/>
        <v>1</v>
      </c>
      <c r="AE18" s="407">
        <f t="shared" si="3"/>
        <v>1</v>
      </c>
      <c r="AF18" s="369"/>
    </row>
    <row r="19" spans="1:32" ht="24" customHeight="1" x14ac:dyDescent="0.25">
      <c r="A19" s="143">
        <f t="shared" si="4"/>
        <v>10</v>
      </c>
      <c r="B19" s="8" t="s">
        <v>379</v>
      </c>
      <c r="C19" s="63" t="s">
        <v>698</v>
      </c>
      <c r="D19" s="752">
        <v>0</v>
      </c>
      <c r="E19" s="752" t="s">
        <v>1141</v>
      </c>
      <c r="F19" s="752">
        <v>0</v>
      </c>
      <c r="G19" s="752" t="s">
        <v>1141</v>
      </c>
      <c r="H19" s="509">
        <v>0</v>
      </c>
      <c r="I19" s="509">
        <v>0</v>
      </c>
      <c r="J19" s="509">
        <v>0</v>
      </c>
      <c r="K19" s="509"/>
      <c r="L19" s="509"/>
      <c r="M19" s="509"/>
      <c r="N19" s="509"/>
      <c r="O19" s="509"/>
      <c r="P19" s="406">
        <f t="shared" si="0"/>
        <v>2</v>
      </c>
      <c r="Q19" s="407">
        <f t="shared" si="1"/>
        <v>2</v>
      </c>
      <c r="R19" s="720">
        <v>0</v>
      </c>
      <c r="S19" s="720" t="s">
        <v>1141</v>
      </c>
      <c r="T19" s="720">
        <v>0</v>
      </c>
      <c r="U19" s="720">
        <v>0</v>
      </c>
      <c r="V19" s="720"/>
      <c r="W19" s="720"/>
      <c r="X19" s="510"/>
      <c r="Y19" s="510"/>
      <c r="Z19" s="510"/>
      <c r="AA19" s="510"/>
      <c r="AB19" s="510"/>
      <c r="AC19" s="510"/>
      <c r="AD19" s="406">
        <f t="shared" si="2"/>
        <v>1</v>
      </c>
      <c r="AE19" s="407">
        <f t="shared" si="3"/>
        <v>1</v>
      </c>
      <c r="AF19" s="369"/>
    </row>
    <row r="20" spans="1:32" ht="24" customHeight="1" x14ac:dyDescent="0.25">
      <c r="A20" s="143">
        <f t="shared" si="4"/>
        <v>11</v>
      </c>
      <c r="B20" s="8" t="s">
        <v>380</v>
      </c>
      <c r="C20" s="63" t="s">
        <v>694</v>
      </c>
      <c r="D20" s="752" t="s">
        <v>1141</v>
      </c>
      <c r="E20" s="752" t="s">
        <v>1141</v>
      </c>
      <c r="F20" s="752">
        <v>0</v>
      </c>
      <c r="G20" s="752" t="s">
        <v>1141</v>
      </c>
      <c r="H20" s="509">
        <v>0</v>
      </c>
      <c r="I20" s="509">
        <v>0</v>
      </c>
      <c r="J20" s="509">
        <v>0</v>
      </c>
      <c r="K20" s="509"/>
      <c r="L20" s="509"/>
      <c r="M20" s="509"/>
      <c r="N20" s="509"/>
      <c r="O20" s="509"/>
      <c r="P20" s="406">
        <f t="shared" si="0"/>
        <v>3</v>
      </c>
      <c r="Q20" s="407">
        <f t="shared" si="1"/>
        <v>3</v>
      </c>
      <c r="R20" s="720">
        <v>0</v>
      </c>
      <c r="S20" s="720" t="s">
        <v>1141</v>
      </c>
      <c r="T20" s="720">
        <v>0</v>
      </c>
      <c r="U20" s="720">
        <v>0</v>
      </c>
      <c r="V20" s="720"/>
      <c r="W20" s="720"/>
      <c r="X20" s="510"/>
      <c r="Y20" s="510"/>
      <c r="Z20" s="510"/>
      <c r="AA20" s="510"/>
      <c r="AB20" s="510"/>
      <c r="AC20" s="510"/>
      <c r="AD20" s="406">
        <f t="shared" si="2"/>
        <v>1</v>
      </c>
      <c r="AE20" s="407">
        <f t="shared" si="3"/>
        <v>1</v>
      </c>
      <c r="AF20" s="369"/>
    </row>
    <row r="21" spans="1:32" ht="24" customHeight="1" x14ac:dyDescent="0.25">
      <c r="A21" s="143">
        <f t="shared" si="4"/>
        <v>12</v>
      </c>
      <c r="B21" s="803" t="s">
        <v>1078</v>
      </c>
      <c r="C21" s="802" t="s">
        <v>1079</v>
      </c>
      <c r="D21" s="817">
        <v>0</v>
      </c>
      <c r="E21" s="817">
        <v>0</v>
      </c>
      <c r="F21" s="817" t="s">
        <v>1141</v>
      </c>
      <c r="G21" s="817" t="s">
        <v>1141</v>
      </c>
      <c r="H21" s="818">
        <v>0</v>
      </c>
      <c r="I21" s="818">
        <v>0</v>
      </c>
      <c r="J21" s="818">
        <v>0</v>
      </c>
      <c r="K21" s="818"/>
      <c r="L21" s="818"/>
      <c r="M21" s="818"/>
      <c r="N21" s="818"/>
      <c r="O21" s="818"/>
      <c r="P21" s="406">
        <f t="shared" ref="P21" si="5">SUM(COUNTIF(D21:O21,"x"),COUNTIF(D21:O21,"A"))</f>
        <v>2</v>
      </c>
      <c r="Q21" s="407">
        <f t="shared" ref="Q21" si="6">SUM(COUNTIF(D21:O21,"x"),COUNTIF(D21:O21,"b"))</f>
        <v>2</v>
      </c>
      <c r="R21" s="817">
        <v>0</v>
      </c>
      <c r="S21" s="817" t="s">
        <v>1141</v>
      </c>
      <c r="T21" s="817">
        <v>0</v>
      </c>
      <c r="U21" s="817">
        <v>0</v>
      </c>
      <c r="V21" s="817"/>
      <c r="W21" s="817"/>
      <c r="X21" s="819"/>
      <c r="Y21" s="819"/>
      <c r="Z21" s="819"/>
      <c r="AA21" s="819"/>
      <c r="AB21" s="819"/>
      <c r="AC21" s="819"/>
      <c r="AD21" s="406">
        <f t="shared" ref="AD21" si="7">SUM(COUNTIF(R21:AC21,"x"),COUNTIF(R21:AC21,"A"))</f>
        <v>1</v>
      </c>
      <c r="AE21" s="407">
        <f t="shared" ref="AE21" si="8">SUM(COUNTIF(R21:AC21,"x"),COUNTIF(R21:AC21,"b"))</f>
        <v>1</v>
      </c>
      <c r="AF21" s="820"/>
    </row>
    <row r="22" spans="1:32" ht="24" customHeight="1" x14ac:dyDescent="0.25">
      <c r="A22" s="362" t="s">
        <v>577</v>
      </c>
      <c r="B22" s="364"/>
      <c r="C22" s="408"/>
      <c r="D22" s="752"/>
      <c r="E22" s="752"/>
      <c r="F22" s="752"/>
      <c r="G22" s="752"/>
      <c r="H22" s="509"/>
      <c r="I22" s="509"/>
      <c r="J22" s="509"/>
      <c r="K22" s="509"/>
      <c r="L22" s="509"/>
      <c r="M22" s="509"/>
      <c r="N22" s="509"/>
      <c r="O22" s="509"/>
      <c r="P22" s="406">
        <f t="shared" si="0"/>
        <v>0</v>
      </c>
      <c r="Q22" s="407">
        <f t="shared" si="1"/>
        <v>0</v>
      </c>
      <c r="R22" s="720"/>
      <c r="S22" s="720"/>
      <c r="T22" s="720"/>
      <c r="U22" s="720"/>
      <c r="V22" s="720"/>
      <c r="W22" s="720"/>
      <c r="X22" s="510"/>
      <c r="Y22" s="510"/>
      <c r="Z22" s="510"/>
      <c r="AA22" s="510"/>
      <c r="AB22" s="510"/>
      <c r="AC22" s="510"/>
      <c r="AD22" s="406">
        <f t="shared" si="2"/>
        <v>0</v>
      </c>
      <c r="AE22" s="407">
        <f t="shared" si="3"/>
        <v>0</v>
      </c>
      <c r="AF22" s="369"/>
    </row>
    <row r="23" spans="1:32" ht="24" customHeight="1" x14ac:dyDescent="0.25">
      <c r="A23" s="143">
        <f>A21+1</f>
        <v>13</v>
      </c>
      <c r="B23" s="8" t="s">
        <v>381</v>
      </c>
      <c r="C23" s="63" t="s">
        <v>699</v>
      </c>
      <c r="D23" s="752">
        <v>0</v>
      </c>
      <c r="E23" s="752" t="s">
        <v>1141</v>
      </c>
      <c r="F23" s="752">
        <v>0</v>
      </c>
      <c r="G23" s="752" t="s">
        <v>1141</v>
      </c>
      <c r="H23" s="509">
        <v>0</v>
      </c>
      <c r="I23" s="509">
        <v>0</v>
      </c>
      <c r="J23" s="509">
        <v>0</v>
      </c>
      <c r="K23" s="509"/>
      <c r="L23" s="509"/>
      <c r="M23" s="509"/>
      <c r="N23" s="509"/>
      <c r="O23" s="509"/>
      <c r="P23" s="406">
        <f t="shared" si="0"/>
        <v>2</v>
      </c>
      <c r="Q23" s="407">
        <f t="shared" si="1"/>
        <v>2</v>
      </c>
      <c r="R23" s="720">
        <v>0</v>
      </c>
      <c r="S23" s="720" t="s">
        <v>1141</v>
      </c>
      <c r="T23" s="720">
        <v>0</v>
      </c>
      <c r="U23" s="720">
        <v>0</v>
      </c>
      <c r="V23" s="720"/>
      <c r="W23" s="720"/>
      <c r="X23" s="510"/>
      <c r="Y23" s="510"/>
      <c r="Z23" s="510"/>
      <c r="AA23" s="510"/>
      <c r="AB23" s="510"/>
      <c r="AC23" s="510"/>
      <c r="AD23" s="406">
        <f t="shared" si="2"/>
        <v>1</v>
      </c>
      <c r="AE23" s="407">
        <f t="shared" si="3"/>
        <v>1</v>
      </c>
      <c r="AF23" s="369"/>
    </row>
    <row r="24" spans="1:32" ht="24" customHeight="1" x14ac:dyDescent="0.25">
      <c r="A24" s="143">
        <f>A23+1</f>
        <v>14</v>
      </c>
      <c r="B24" s="8" t="s">
        <v>383</v>
      </c>
      <c r="C24" s="63" t="s">
        <v>680</v>
      </c>
      <c r="D24" s="752">
        <v>0</v>
      </c>
      <c r="E24" s="752">
        <v>0</v>
      </c>
      <c r="F24" s="752">
        <v>0</v>
      </c>
      <c r="G24" s="752">
        <v>0</v>
      </c>
      <c r="H24" s="509">
        <v>0</v>
      </c>
      <c r="I24" s="509">
        <v>0</v>
      </c>
      <c r="J24" s="509">
        <v>0</v>
      </c>
      <c r="K24" s="509"/>
      <c r="L24" s="509"/>
      <c r="M24" s="509"/>
      <c r="N24" s="509"/>
      <c r="O24" s="509"/>
      <c r="P24" s="406">
        <f t="shared" si="0"/>
        <v>0</v>
      </c>
      <c r="Q24" s="407">
        <f t="shared" si="1"/>
        <v>0</v>
      </c>
      <c r="R24" s="720" t="s">
        <v>1141</v>
      </c>
      <c r="S24" s="720">
        <v>0</v>
      </c>
      <c r="T24" s="720">
        <v>0</v>
      </c>
      <c r="U24" s="720" t="s">
        <v>1141</v>
      </c>
      <c r="V24" s="720"/>
      <c r="W24" s="720"/>
      <c r="X24" s="510"/>
      <c r="Y24" s="510"/>
      <c r="Z24" s="510"/>
      <c r="AA24" s="510"/>
      <c r="AB24" s="509"/>
      <c r="AC24" s="510"/>
      <c r="AD24" s="406">
        <f t="shared" si="2"/>
        <v>2</v>
      </c>
      <c r="AE24" s="407">
        <f t="shared" si="3"/>
        <v>2</v>
      </c>
      <c r="AF24" s="369"/>
    </row>
    <row r="25" spans="1:32" ht="24" customHeight="1" x14ac:dyDescent="0.25">
      <c r="A25" s="143">
        <f t="shared" ref="A25:A37" si="9">A24+1</f>
        <v>15</v>
      </c>
      <c r="B25" s="8" t="s">
        <v>382</v>
      </c>
      <c r="C25" s="143" t="s">
        <v>683</v>
      </c>
      <c r="D25" s="752">
        <v>0</v>
      </c>
      <c r="E25" s="752">
        <v>0</v>
      </c>
      <c r="F25" s="752">
        <v>0</v>
      </c>
      <c r="G25" s="752">
        <v>0</v>
      </c>
      <c r="H25" s="509">
        <v>0</v>
      </c>
      <c r="I25" s="509">
        <v>0</v>
      </c>
      <c r="J25" s="509">
        <v>0</v>
      </c>
      <c r="K25" s="509"/>
      <c r="L25" s="509"/>
      <c r="M25" s="509"/>
      <c r="N25" s="509"/>
      <c r="O25" s="509"/>
      <c r="P25" s="406">
        <f t="shared" si="0"/>
        <v>0</v>
      </c>
      <c r="Q25" s="407">
        <f t="shared" si="1"/>
        <v>0</v>
      </c>
      <c r="R25" s="720" t="s">
        <v>1141</v>
      </c>
      <c r="S25" s="720">
        <v>0</v>
      </c>
      <c r="T25" s="720">
        <v>0</v>
      </c>
      <c r="U25" s="720" t="s">
        <v>1141</v>
      </c>
      <c r="V25" s="720"/>
      <c r="W25" s="720"/>
      <c r="X25" s="510"/>
      <c r="Y25" s="510"/>
      <c r="Z25" s="510"/>
      <c r="AA25" s="510"/>
      <c r="AB25" s="510"/>
      <c r="AC25" s="510"/>
      <c r="AD25" s="406">
        <f t="shared" si="2"/>
        <v>2</v>
      </c>
      <c r="AE25" s="407">
        <f t="shared" si="3"/>
        <v>2</v>
      </c>
      <c r="AF25" s="369"/>
    </row>
    <row r="26" spans="1:32" ht="24" customHeight="1" x14ac:dyDescent="0.25">
      <c r="A26" s="143">
        <f t="shared" si="9"/>
        <v>16</v>
      </c>
      <c r="B26" s="8" t="s">
        <v>384</v>
      </c>
      <c r="C26" s="63" t="s">
        <v>692</v>
      </c>
      <c r="D26" s="752">
        <v>0</v>
      </c>
      <c r="E26" s="752">
        <v>0</v>
      </c>
      <c r="F26" s="752">
        <v>0</v>
      </c>
      <c r="G26" s="752">
        <v>0</v>
      </c>
      <c r="H26" s="509">
        <v>0</v>
      </c>
      <c r="I26" s="509">
        <v>0</v>
      </c>
      <c r="J26" s="509">
        <v>0</v>
      </c>
      <c r="K26" s="509"/>
      <c r="L26" s="509"/>
      <c r="M26" s="509"/>
      <c r="N26" s="509"/>
      <c r="O26" s="509"/>
      <c r="P26" s="406">
        <f t="shared" si="0"/>
        <v>0</v>
      </c>
      <c r="Q26" s="407">
        <f t="shared" si="1"/>
        <v>0</v>
      </c>
      <c r="R26" s="720" t="s">
        <v>1141</v>
      </c>
      <c r="S26" s="720">
        <v>0</v>
      </c>
      <c r="T26" s="720" t="s">
        <v>1141</v>
      </c>
      <c r="U26" s="720" t="s">
        <v>1141</v>
      </c>
      <c r="V26" s="720"/>
      <c r="W26" s="720"/>
      <c r="X26" s="510"/>
      <c r="Y26" s="510"/>
      <c r="Z26" s="510"/>
      <c r="AA26" s="510"/>
      <c r="AB26" s="509"/>
      <c r="AC26" s="510"/>
      <c r="AD26" s="406">
        <f t="shared" si="2"/>
        <v>3</v>
      </c>
      <c r="AE26" s="407">
        <f t="shared" si="3"/>
        <v>3</v>
      </c>
      <c r="AF26" s="369"/>
    </row>
    <row r="27" spans="1:32" ht="24" customHeight="1" x14ac:dyDescent="0.25">
      <c r="A27" s="143">
        <f t="shared" si="9"/>
        <v>17</v>
      </c>
      <c r="B27" s="8" t="s">
        <v>385</v>
      </c>
      <c r="C27" s="63" t="s">
        <v>684</v>
      </c>
      <c r="D27" s="752">
        <v>0</v>
      </c>
      <c r="E27" s="752">
        <v>0</v>
      </c>
      <c r="F27" s="752">
        <v>0</v>
      </c>
      <c r="G27" s="752">
        <v>0</v>
      </c>
      <c r="H27" s="509">
        <v>0</v>
      </c>
      <c r="I27" s="509">
        <v>0</v>
      </c>
      <c r="J27" s="509">
        <v>0</v>
      </c>
      <c r="K27" s="509"/>
      <c r="L27" s="509"/>
      <c r="M27" s="509"/>
      <c r="N27" s="509"/>
      <c r="O27" s="509"/>
      <c r="P27" s="406">
        <f t="shared" si="0"/>
        <v>0</v>
      </c>
      <c r="Q27" s="407">
        <f t="shared" si="1"/>
        <v>0</v>
      </c>
      <c r="R27" s="720" t="s">
        <v>1141</v>
      </c>
      <c r="S27" s="720">
        <v>0</v>
      </c>
      <c r="T27" s="720">
        <v>0</v>
      </c>
      <c r="U27" s="720" t="s">
        <v>1141</v>
      </c>
      <c r="V27" s="720"/>
      <c r="W27" s="720"/>
      <c r="X27" s="510"/>
      <c r="Y27" s="510"/>
      <c r="Z27" s="510"/>
      <c r="AA27" s="510"/>
      <c r="AB27" s="509"/>
      <c r="AC27" s="510"/>
      <c r="AD27" s="406">
        <f t="shared" si="2"/>
        <v>2</v>
      </c>
      <c r="AE27" s="407">
        <f t="shared" si="3"/>
        <v>2</v>
      </c>
      <c r="AF27" s="369"/>
    </row>
    <row r="28" spans="1:32" ht="24" customHeight="1" x14ac:dyDescent="0.25">
      <c r="A28" s="143">
        <f t="shared" si="9"/>
        <v>18</v>
      </c>
      <c r="B28" s="8" t="s">
        <v>386</v>
      </c>
      <c r="C28" s="63" t="s">
        <v>690</v>
      </c>
      <c r="D28" s="752">
        <v>0</v>
      </c>
      <c r="E28" s="752">
        <v>0</v>
      </c>
      <c r="F28" s="752">
        <v>0</v>
      </c>
      <c r="G28" s="752">
        <v>0</v>
      </c>
      <c r="H28" s="509">
        <v>0</v>
      </c>
      <c r="I28" s="509">
        <v>0</v>
      </c>
      <c r="J28" s="509">
        <v>0</v>
      </c>
      <c r="K28" s="509"/>
      <c r="L28" s="509"/>
      <c r="M28" s="509"/>
      <c r="N28" s="509"/>
      <c r="O28" s="509"/>
      <c r="P28" s="406">
        <f t="shared" si="0"/>
        <v>0</v>
      </c>
      <c r="Q28" s="407">
        <f t="shared" si="1"/>
        <v>0</v>
      </c>
      <c r="R28" s="720" t="s">
        <v>1141</v>
      </c>
      <c r="S28" s="720">
        <v>0</v>
      </c>
      <c r="T28" s="720">
        <v>0</v>
      </c>
      <c r="U28" s="720" t="s">
        <v>1141</v>
      </c>
      <c r="V28" s="720"/>
      <c r="W28" s="720"/>
      <c r="X28" s="510"/>
      <c r="Y28" s="510"/>
      <c r="Z28" s="510"/>
      <c r="AA28" s="510"/>
      <c r="AB28" s="509"/>
      <c r="AC28" s="510"/>
      <c r="AD28" s="406">
        <f t="shared" si="2"/>
        <v>2</v>
      </c>
      <c r="AE28" s="407">
        <f t="shared" si="3"/>
        <v>2</v>
      </c>
      <c r="AF28" s="369"/>
    </row>
    <row r="29" spans="1:32" ht="24" customHeight="1" x14ac:dyDescent="0.25">
      <c r="A29" s="143">
        <f t="shared" si="9"/>
        <v>19</v>
      </c>
      <c r="B29" s="8" t="s">
        <v>779</v>
      </c>
      <c r="C29" s="63" t="s">
        <v>685</v>
      </c>
      <c r="D29" s="752">
        <v>0</v>
      </c>
      <c r="E29" s="752">
        <v>0</v>
      </c>
      <c r="F29" s="752">
        <v>0</v>
      </c>
      <c r="G29" s="752">
        <v>0</v>
      </c>
      <c r="H29" s="509">
        <v>0</v>
      </c>
      <c r="I29" s="509">
        <v>0</v>
      </c>
      <c r="J29" s="509" t="s">
        <v>1141</v>
      </c>
      <c r="K29" s="509"/>
      <c r="L29" s="509"/>
      <c r="M29" s="509"/>
      <c r="N29" s="509"/>
      <c r="O29" s="509"/>
      <c r="P29" s="406">
        <f t="shared" si="0"/>
        <v>1</v>
      </c>
      <c r="Q29" s="407">
        <f t="shared" si="1"/>
        <v>1</v>
      </c>
      <c r="R29" s="720" t="s">
        <v>1141</v>
      </c>
      <c r="S29" s="720">
        <v>0</v>
      </c>
      <c r="T29" s="720" t="s">
        <v>1141</v>
      </c>
      <c r="U29" s="720" t="s">
        <v>1141</v>
      </c>
      <c r="V29" s="720"/>
      <c r="W29" s="720"/>
      <c r="X29" s="510"/>
      <c r="Y29" s="510"/>
      <c r="Z29" s="510"/>
      <c r="AA29" s="510"/>
      <c r="AB29" s="509"/>
      <c r="AC29" s="510"/>
      <c r="AD29" s="406">
        <f t="shared" si="2"/>
        <v>3</v>
      </c>
      <c r="AE29" s="407">
        <f t="shared" si="3"/>
        <v>3</v>
      </c>
      <c r="AF29" s="369"/>
    </row>
    <row r="30" spans="1:32" ht="24" customHeight="1" x14ac:dyDescent="0.25">
      <c r="A30" s="143">
        <f t="shared" si="9"/>
        <v>20</v>
      </c>
      <c r="B30" s="8" t="s">
        <v>387</v>
      </c>
      <c r="C30" s="63" t="s">
        <v>686</v>
      </c>
      <c r="D30" s="752">
        <v>0</v>
      </c>
      <c r="E30" s="752">
        <v>0</v>
      </c>
      <c r="F30" s="752">
        <v>0</v>
      </c>
      <c r="G30" s="752">
        <v>0</v>
      </c>
      <c r="H30" s="509">
        <v>0</v>
      </c>
      <c r="I30" s="509">
        <v>0</v>
      </c>
      <c r="J30" s="509">
        <v>0</v>
      </c>
      <c r="K30" s="509"/>
      <c r="L30" s="509"/>
      <c r="M30" s="509"/>
      <c r="N30" s="509"/>
      <c r="O30" s="509"/>
      <c r="P30" s="406">
        <f t="shared" si="0"/>
        <v>0</v>
      </c>
      <c r="Q30" s="407">
        <f t="shared" si="1"/>
        <v>0</v>
      </c>
      <c r="R30" s="720">
        <v>0</v>
      </c>
      <c r="S30" s="720">
        <v>0</v>
      </c>
      <c r="T30" s="720">
        <v>0</v>
      </c>
      <c r="U30" s="720">
        <v>0</v>
      </c>
      <c r="V30" s="720"/>
      <c r="W30" s="720"/>
      <c r="X30" s="510"/>
      <c r="Y30" s="510"/>
      <c r="Z30" s="510"/>
      <c r="AA30" s="510"/>
      <c r="AB30" s="509"/>
      <c r="AC30" s="510"/>
      <c r="AD30" s="406">
        <f t="shared" si="2"/>
        <v>0</v>
      </c>
      <c r="AE30" s="407">
        <f t="shared" si="3"/>
        <v>0</v>
      </c>
      <c r="AF30" s="369"/>
    </row>
    <row r="31" spans="1:32" ht="24" customHeight="1" x14ac:dyDescent="0.25">
      <c r="A31" s="143">
        <f t="shared" si="9"/>
        <v>21</v>
      </c>
      <c r="B31" s="8" t="s">
        <v>388</v>
      </c>
      <c r="C31" s="63" t="s">
        <v>687</v>
      </c>
      <c r="D31" s="752">
        <v>0</v>
      </c>
      <c r="E31" s="752">
        <v>0</v>
      </c>
      <c r="F31" s="752">
        <v>0</v>
      </c>
      <c r="G31" s="752">
        <v>0</v>
      </c>
      <c r="H31" s="509">
        <v>0</v>
      </c>
      <c r="I31" s="509">
        <v>0</v>
      </c>
      <c r="J31" s="509">
        <v>0</v>
      </c>
      <c r="K31" s="509"/>
      <c r="L31" s="509"/>
      <c r="M31" s="509"/>
      <c r="N31" s="509"/>
      <c r="O31" s="509"/>
      <c r="P31" s="406">
        <f t="shared" si="0"/>
        <v>0</v>
      </c>
      <c r="Q31" s="407">
        <f t="shared" si="1"/>
        <v>0</v>
      </c>
      <c r="R31" s="720" t="s">
        <v>1141</v>
      </c>
      <c r="S31" s="720">
        <v>0</v>
      </c>
      <c r="T31" s="720">
        <v>0</v>
      </c>
      <c r="U31" s="720" t="s">
        <v>1141</v>
      </c>
      <c r="V31" s="720"/>
      <c r="W31" s="720"/>
      <c r="X31" s="510"/>
      <c r="Y31" s="510"/>
      <c r="Z31" s="510"/>
      <c r="AA31" s="510"/>
      <c r="AB31" s="509"/>
      <c r="AC31" s="510"/>
      <c r="AD31" s="406">
        <f t="shared" si="2"/>
        <v>2</v>
      </c>
      <c r="AE31" s="407">
        <f t="shared" si="3"/>
        <v>2</v>
      </c>
      <c r="AF31" s="369"/>
    </row>
    <row r="32" spans="1:32" ht="24" customHeight="1" x14ac:dyDescent="0.25">
      <c r="A32" s="143">
        <f t="shared" si="9"/>
        <v>22</v>
      </c>
      <c r="B32" s="8" t="s">
        <v>390</v>
      </c>
      <c r="C32" s="63" t="s">
        <v>689</v>
      </c>
      <c r="D32" s="752">
        <v>0</v>
      </c>
      <c r="E32" s="752">
        <v>0</v>
      </c>
      <c r="F32" s="752">
        <v>0</v>
      </c>
      <c r="G32" s="752">
        <v>0</v>
      </c>
      <c r="H32" s="509" t="s">
        <v>1141</v>
      </c>
      <c r="I32" s="509">
        <v>0</v>
      </c>
      <c r="J32" s="509" t="s">
        <v>1141</v>
      </c>
      <c r="K32" s="509"/>
      <c r="L32" s="509"/>
      <c r="M32" s="509"/>
      <c r="N32" s="509"/>
      <c r="O32" s="509"/>
      <c r="P32" s="406">
        <f t="shared" si="0"/>
        <v>2</v>
      </c>
      <c r="Q32" s="407">
        <f t="shared" si="1"/>
        <v>2</v>
      </c>
      <c r="R32" s="720" t="s">
        <v>1141</v>
      </c>
      <c r="S32" s="720">
        <v>0</v>
      </c>
      <c r="T32" s="720" t="s">
        <v>1141</v>
      </c>
      <c r="U32" s="720" t="s">
        <v>1141</v>
      </c>
      <c r="V32" s="720"/>
      <c r="W32" s="720"/>
      <c r="X32" s="510"/>
      <c r="Y32" s="510"/>
      <c r="Z32" s="510"/>
      <c r="AA32" s="510"/>
      <c r="AB32" s="509"/>
      <c r="AC32" s="510"/>
      <c r="AD32" s="406">
        <f t="shared" si="2"/>
        <v>3</v>
      </c>
      <c r="AE32" s="407">
        <f t="shared" si="3"/>
        <v>3</v>
      </c>
      <c r="AF32" s="369"/>
    </row>
    <row r="33" spans="1:32" ht="24" customHeight="1" x14ac:dyDescent="0.25">
      <c r="A33" s="143">
        <f t="shared" si="9"/>
        <v>23</v>
      </c>
      <c r="B33" s="6" t="s">
        <v>393</v>
      </c>
      <c r="C33" s="63" t="s">
        <v>719</v>
      </c>
      <c r="D33" s="752">
        <v>0</v>
      </c>
      <c r="E33" s="752">
        <v>0</v>
      </c>
      <c r="F33" s="752">
        <v>0</v>
      </c>
      <c r="G33" s="752">
        <v>0</v>
      </c>
      <c r="H33" s="509">
        <v>0</v>
      </c>
      <c r="I33" s="509">
        <v>0</v>
      </c>
      <c r="J33" s="509">
        <v>0</v>
      </c>
      <c r="K33" s="509"/>
      <c r="L33" s="509"/>
      <c r="M33" s="509"/>
      <c r="N33" s="509"/>
      <c r="O33" s="509"/>
      <c r="P33" s="406">
        <f t="shared" si="0"/>
        <v>0</v>
      </c>
      <c r="Q33" s="407">
        <f t="shared" si="1"/>
        <v>0</v>
      </c>
      <c r="R33" s="720" t="s">
        <v>1141</v>
      </c>
      <c r="S33" s="720">
        <v>0</v>
      </c>
      <c r="T33" s="720">
        <v>0</v>
      </c>
      <c r="U33" s="720" t="s">
        <v>1141</v>
      </c>
      <c r="V33" s="720"/>
      <c r="W33" s="720"/>
      <c r="X33" s="510"/>
      <c r="Y33" s="510"/>
      <c r="Z33" s="510"/>
      <c r="AA33" s="510"/>
      <c r="AB33" s="509"/>
      <c r="AC33" s="510"/>
      <c r="AD33" s="406">
        <f t="shared" si="2"/>
        <v>2</v>
      </c>
      <c r="AE33" s="407">
        <f t="shared" si="3"/>
        <v>2</v>
      </c>
      <c r="AF33" s="369"/>
    </row>
    <row r="34" spans="1:32" ht="24" customHeight="1" x14ac:dyDescent="0.25">
      <c r="A34" s="143">
        <f t="shared" si="9"/>
        <v>24</v>
      </c>
      <c r="B34" s="6" t="s">
        <v>1114</v>
      </c>
      <c r="C34" s="63" t="s">
        <v>1115</v>
      </c>
      <c r="D34" s="752">
        <v>0</v>
      </c>
      <c r="E34" s="752">
        <v>0</v>
      </c>
      <c r="F34" s="752">
        <v>0</v>
      </c>
      <c r="G34" s="752">
        <v>0</v>
      </c>
      <c r="H34" s="509">
        <v>0</v>
      </c>
      <c r="I34" s="509">
        <v>0</v>
      </c>
      <c r="J34" s="509">
        <v>0</v>
      </c>
      <c r="K34" s="509"/>
      <c r="L34" s="509"/>
      <c r="M34" s="509"/>
      <c r="N34" s="509"/>
      <c r="O34" s="509"/>
      <c r="P34" s="406">
        <f>SUM(COUNTIF(D34:O34,"x"),COUNTIF(D34:O34,"A"))</f>
        <v>0</v>
      </c>
      <c r="Q34" s="407">
        <f>SUM(COUNTIF(D34:O34,"x"),COUNTIF(D34:O34,"b"))</f>
        <v>0</v>
      </c>
      <c r="R34" s="720" t="s">
        <v>1141</v>
      </c>
      <c r="S34" s="720">
        <v>0</v>
      </c>
      <c r="T34" s="720">
        <v>0</v>
      </c>
      <c r="U34" s="720" t="s">
        <v>1141</v>
      </c>
      <c r="V34" s="720"/>
      <c r="W34" s="720"/>
      <c r="X34" s="510"/>
      <c r="Y34" s="510"/>
      <c r="Z34" s="510"/>
      <c r="AA34" s="510"/>
      <c r="AB34" s="509"/>
      <c r="AC34" s="510"/>
      <c r="AD34" s="406">
        <f>SUM(COUNTIF(R34:AC34,"x"),COUNTIF(R34:AC34,"A"))</f>
        <v>2</v>
      </c>
      <c r="AE34" s="407">
        <f>SUM(COUNTIF(R34:AC34,"x"),COUNTIF(R34:AC34,"b"))</f>
        <v>2</v>
      </c>
      <c r="AF34" s="369"/>
    </row>
    <row r="35" spans="1:32" ht="24" customHeight="1" x14ac:dyDescent="0.25">
      <c r="A35" s="143">
        <f t="shared" si="9"/>
        <v>25</v>
      </c>
      <c r="B35" s="1150" t="s">
        <v>1122</v>
      </c>
      <c r="C35" s="1148" t="s">
        <v>1123</v>
      </c>
      <c r="D35" s="752">
        <v>0</v>
      </c>
      <c r="E35" s="752">
        <v>0</v>
      </c>
      <c r="F35" s="752">
        <v>0</v>
      </c>
      <c r="G35" s="752">
        <v>0</v>
      </c>
      <c r="H35" s="509">
        <v>0</v>
      </c>
      <c r="I35" s="509">
        <v>0</v>
      </c>
      <c r="J35" s="509" t="s">
        <v>1141</v>
      </c>
      <c r="K35" s="509"/>
      <c r="L35" s="509"/>
      <c r="M35" s="509"/>
      <c r="N35" s="509"/>
      <c r="O35" s="509"/>
      <c r="P35" s="406">
        <f>SUM(COUNTIF(D35:O35,"x"),COUNTIF(D35:O35,"A"))</f>
        <v>1</v>
      </c>
      <c r="Q35" s="407">
        <f>SUM(COUNTIF(D35:O35,"x"),COUNTIF(D35:O35,"b"))</f>
        <v>1</v>
      </c>
      <c r="R35" s="720" t="s">
        <v>1141</v>
      </c>
      <c r="S35" s="720">
        <v>0</v>
      </c>
      <c r="T35" s="720">
        <v>0</v>
      </c>
      <c r="U35" s="720" t="s">
        <v>1141</v>
      </c>
      <c r="V35" s="720"/>
      <c r="W35" s="720"/>
      <c r="X35" s="510"/>
      <c r="Y35" s="510"/>
      <c r="Z35" s="510"/>
      <c r="AA35" s="510"/>
      <c r="AB35" s="509"/>
      <c r="AC35" s="510"/>
      <c r="AD35" s="406">
        <f>SUM(COUNTIF(R35:AC35,"x"),COUNTIF(R35:AC35,"A"))</f>
        <v>2</v>
      </c>
      <c r="AE35" s="407">
        <f>SUM(COUNTIF(R35:AC35,"x"),COUNTIF(R35:AC35,"b"))</f>
        <v>2</v>
      </c>
      <c r="AF35" s="369"/>
    </row>
    <row r="36" spans="1:32" ht="24" customHeight="1" x14ac:dyDescent="0.25">
      <c r="A36" s="143">
        <f t="shared" si="9"/>
        <v>26</v>
      </c>
      <c r="B36" s="6" t="s">
        <v>391</v>
      </c>
      <c r="C36" s="63" t="s">
        <v>693</v>
      </c>
      <c r="D36" s="752">
        <v>0</v>
      </c>
      <c r="E36" s="752">
        <v>0</v>
      </c>
      <c r="F36" s="752">
        <v>0</v>
      </c>
      <c r="G36" s="752">
        <v>0</v>
      </c>
      <c r="H36" s="509">
        <v>0</v>
      </c>
      <c r="I36" s="509" t="s">
        <v>1141</v>
      </c>
      <c r="J36" s="509" t="s">
        <v>1141</v>
      </c>
      <c r="K36" s="509"/>
      <c r="L36" s="509"/>
      <c r="M36" s="509"/>
      <c r="N36" s="509"/>
      <c r="O36" s="509"/>
      <c r="P36" s="406">
        <f t="shared" si="0"/>
        <v>2</v>
      </c>
      <c r="Q36" s="407">
        <f t="shared" si="1"/>
        <v>2</v>
      </c>
      <c r="R36" s="720">
        <v>0</v>
      </c>
      <c r="S36" s="720" t="s">
        <v>1141</v>
      </c>
      <c r="T36" s="720">
        <v>0</v>
      </c>
      <c r="U36" s="720">
        <v>0</v>
      </c>
      <c r="V36" s="720"/>
      <c r="W36" s="720"/>
      <c r="X36" s="510"/>
      <c r="Y36" s="510"/>
      <c r="Z36" s="510"/>
      <c r="AA36" s="510"/>
      <c r="AB36" s="509"/>
      <c r="AC36" s="510"/>
      <c r="AD36" s="406">
        <f t="shared" si="2"/>
        <v>1</v>
      </c>
      <c r="AE36" s="407">
        <f t="shared" si="3"/>
        <v>1</v>
      </c>
      <c r="AF36" s="369"/>
    </row>
    <row r="37" spans="1:32" ht="24" customHeight="1" x14ac:dyDescent="0.25">
      <c r="A37" s="143">
        <f t="shared" si="9"/>
        <v>27</v>
      </c>
      <c r="B37" s="6" t="s">
        <v>392</v>
      </c>
      <c r="C37" s="63" t="s">
        <v>696</v>
      </c>
      <c r="D37" s="752">
        <v>0</v>
      </c>
      <c r="E37" s="752">
        <v>0</v>
      </c>
      <c r="F37" s="752">
        <v>0</v>
      </c>
      <c r="G37" s="752" t="s">
        <v>1141</v>
      </c>
      <c r="H37" s="509">
        <v>0</v>
      </c>
      <c r="I37" s="509" t="s">
        <v>1141</v>
      </c>
      <c r="J37" s="509">
        <v>0</v>
      </c>
      <c r="K37" s="509"/>
      <c r="L37" s="509"/>
      <c r="M37" s="509"/>
      <c r="N37" s="509"/>
      <c r="O37" s="509"/>
      <c r="P37" s="406">
        <f t="shared" si="0"/>
        <v>2</v>
      </c>
      <c r="Q37" s="407">
        <f t="shared" si="1"/>
        <v>2</v>
      </c>
      <c r="R37" s="720">
        <v>0</v>
      </c>
      <c r="S37" s="720" t="s">
        <v>1141</v>
      </c>
      <c r="T37" s="720">
        <v>0</v>
      </c>
      <c r="U37" s="720">
        <v>0</v>
      </c>
      <c r="V37" s="720"/>
      <c r="W37" s="720"/>
      <c r="X37" s="510"/>
      <c r="Y37" s="510"/>
      <c r="Z37" s="510"/>
      <c r="AA37" s="510"/>
      <c r="AB37" s="509"/>
      <c r="AC37" s="510"/>
      <c r="AD37" s="406">
        <f t="shared" si="2"/>
        <v>1</v>
      </c>
      <c r="AE37" s="407">
        <f t="shared" si="3"/>
        <v>1</v>
      </c>
      <c r="AF37" s="369"/>
    </row>
    <row r="38" spans="1:32" ht="24" customHeight="1" x14ac:dyDescent="0.25">
      <c r="A38" s="520"/>
      <c r="B38" s="522"/>
      <c r="C38" s="523"/>
      <c r="D38" s="374">
        <f t="shared" ref="D38:O38" si="10">COUNTIF(D9:D37,"x")</f>
        <v>9</v>
      </c>
      <c r="E38" s="374">
        <f t="shared" si="10"/>
        <v>11</v>
      </c>
      <c r="F38" s="374">
        <f t="shared" si="10"/>
        <v>1</v>
      </c>
      <c r="G38" s="374">
        <f t="shared" si="10"/>
        <v>13</v>
      </c>
      <c r="H38" s="374">
        <f t="shared" si="10"/>
        <v>2</v>
      </c>
      <c r="I38" s="374">
        <f t="shared" si="10"/>
        <v>3</v>
      </c>
      <c r="J38" s="374">
        <f t="shared" si="10"/>
        <v>4</v>
      </c>
      <c r="K38" s="374">
        <f t="shared" si="10"/>
        <v>0</v>
      </c>
      <c r="L38" s="374">
        <f t="shared" si="10"/>
        <v>0</v>
      </c>
      <c r="M38" s="374">
        <f t="shared" si="10"/>
        <v>0</v>
      </c>
      <c r="N38" s="374">
        <f t="shared" si="10"/>
        <v>0</v>
      </c>
      <c r="O38" s="374">
        <f t="shared" si="10"/>
        <v>0</v>
      </c>
      <c r="P38" s="525"/>
      <c r="Q38" s="526"/>
      <c r="R38" s="374">
        <f t="shared" ref="R38:AA38" si="11">COUNTIF(R9:R37,"x")</f>
        <v>14</v>
      </c>
      <c r="S38" s="374">
        <f t="shared" si="11"/>
        <v>15</v>
      </c>
      <c r="T38" s="374">
        <f t="shared" si="11"/>
        <v>3</v>
      </c>
      <c r="U38" s="374">
        <f t="shared" si="11"/>
        <v>11</v>
      </c>
      <c r="V38" s="374">
        <f t="shared" si="11"/>
        <v>0</v>
      </c>
      <c r="W38" s="374">
        <f t="shared" si="11"/>
        <v>0</v>
      </c>
      <c r="X38" s="374">
        <f t="shared" si="11"/>
        <v>0</v>
      </c>
      <c r="Y38" s="374">
        <f t="shared" si="11"/>
        <v>0</v>
      </c>
      <c r="Z38" s="374">
        <f t="shared" si="11"/>
        <v>0</v>
      </c>
      <c r="AA38" s="374">
        <f t="shared" si="11"/>
        <v>0</v>
      </c>
      <c r="AB38" s="524"/>
      <c r="AC38" s="527"/>
      <c r="AD38" s="525"/>
      <c r="AE38" s="526"/>
      <c r="AF38" s="528"/>
    </row>
    <row r="39" spans="1:32" ht="10.5" customHeight="1" x14ac:dyDescent="0.25">
      <c r="A39" s="1411"/>
      <c r="B39" s="1411"/>
      <c r="C39" s="1411"/>
      <c r="D39" s="1411"/>
      <c r="E39" s="1411"/>
      <c r="F39" s="1411"/>
      <c r="G39" s="1411"/>
      <c r="H39" s="1411"/>
      <c r="I39" s="1411"/>
      <c r="J39" s="1411"/>
      <c r="K39" s="1411"/>
      <c r="L39" s="1411"/>
      <c r="M39" s="1411"/>
      <c r="N39" s="1411"/>
      <c r="O39" s="1411"/>
      <c r="P39" s="1411"/>
      <c r="Q39" s="1411"/>
      <c r="R39" s="1411"/>
      <c r="S39" s="1411"/>
      <c r="T39" s="1411"/>
      <c r="U39" s="1411"/>
      <c r="V39" s="1411"/>
      <c r="W39" s="1411"/>
      <c r="X39" s="1411"/>
      <c r="Y39" s="1411"/>
      <c r="Z39" s="1411"/>
      <c r="AA39" s="1411"/>
      <c r="AB39" s="1411"/>
      <c r="AC39" s="1411"/>
      <c r="AD39" s="1411"/>
      <c r="AE39" s="1411"/>
      <c r="AF39" s="1411"/>
    </row>
    <row r="40" spans="1:32" ht="15.75" x14ac:dyDescent="0.25">
      <c r="A40" s="1395" t="s">
        <v>578</v>
      </c>
      <c r="B40" s="1395"/>
      <c r="C40" s="1395"/>
      <c r="D40" s="1395"/>
      <c r="E40" s="1395"/>
      <c r="F40" s="1395"/>
      <c r="G40" s="1395"/>
      <c r="H40" s="1395"/>
      <c r="I40" s="1395"/>
      <c r="J40" s="1395"/>
      <c r="K40" s="1395"/>
      <c r="L40" s="1395"/>
      <c r="M40" s="1395"/>
      <c r="N40" s="1395"/>
      <c r="O40" s="1395"/>
      <c r="P40" s="1395"/>
      <c r="Q40" s="1395"/>
      <c r="R40" s="1395"/>
      <c r="S40" s="1395"/>
      <c r="T40" s="1395"/>
      <c r="U40" s="1395"/>
      <c r="V40" s="1395"/>
      <c r="W40" s="1395"/>
      <c r="X40" s="1395"/>
      <c r="Y40" s="1395"/>
      <c r="Z40" s="1395"/>
      <c r="AA40" s="1395"/>
      <c r="AB40" s="1395"/>
      <c r="AC40" s="1395"/>
      <c r="AD40" s="1395"/>
      <c r="AE40" s="1395"/>
      <c r="AF40" s="1395"/>
    </row>
    <row r="41" spans="1:32" ht="17.25" x14ac:dyDescent="0.3">
      <c r="A41" s="375"/>
      <c r="B41" s="375"/>
      <c r="C41" s="375"/>
      <c r="D41" s="376"/>
      <c r="E41" s="377"/>
      <c r="F41" s="377"/>
      <c r="G41" s="377"/>
      <c r="H41" s="377"/>
      <c r="I41" s="377"/>
      <c r="J41" s="377"/>
      <c r="K41" s="377"/>
      <c r="L41" s="377"/>
      <c r="M41" s="377"/>
      <c r="N41" s="377"/>
      <c r="O41" s="377"/>
      <c r="P41" s="224"/>
      <c r="Q41" s="224"/>
      <c r="R41" s="224"/>
      <c r="S41" s="224"/>
      <c r="T41" s="224" t="str">
        <f>'P.TS-ĐT'!AB29</f>
        <v>TP. HCM, ngày 2 tháng 11 năm 2023</v>
      </c>
      <c r="U41" s="224"/>
      <c r="V41" s="224"/>
      <c r="W41" s="224"/>
      <c r="X41" s="224"/>
      <c r="Y41" s="224"/>
      <c r="Z41" s="224"/>
      <c r="AA41" s="224"/>
      <c r="AB41" s="224"/>
      <c r="AC41" s="224"/>
      <c r="AD41" s="224"/>
      <c r="AE41" s="224"/>
      <c r="AF41" s="224"/>
    </row>
    <row r="42" spans="1:32" ht="17.25" x14ac:dyDescent="0.3">
      <c r="A42" s="375"/>
      <c r="B42" s="375"/>
      <c r="C42" s="375"/>
      <c r="D42" s="376"/>
      <c r="R42" s="1403" t="s">
        <v>579</v>
      </c>
      <c r="S42" s="1403"/>
      <c r="T42" s="1403"/>
      <c r="U42" s="1403"/>
      <c r="V42" s="1403"/>
      <c r="W42" s="1403"/>
      <c r="X42" s="1403"/>
      <c r="Y42" s="1403"/>
      <c r="Z42" s="1403"/>
      <c r="AA42" s="1403"/>
      <c r="AB42" s="1403"/>
      <c r="AC42" s="1403"/>
      <c r="AD42" s="1403"/>
      <c r="AE42" s="1403"/>
      <c r="AF42" s="1403"/>
    </row>
    <row r="44" spans="1:32" ht="18.75" x14ac:dyDescent="0.3">
      <c r="B44" s="381" t="s">
        <v>805</v>
      </c>
      <c r="C44" s="382" t="s">
        <v>802</v>
      </c>
    </row>
    <row r="45" spans="1:32" ht="18.75" x14ac:dyDescent="0.3">
      <c r="B45" s="382" t="s">
        <v>803</v>
      </c>
      <c r="C45" s="382" t="s">
        <v>804</v>
      </c>
    </row>
    <row r="46" spans="1:32" ht="16.5" x14ac:dyDescent="0.25">
      <c r="S46" s="1410"/>
      <c r="T46" s="1410"/>
      <c r="U46" s="1410"/>
      <c r="V46" s="1410"/>
      <c r="W46" s="1410"/>
      <c r="X46" s="1410"/>
      <c r="Y46" s="1410"/>
      <c r="Z46" s="1410"/>
      <c r="AA46" s="1410"/>
      <c r="AB46" s="1410"/>
      <c r="AC46" s="1410"/>
      <c r="AD46" s="409"/>
      <c r="AE46" s="409"/>
    </row>
  </sheetData>
  <mergeCells count="13">
    <mergeCell ref="R42:AF42"/>
    <mergeCell ref="S46:AC46"/>
    <mergeCell ref="A39:AF39"/>
    <mergeCell ref="A40:AF40"/>
    <mergeCell ref="D7:P7"/>
    <mergeCell ref="R7:AD7"/>
    <mergeCell ref="B7:C7"/>
    <mergeCell ref="A5:AF5"/>
    <mergeCell ref="A1:C1"/>
    <mergeCell ref="R1:AF1"/>
    <mergeCell ref="A2:C2"/>
    <mergeCell ref="R2:AF2"/>
    <mergeCell ref="A3:C3"/>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F34"/>
  <sheetViews>
    <sheetView showZeros="0" topLeftCell="A13" zoomScale="90" zoomScaleNormal="90" workbookViewId="0">
      <selection activeCell="J22" sqref="J22"/>
    </sheetView>
  </sheetViews>
  <sheetFormatPr defaultRowHeight="15" x14ac:dyDescent="0.25"/>
  <cols>
    <col min="1" max="1" width="5.28515625" customWidth="1"/>
    <col min="2" max="2" width="21.42578125" customWidth="1"/>
    <col min="3" max="3" width="13.85546875" customWidth="1"/>
    <col min="4" max="31" width="6.7109375" style="108" customWidth="1"/>
    <col min="32" max="32" width="10.5703125" style="108" customWidth="1"/>
  </cols>
  <sheetData>
    <row r="1" spans="1:32" ht="15.75" x14ac:dyDescent="0.25">
      <c r="A1" s="1400" t="s">
        <v>559</v>
      </c>
      <c r="B1" s="1400"/>
      <c r="C1" s="1400"/>
      <c r="D1" s="15"/>
      <c r="E1" s="103"/>
      <c r="F1" s="103"/>
      <c r="G1" s="103"/>
      <c r="H1" s="103"/>
      <c r="I1" s="103"/>
      <c r="J1" s="103"/>
      <c r="K1" s="103"/>
      <c r="L1" s="103"/>
      <c r="M1" s="103"/>
      <c r="N1" s="103"/>
      <c r="O1" s="103"/>
      <c r="P1" s="103"/>
      <c r="Q1" s="103"/>
      <c r="R1" s="1401" t="s">
        <v>560</v>
      </c>
      <c r="S1" s="1401"/>
      <c r="T1" s="1401"/>
      <c r="U1" s="1401"/>
      <c r="V1" s="1401"/>
      <c r="W1" s="1401"/>
      <c r="X1" s="1401"/>
      <c r="Y1" s="1401"/>
      <c r="Z1" s="1401"/>
      <c r="AA1" s="1401"/>
      <c r="AB1" s="1401"/>
      <c r="AC1" s="1401"/>
      <c r="AD1" s="1401"/>
      <c r="AE1" s="1401"/>
      <c r="AF1" s="1401"/>
    </row>
    <row r="2" spans="1:32" ht="15.75" x14ac:dyDescent="0.25">
      <c r="A2" s="1400" t="s">
        <v>561</v>
      </c>
      <c r="B2" s="1400"/>
      <c r="C2" s="1400"/>
      <c r="D2" s="15"/>
      <c r="E2" s="103"/>
      <c r="F2" s="103"/>
      <c r="G2" s="103"/>
      <c r="H2" s="103"/>
      <c r="I2" s="103"/>
      <c r="J2" s="103"/>
      <c r="K2" s="103"/>
      <c r="L2" s="103"/>
      <c r="M2" s="103"/>
      <c r="N2" s="103"/>
      <c r="O2" s="103"/>
      <c r="P2" s="103"/>
      <c r="Q2" s="103"/>
      <c r="R2" s="1401" t="s">
        <v>562</v>
      </c>
      <c r="S2" s="1401"/>
      <c r="T2" s="1401"/>
      <c r="U2" s="1401"/>
      <c r="V2" s="1401"/>
      <c r="W2" s="1401"/>
      <c r="X2" s="1401"/>
      <c r="Y2" s="1401"/>
      <c r="Z2" s="1401"/>
      <c r="AA2" s="1401"/>
      <c r="AB2" s="1401"/>
      <c r="AC2" s="1401"/>
      <c r="AD2" s="1401"/>
      <c r="AE2" s="1401"/>
      <c r="AF2" s="1401"/>
    </row>
    <row r="3" spans="1:32" ht="15.75" x14ac:dyDescent="0.25">
      <c r="A3" s="1401" t="s">
        <v>582</v>
      </c>
      <c r="B3" s="1401"/>
      <c r="C3" s="1401"/>
      <c r="D3" s="15"/>
      <c r="E3" s="103"/>
      <c r="F3" s="103"/>
      <c r="G3" s="103"/>
      <c r="H3" s="103"/>
      <c r="I3" s="103"/>
      <c r="J3" s="103"/>
      <c r="K3" s="103"/>
      <c r="L3" s="103"/>
      <c r="M3" s="103"/>
      <c r="N3" s="103"/>
      <c r="O3" s="103"/>
      <c r="P3" s="103"/>
      <c r="Q3" s="103"/>
      <c r="R3" s="103"/>
      <c r="S3" s="103"/>
      <c r="T3" s="103"/>
      <c r="U3" s="103"/>
      <c r="V3" s="103"/>
      <c r="W3" s="103"/>
      <c r="X3" s="103"/>
      <c r="Y3" s="103"/>
      <c r="Z3" s="103"/>
      <c r="AA3" s="103"/>
      <c r="AB3" s="103"/>
      <c r="AC3" s="103"/>
      <c r="AD3" s="103"/>
      <c r="AE3" s="103"/>
      <c r="AF3" s="103"/>
    </row>
    <row r="4" spans="1:32" ht="15.75" x14ac:dyDescent="0.25">
      <c r="A4" s="18"/>
      <c r="B4" s="18"/>
      <c r="C4" s="18"/>
      <c r="D4" s="15"/>
      <c r="E4" s="103"/>
      <c r="F4" s="103"/>
      <c r="G4" s="103"/>
      <c r="H4" s="103"/>
      <c r="I4" s="103"/>
      <c r="J4" s="103"/>
      <c r="K4" s="103"/>
      <c r="L4" s="103"/>
      <c r="M4" s="103"/>
      <c r="N4" s="103"/>
      <c r="O4" s="103"/>
      <c r="P4" s="103"/>
      <c r="Q4" s="103"/>
      <c r="R4" s="103"/>
      <c r="S4" s="103"/>
      <c r="T4" s="103"/>
      <c r="U4" s="103"/>
      <c r="V4" s="103"/>
      <c r="W4" s="103"/>
      <c r="X4" s="103"/>
      <c r="Y4" s="103"/>
      <c r="Z4" s="103"/>
      <c r="AA4" s="103"/>
      <c r="AB4" s="103"/>
      <c r="AC4" s="103"/>
      <c r="AD4" s="103"/>
      <c r="AE4" s="103"/>
      <c r="AF4" s="104" t="s">
        <v>563</v>
      </c>
    </row>
    <row r="5" spans="1:32" ht="20.25" x14ac:dyDescent="0.25">
      <c r="A5" s="1412" t="str">
        <f>TCHC!A5</f>
        <v>THỐNG KÊ CHI TIẾT KHỐI LƯỢNG CÔNG VIỆC THỰC HIỆN THÁNG 10/2023</v>
      </c>
      <c r="B5" s="1412"/>
      <c r="C5" s="1412"/>
      <c r="D5" s="1412"/>
      <c r="E5" s="1412"/>
      <c r="F5" s="1412"/>
      <c r="G5" s="1412"/>
      <c r="H5" s="1412"/>
      <c r="I5" s="1412"/>
      <c r="J5" s="1412"/>
      <c r="K5" s="1412"/>
      <c r="L5" s="1412"/>
      <c r="M5" s="1412"/>
      <c r="N5" s="1412"/>
      <c r="O5" s="1412"/>
      <c r="P5" s="1412"/>
      <c r="Q5" s="1412"/>
      <c r="R5" s="1412"/>
      <c r="S5" s="1412"/>
      <c r="T5" s="1412"/>
      <c r="U5" s="1412"/>
      <c r="V5" s="1412"/>
      <c r="W5" s="1412"/>
      <c r="X5" s="1412"/>
      <c r="Y5" s="1412"/>
      <c r="Z5" s="1412"/>
      <c r="AA5" s="1412"/>
      <c r="AB5" s="1412"/>
      <c r="AC5" s="1412"/>
      <c r="AD5" s="1412"/>
      <c r="AE5" s="1412"/>
      <c r="AF5" s="1412"/>
    </row>
    <row r="7" spans="1:32" ht="16.5" customHeight="1" x14ac:dyDescent="0.25">
      <c r="A7" s="1416" t="s">
        <v>0</v>
      </c>
      <c r="B7" s="1418" t="s">
        <v>564</v>
      </c>
      <c r="C7" s="1418"/>
      <c r="D7" s="1420" t="s">
        <v>110</v>
      </c>
      <c r="E7" s="1420"/>
      <c r="F7" s="1420"/>
      <c r="G7" s="1420"/>
      <c r="H7" s="1420"/>
      <c r="I7" s="1420"/>
      <c r="J7" s="1420"/>
      <c r="K7" s="1420"/>
      <c r="L7" s="1420"/>
      <c r="M7" s="1420"/>
      <c r="N7" s="1420"/>
      <c r="O7" s="1420"/>
      <c r="P7" s="1420"/>
      <c r="Q7" s="1420"/>
      <c r="R7" s="1420" t="s">
        <v>565</v>
      </c>
      <c r="S7" s="1420"/>
      <c r="T7" s="1420"/>
      <c r="U7" s="1420"/>
      <c r="V7" s="1420"/>
      <c r="W7" s="1420"/>
      <c r="X7" s="1420"/>
      <c r="Y7" s="1420"/>
      <c r="Z7" s="1420"/>
      <c r="AA7" s="1420"/>
      <c r="AB7" s="1420"/>
      <c r="AC7" s="1420"/>
      <c r="AD7" s="1420"/>
      <c r="AE7" s="1420"/>
      <c r="AF7" s="21" t="s">
        <v>4</v>
      </c>
    </row>
    <row r="8" spans="1:32" ht="66" customHeight="1" x14ac:dyDescent="0.25">
      <c r="A8" s="1417"/>
      <c r="B8" s="24" t="s">
        <v>461</v>
      </c>
      <c r="C8" s="129" t="s">
        <v>62</v>
      </c>
      <c r="D8" s="53" t="s">
        <v>567</v>
      </c>
      <c r="E8" s="122" t="s">
        <v>568</v>
      </c>
      <c r="F8" s="122" t="s">
        <v>569</v>
      </c>
      <c r="G8" s="122" t="s">
        <v>570</v>
      </c>
      <c r="H8" s="122" t="s">
        <v>571</v>
      </c>
      <c r="I8" s="122" t="s">
        <v>572</v>
      </c>
      <c r="J8" s="122" t="s">
        <v>573</v>
      </c>
      <c r="K8" s="122" t="s">
        <v>703</v>
      </c>
      <c r="L8" s="122" t="s">
        <v>704</v>
      </c>
      <c r="M8" s="122" t="s">
        <v>748</v>
      </c>
      <c r="N8" s="122" t="s">
        <v>749</v>
      </c>
      <c r="O8" s="122" t="s">
        <v>750</v>
      </c>
      <c r="P8" s="254" t="s">
        <v>588</v>
      </c>
      <c r="Q8" s="267" t="s">
        <v>795</v>
      </c>
      <c r="R8" s="128" t="s">
        <v>567</v>
      </c>
      <c r="S8" s="128" t="s">
        <v>568</v>
      </c>
      <c r="T8" s="128" t="s">
        <v>569</v>
      </c>
      <c r="U8" s="128" t="s">
        <v>570</v>
      </c>
      <c r="V8" s="128" t="s">
        <v>571</v>
      </c>
      <c r="W8" s="128" t="s">
        <v>572</v>
      </c>
      <c r="X8" s="128" t="s">
        <v>573</v>
      </c>
      <c r="Y8" s="128" t="s">
        <v>703</v>
      </c>
      <c r="Z8" s="128" t="s">
        <v>704</v>
      </c>
      <c r="AA8" s="128" t="s">
        <v>748</v>
      </c>
      <c r="AB8" s="128" t="s">
        <v>749</v>
      </c>
      <c r="AC8" s="128" t="s">
        <v>750</v>
      </c>
      <c r="AD8" s="254" t="s">
        <v>588</v>
      </c>
      <c r="AE8" s="267" t="s">
        <v>795</v>
      </c>
      <c r="AF8" s="21"/>
    </row>
    <row r="9" spans="1:32" ht="16.5" x14ac:dyDescent="0.25">
      <c r="A9" s="22" t="s">
        <v>574</v>
      </c>
      <c r="B9" s="23"/>
      <c r="C9" s="268">
        <v>-1</v>
      </c>
      <c r="D9" s="268">
        <v>-2</v>
      </c>
      <c r="E9" s="268">
        <v>-3</v>
      </c>
      <c r="F9" s="268">
        <v>-4</v>
      </c>
      <c r="G9" s="268">
        <v>-5</v>
      </c>
      <c r="H9" s="268">
        <v>-6</v>
      </c>
      <c r="I9" s="268">
        <v>-7</v>
      </c>
      <c r="J9" s="268">
        <v>-8</v>
      </c>
      <c r="K9" s="268">
        <v>-9</v>
      </c>
      <c r="L9" s="268">
        <v>-10</v>
      </c>
      <c r="M9" s="268">
        <v>-11</v>
      </c>
      <c r="N9" s="268">
        <v>-12</v>
      </c>
      <c r="O9" s="268">
        <v>-13</v>
      </c>
      <c r="P9" s="268">
        <v>-14</v>
      </c>
      <c r="Q9" s="269">
        <v>-15</v>
      </c>
      <c r="R9" s="268">
        <v>-16</v>
      </c>
      <c r="S9" s="268">
        <v>-17</v>
      </c>
      <c r="T9" s="268">
        <v>-18</v>
      </c>
      <c r="U9" s="268">
        <v>-19</v>
      </c>
      <c r="V9" s="268">
        <v>-20</v>
      </c>
      <c r="W9" s="268">
        <v>-21</v>
      </c>
      <c r="X9" s="268">
        <v>-22</v>
      </c>
      <c r="Y9" s="268">
        <v>-23</v>
      </c>
      <c r="Z9" s="268">
        <v>-24</v>
      </c>
      <c r="AA9" s="268">
        <v>-25</v>
      </c>
      <c r="AB9" s="268">
        <v>-26</v>
      </c>
      <c r="AC9" s="268">
        <v>-27</v>
      </c>
      <c r="AD9" s="268">
        <v>-28</v>
      </c>
      <c r="AE9" s="269">
        <v>-29</v>
      </c>
      <c r="AF9" s="25"/>
    </row>
    <row r="10" spans="1:32" ht="18.75" x14ac:dyDescent="0.25">
      <c r="A10" s="26" t="s">
        <v>5</v>
      </c>
      <c r="B10" s="44" t="s">
        <v>142</v>
      </c>
      <c r="C10" s="26" t="s">
        <v>86</v>
      </c>
      <c r="D10" s="1182"/>
      <c r="E10" s="1182" t="s">
        <v>581</v>
      </c>
      <c r="F10" s="1182"/>
      <c r="G10" s="1182"/>
      <c r="H10" s="1191"/>
      <c r="I10" s="1182" t="s">
        <v>581</v>
      </c>
      <c r="J10" s="1110"/>
      <c r="K10" s="1109"/>
      <c r="L10" s="1109"/>
      <c r="M10" s="1059"/>
      <c r="N10" s="937"/>
      <c r="O10" s="506"/>
      <c r="P10" s="105">
        <f>SUM(COUNTIF(D10:O10,"X"),COUNTIF(D10:O10,"A"))</f>
        <v>2</v>
      </c>
      <c r="Q10" s="271">
        <f>SUM(COUNTIF(D10:O10,"X"),COUNTIF(D10:O10,"B"))</f>
        <v>2</v>
      </c>
      <c r="R10" s="1182" t="s">
        <v>581</v>
      </c>
      <c r="S10" s="1183"/>
      <c r="T10" s="1177" t="s">
        <v>581</v>
      </c>
      <c r="U10" s="1182"/>
      <c r="V10" s="1064"/>
      <c r="W10" s="938"/>
      <c r="X10" s="938"/>
      <c r="Y10" s="938"/>
      <c r="Z10" s="27"/>
      <c r="AA10" s="27"/>
      <c r="AB10" s="29"/>
      <c r="AC10" s="29"/>
      <c r="AD10" s="105">
        <f>SUM(COUNTIF(R10:AC10,"X"),COUNTIF(R10:AC10,"A"))</f>
        <v>2</v>
      </c>
      <c r="AE10" s="271">
        <f>SUM(COUNTIF(R10:AC10,"X"),COUNTIF(R10:AC10,"B"))</f>
        <v>2</v>
      </c>
      <c r="AF10" s="25"/>
    </row>
    <row r="11" spans="1:32" ht="18.75" x14ac:dyDescent="0.25">
      <c r="A11" s="185" t="s">
        <v>6</v>
      </c>
      <c r="B11" s="44" t="s">
        <v>143</v>
      </c>
      <c r="C11" s="26" t="s">
        <v>87</v>
      </c>
      <c r="D11" s="1183"/>
      <c r="E11" s="1182"/>
      <c r="F11" s="1182"/>
      <c r="G11" s="1182"/>
      <c r="H11" s="1191"/>
      <c r="I11" s="1192"/>
      <c r="J11" s="1110"/>
      <c r="K11" s="1109"/>
      <c r="L11" s="1109"/>
      <c r="M11" s="1059"/>
      <c r="N11" s="937"/>
      <c r="O11" s="505"/>
      <c r="P11" s="105">
        <f t="shared" ref="P11:P21" si="0">SUM(COUNTIF(D11:O11,"X"),COUNTIF(D11:O11,"A"))</f>
        <v>0</v>
      </c>
      <c r="Q11" s="271">
        <f t="shared" ref="Q11:Q21" si="1">SUM(COUNTIF(D11:O11,"X"),COUNTIF(D11:O11,"B"))</f>
        <v>0</v>
      </c>
      <c r="R11" s="1182" t="s">
        <v>581</v>
      </c>
      <c r="S11" s="1183"/>
      <c r="T11" s="1177" t="s">
        <v>581</v>
      </c>
      <c r="U11" s="1182"/>
      <c r="V11" s="1059"/>
      <c r="W11" s="938"/>
      <c r="X11" s="938"/>
      <c r="Y11" s="938"/>
      <c r="Z11" s="27"/>
      <c r="AA11" s="27"/>
      <c r="AB11" s="29"/>
      <c r="AC11" s="29"/>
      <c r="AD11" s="105">
        <f t="shared" ref="AD11:AD21" si="2">SUM(COUNTIF(R11:AC11,"X"),COUNTIF(R11:AC11,"A"))</f>
        <v>2</v>
      </c>
      <c r="AE11" s="271">
        <f t="shared" ref="AE11:AE21" si="3">SUM(COUNTIF(R11:AC11,"X"),COUNTIF(R11:AC11,"B"))</f>
        <v>2</v>
      </c>
      <c r="AF11" s="25"/>
    </row>
    <row r="12" spans="1:32" ht="18.75" x14ac:dyDescent="0.25">
      <c r="A12" s="26" t="s">
        <v>10</v>
      </c>
      <c r="B12" s="44" t="s">
        <v>144</v>
      </c>
      <c r="C12" s="26" t="s">
        <v>88</v>
      </c>
      <c r="D12" s="1177"/>
      <c r="E12" s="1182"/>
      <c r="F12" s="1182"/>
      <c r="G12" s="1182"/>
      <c r="H12" s="1191"/>
      <c r="I12" s="1192"/>
      <c r="J12" s="1110"/>
      <c r="K12" s="1111"/>
      <c r="L12" s="1111"/>
      <c r="M12" s="1060"/>
      <c r="N12" s="939"/>
      <c r="O12" s="505"/>
      <c r="P12" s="105">
        <f t="shared" ref="P12:P13" si="4">SUM(COUNTIF(D12:O12,"X"),COUNTIF(D12:O12,"A"))</f>
        <v>0</v>
      </c>
      <c r="Q12" s="271">
        <f t="shared" ref="Q12:Q13" si="5">SUM(COUNTIF(D12:O12,"X"),COUNTIF(D12:O12,"B"))</f>
        <v>0</v>
      </c>
      <c r="R12" s="1183"/>
      <c r="S12" s="1183" t="s">
        <v>581</v>
      </c>
      <c r="T12" s="1177" t="s">
        <v>581</v>
      </c>
      <c r="U12" s="1177" t="s">
        <v>581</v>
      </c>
      <c r="V12" s="1064"/>
      <c r="W12" s="938"/>
      <c r="X12" s="938"/>
      <c r="Y12" s="938"/>
      <c r="Z12" s="27"/>
      <c r="AA12" s="27"/>
      <c r="AB12" s="29"/>
      <c r="AC12" s="29"/>
      <c r="AD12" s="105">
        <f t="shared" si="2"/>
        <v>3</v>
      </c>
      <c r="AE12" s="271">
        <f t="shared" si="3"/>
        <v>3</v>
      </c>
      <c r="AF12" s="25"/>
    </row>
    <row r="13" spans="1:32" ht="18.75" x14ac:dyDescent="0.25">
      <c r="A13" s="185" t="s">
        <v>11</v>
      </c>
      <c r="B13" s="44" t="s">
        <v>145</v>
      </c>
      <c r="C13" s="26" t="s">
        <v>89</v>
      </c>
      <c r="D13" s="1177"/>
      <c r="E13" s="1182"/>
      <c r="F13" s="1182"/>
      <c r="G13" s="1182"/>
      <c r="H13" s="1191"/>
      <c r="I13" s="1192"/>
      <c r="J13" s="1110"/>
      <c r="K13" s="1111"/>
      <c r="L13" s="1111"/>
      <c r="M13" s="1060"/>
      <c r="N13" s="727"/>
      <c r="O13" s="505"/>
      <c r="P13" s="105">
        <f t="shared" si="4"/>
        <v>0</v>
      </c>
      <c r="Q13" s="271">
        <f t="shared" si="5"/>
        <v>0</v>
      </c>
      <c r="R13" s="1183"/>
      <c r="S13" s="1183" t="s">
        <v>581</v>
      </c>
      <c r="T13" s="1177" t="s">
        <v>581</v>
      </c>
      <c r="U13" s="1177" t="s">
        <v>581</v>
      </c>
      <c r="V13" s="1064"/>
      <c r="W13" s="938"/>
      <c r="X13" s="938"/>
      <c r="Y13" s="938"/>
      <c r="Z13" s="27"/>
      <c r="AA13" s="27"/>
      <c r="AB13" s="29"/>
      <c r="AC13" s="29"/>
      <c r="AD13" s="105">
        <f t="shared" si="2"/>
        <v>3</v>
      </c>
      <c r="AE13" s="271">
        <f t="shared" si="3"/>
        <v>3</v>
      </c>
      <c r="AF13" s="25"/>
    </row>
    <row r="14" spans="1:32" ht="18.75" x14ac:dyDescent="0.25">
      <c r="A14" s="26" t="s">
        <v>12</v>
      </c>
      <c r="B14" s="44" t="s">
        <v>146</v>
      </c>
      <c r="C14" s="26" t="s">
        <v>90</v>
      </c>
      <c r="D14" s="1177"/>
      <c r="E14" s="1182" t="s">
        <v>581</v>
      </c>
      <c r="F14" s="1182"/>
      <c r="G14" s="1182"/>
      <c r="H14" s="1191"/>
      <c r="I14" s="1182" t="s">
        <v>581</v>
      </c>
      <c r="J14" s="1110"/>
      <c r="K14" s="1110"/>
      <c r="L14" s="1109"/>
      <c r="M14" s="1059"/>
      <c r="N14" s="937"/>
      <c r="O14" s="505"/>
      <c r="P14" s="105">
        <f t="shared" si="0"/>
        <v>2</v>
      </c>
      <c r="Q14" s="271">
        <f t="shared" si="1"/>
        <v>2</v>
      </c>
      <c r="R14" s="1183"/>
      <c r="S14" s="1183" t="s">
        <v>581</v>
      </c>
      <c r="T14" s="1177" t="s">
        <v>581</v>
      </c>
      <c r="U14" s="1177"/>
      <c r="V14" s="1064"/>
      <c r="W14" s="938"/>
      <c r="X14" s="938"/>
      <c r="Y14" s="938"/>
      <c r="Z14" s="27"/>
      <c r="AA14" s="27"/>
      <c r="AB14" s="29"/>
      <c r="AC14" s="29"/>
      <c r="AD14" s="105">
        <f t="shared" si="2"/>
        <v>2</v>
      </c>
      <c r="AE14" s="271">
        <f t="shared" si="3"/>
        <v>2</v>
      </c>
      <c r="AF14" s="25"/>
    </row>
    <row r="15" spans="1:32" ht="18.75" x14ac:dyDescent="0.25">
      <c r="A15" s="185" t="s">
        <v>13</v>
      </c>
      <c r="B15" s="44" t="s">
        <v>147</v>
      </c>
      <c r="C15" s="26" t="s">
        <v>91</v>
      </c>
      <c r="D15" s="1177"/>
      <c r="E15" s="1182"/>
      <c r="F15" s="1182"/>
      <c r="G15" s="1182"/>
      <c r="H15" s="1191"/>
      <c r="I15" s="1192"/>
      <c r="J15" s="1110"/>
      <c r="K15" s="1109"/>
      <c r="L15" s="1109"/>
      <c r="M15" s="1059"/>
      <c r="N15" s="937"/>
      <c r="O15" s="505"/>
      <c r="P15" s="105">
        <f t="shared" si="0"/>
        <v>0</v>
      </c>
      <c r="Q15" s="271">
        <f t="shared" si="1"/>
        <v>0</v>
      </c>
      <c r="R15" s="1183" t="s">
        <v>581</v>
      </c>
      <c r="S15" s="1183"/>
      <c r="T15" s="1177"/>
      <c r="U15" s="1177" t="s">
        <v>581</v>
      </c>
      <c r="V15" s="1064"/>
      <c r="W15" s="938"/>
      <c r="X15" s="938"/>
      <c r="Y15" s="938"/>
      <c r="Z15" s="27"/>
      <c r="AA15" s="27"/>
      <c r="AB15" s="29"/>
      <c r="AC15" s="29"/>
      <c r="AD15" s="105">
        <f t="shared" si="2"/>
        <v>2</v>
      </c>
      <c r="AE15" s="271">
        <f t="shared" si="3"/>
        <v>2</v>
      </c>
      <c r="AF15" s="25"/>
    </row>
    <row r="16" spans="1:32" ht="18.75" x14ac:dyDescent="0.25">
      <c r="A16" s="26" t="s">
        <v>14</v>
      </c>
      <c r="B16" s="44" t="s">
        <v>149</v>
      </c>
      <c r="C16" s="26" t="s">
        <v>93</v>
      </c>
      <c r="D16" s="1177"/>
      <c r="E16" s="1182"/>
      <c r="F16" s="1182"/>
      <c r="G16" s="1182"/>
      <c r="H16" s="1191"/>
      <c r="I16" s="1192"/>
      <c r="J16" s="1110"/>
      <c r="K16" s="1109"/>
      <c r="L16" s="1109"/>
      <c r="M16" s="1059"/>
      <c r="N16" s="937"/>
      <c r="O16" s="505"/>
      <c r="P16" s="105">
        <f t="shared" si="0"/>
        <v>0</v>
      </c>
      <c r="Q16" s="271">
        <f t="shared" si="1"/>
        <v>0</v>
      </c>
      <c r="R16" s="1183"/>
      <c r="S16" s="1183"/>
      <c r="T16" s="1177" t="s">
        <v>581</v>
      </c>
      <c r="U16" s="1177" t="s">
        <v>581</v>
      </c>
      <c r="V16" s="1064"/>
      <c r="W16" s="938"/>
      <c r="X16" s="938"/>
      <c r="Y16" s="938"/>
      <c r="Z16" s="27"/>
      <c r="AA16" s="27"/>
      <c r="AB16" s="29"/>
      <c r="AC16" s="29"/>
      <c r="AD16" s="105">
        <f t="shared" si="2"/>
        <v>2</v>
      </c>
      <c r="AE16" s="271">
        <f t="shared" si="3"/>
        <v>2</v>
      </c>
      <c r="AF16" s="25"/>
    </row>
    <row r="17" spans="1:32" ht="18.75" x14ac:dyDescent="0.25">
      <c r="A17" s="22" t="s">
        <v>577</v>
      </c>
      <c r="B17" s="5"/>
      <c r="C17" s="5"/>
      <c r="D17" s="1177"/>
      <c r="E17" s="1182"/>
      <c r="F17" s="1182"/>
      <c r="G17" s="1182"/>
      <c r="H17" s="1191"/>
      <c r="I17" s="1192"/>
      <c r="J17" s="1110"/>
      <c r="K17" s="1112"/>
      <c r="L17" s="1112"/>
      <c r="M17" s="1061"/>
      <c r="N17" s="940"/>
      <c r="O17" s="489"/>
      <c r="P17" s="105">
        <f t="shared" si="0"/>
        <v>0</v>
      </c>
      <c r="Q17" s="271">
        <f t="shared" si="1"/>
        <v>0</v>
      </c>
      <c r="R17" s="1185"/>
      <c r="S17" s="1185"/>
      <c r="T17" s="1177"/>
      <c r="U17" s="1177"/>
      <c r="V17" s="1064"/>
      <c r="W17" s="938"/>
      <c r="X17" s="938"/>
      <c r="Y17" s="938"/>
      <c r="Z17" s="27"/>
      <c r="AA17" s="27"/>
      <c r="AB17" s="29"/>
      <c r="AC17" s="29"/>
      <c r="AD17" s="105">
        <f t="shared" si="2"/>
        <v>0</v>
      </c>
      <c r="AE17" s="271">
        <f t="shared" si="3"/>
        <v>0</v>
      </c>
      <c r="AF17" s="25"/>
    </row>
    <row r="18" spans="1:32" ht="18.75" x14ac:dyDescent="0.25">
      <c r="A18" s="185" t="s">
        <v>15</v>
      </c>
      <c r="B18" s="44" t="s">
        <v>150</v>
      </c>
      <c r="C18" s="26" t="s">
        <v>94</v>
      </c>
      <c r="D18" s="1177"/>
      <c r="E18" s="1182"/>
      <c r="F18" s="1182"/>
      <c r="G18" s="1182"/>
      <c r="H18" s="1191"/>
      <c r="I18" s="1192"/>
      <c r="J18" s="1110"/>
      <c r="K18" s="1109"/>
      <c r="L18" s="1109"/>
      <c r="M18" s="1058"/>
      <c r="N18" s="941"/>
      <c r="O18" s="490"/>
      <c r="P18" s="105">
        <f>SUM(COUNTIF(D18:O18,"X"),COUNTIF(D18:O18,"A"))</f>
        <v>0</v>
      </c>
      <c r="Q18" s="271">
        <f t="shared" si="1"/>
        <v>0</v>
      </c>
      <c r="R18" s="1189"/>
      <c r="S18" s="1183" t="s">
        <v>581</v>
      </c>
      <c r="T18" s="1183" t="s">
        <v>581</v>
      </c>
      <c r="U18" s="1183" t="s">
        <v>581</v>
      </c>
      <c r="V18" s="1059"/>
      <c r="W18" s="939"/>
      <c r="X18" s="939"/>
      <c r="Y18" s="939"/>
      <c r="Z18" s="27"/>
      <c r="AA18" s="27"/>
      <c r="AB18" s="29"/>
      <c r="AC18" s="29"/>
      <c r="AD18" s="105">
        <f t="shared" si="2"/>
        <v>3</v>
      </c>
      <c r="AE18" s="271">
        <f t="shared" si="3"/>
        <v>3</v>
      </c>
      <c r="AF18" s="25"/>
    </row>
    <row r="19" spans="1:32" ht="18.75" x14ac:dyDescent="0.25">
      <c r="A19" s="185" t="s">
        <v>16</v>
      </c>
      <c r="B19" s="44" t="s">
        <v>151</v>
      </c>
      <c r="C19" s="26" t="s">
        <v>96</v>
      </c>
      <c r="D19" s="1177" t="s">
        <v>581</v>
      </c>
      <c r="E19" s="1182"/>
      <c r="F19" s="1182"/>
      <c r="G19" s="1182"/>
      <c r="H19" s="1191"/>
      <c r="I19" s="1192"/>
      <c r="J19" s="1110"/>
      <c r="K19" s="1109"/>
      <c r="L19" s="1109"/>
      <c r="M19" s="1059"/>
      <c r="N19" s="937"/>
      <c r="O19" s="490"/>
      <c r="P19" s="105">
        <f t="shared" si="0"/>
        <v>1</v>
      </c>
      <c r="Q19" s="271">
        <f t="shared" si="1"/>
        <v>1</v>
      </c>
      <c r="R19" s="1183"/>
      <c r="S19" s="1183" t="s">
        <v>581</v>
      </c>
      <c r="T19" s="1183" t="s">
        <v>581</v>
      </c>
      <c r="U19" s="1183" t="s">
        <v>581</v>
      </c>
      <c r="V19" s="1064"/>
      <c r="W19" s="939"/>
      <c r="X19" s="939"/>
      <c r="Y19" s="939"/>
      <c r="Z19" s="27"/>
      <c r="AA19" s="27"/>
      <c r="AB19" s="29"/>
      <c r="AC19" s="29"/>
      <c r="AD19" s="105">
        <f t="shared" si="2"/>
        <v>3</v>
      </c>
      <c r="AE19" s="271">
        <f t="shared" si="3"/>
        <v>3</v>
      </c>
      <c r="AF19" s="25"/>
    </row>
    <row r="20" spans="1:32" ht="18.75" x14ac:dyDescent="0.25">
      <c r="A20" s="185" t="s">
        <v>17</v>
      </c>
      <c r="B20" s="44" t="s">
        <v>152</v>
      </c>
      <c r="C20" s="26" t="s">
        <v>95</v>
      </c>
      <c r="D20" s="1177" t="s">
        <v>581</v>
      </c>
      <c r="E20" s="1182" t="s">
        <v>581</v>
      </c>
      <c r="F20" s="1182"/>
      <c r="G20" s="1182"/>
      <c r="H20" s="1191"/>
      <c r="I20" s="1192"/>
      <c r="J20" s="1110"/>
      <c r="K20" s="1109"/>
      <c r="L20" s="1109"/>
      <c r="M20" s="1059"/>
      <c r="N20" s="937"/>
      <c r="O20" s="490"/>
      <c r="P20" s="105">
        <f t="shared" si="0"/>
        <v>2</v>
      </c>
      <c r="Q20" s="271">
        <f t="shared" si="1"/>
        <v>2</v>
      </c>
      <c r="R20" s="1183"/>
      <c r="S20" s="1183" t="s">
        <v>581</v>
      </c>
      <c r="T20" s="1183" t="s">
        <v>581</v>
      </c>
      <c r="U20" s="1183"/>
      <c r="V20" s="1064"/>
      <c r="W20" s="939"/>
      <c r="X20" s="939"/>
      <c r="Y20" s="939"/>
      <c r="Z20" s="27"/>
      <c r="AA20" s="27"/>
      <c r="AB20" s="29"/>
      <c r="AC20" s="29"/>
      <c r="AD20" s="105">
        <f t="shared" si="2"/>
        <v>2</v>
      </c>
      <c r="AE20" s="271">
        <f t="shared" si="3"/>
        <v>2</v>
      </c>
      <c r="AF20" s="25"/>
    </row>
    <row r="21" spans="1:32" ht="18.75" x14ac:dyDescent="0.25">
      <c r="A21" s="185" t="s">
        <v>18</v>
      </c>
      <c r="B21" s="44" t="s">
        <v>153</v>
      </c>
      <c r="C21" s="26" t="s">
        <v>97</v>
      </c>
      <c r="D21" s="1177"/>
      <c r="E21" s="1182"/>
      <c r="F21" s="1182"/>
      <c r="G21" s="1182"/>
      <c r="H21" s="1191"/>
      <c r="I21" s="1192"/>
      <c r="J21" s="1110"/>
      <c r="K21" s="1109"/>
      <c r="L21" s="1109"/>
      <c r="M21" s="1059"/>
      <c r="N21" s="937"/>
      <c r="O21" s="490"/>
      <c r="P21" s="105">
        <f t="shared" si="0"/>
        <v>0</v>
      </c>
      <c r="Q21" s="271">
        <f t="shared" si="1"/>
        <v>0</v>
      </c>
      <c r="R21" s="1183"/>
      <c r="S21" s="1183" t="s">
        <v>581</v>
      </c>
      <c r="T21" s="1183" t="s">
        <v>581</v>
      </c>
      <c r="U21" s="1183" t="s">
        <v>581</v>
      </c>
      <c r="V21" s="1064"/>
      <c r="W21" s="943"/>
      <c r="X21" s="943"/>
      <c r="Y21" s="939"/>
      <c r="Z21" s="27"/>
      <c r="AA21" s="27"/>
      <c r="AB21" s="29"/>
      <c r="AC21" s="29"/>
      <c r="AD21" s="105">
        <f t="shared" si="2"/>
        <v>3</v>
      </c>
      <c r="AE21" s="271">
        <f t="shared" si="3"/>
        <v>3</v>
      </c>
      <c r="AF21" s="25"/>
    </row>
    <row r="22" spans="1:32" ht="18.75" x14ac:dyDescent="0.25">
      <c r="A22" s="185" t="s">
        <v>19</v>
      </c>
      <c r="B22" s="44" t="s">
        <v>154</v>
      </c>
      <c r="C22" s="26" t="s">
        <v>98</v>
      </c>
      <c r="D22" s="1177"/>
      <c r="E22" s="1182"/>
      <c r="F22" s="1182"/>
      <c r="G22" s="1182" t="s">
        <v>581</v>
      </c>
      <c r="H22" s="1191" t="s">
        <v>581</v>
      </c>
      <c r="I22" s="1192"/>
      <c r="J22" s="1110"/>
      <c r="K22" s="1109"/>
      <c r="L22" s="1110"/>
      <c r="M22" s="1062"/>
      <c r="N22" s="942"/>
      <c r="O22" s="202"/>
      <c r="P22" s="105">
        <f t="shared" ref="P22:P24" si="6">SUM(COUNTIF(D22:O22,"X"),COUNTIF(D22:O22,"A"))</f>
        <v>2</v>
      </c>
      <c r="Q22" s="271">
        <f t="shared" ref="Q22:Q24" si="7">SUM(COUNTIF(D22:O22,"X"),COUNTIF(D22:O22,"B"))</f>
        <v>2</v>
      </c>
      <c r="R22" s="1183"/>
      <c r="S22" s="1183" t="s">
        <v>581</v>
      </c>
      <c r="T22" s="1183" t="s">
        <v>581</v>
      </c>
      <c r="U22" s="1183" t="s">
        <v>581</v>
      </c>
      <c r="V22" s="1064"/>
      <c r="W22" s="943"/>
      <c r="X22" s="943"/>
      <c r="Y22" s="939"/>
      <c r="Z22" s="27"/>
      <c r="AA22" s="27"/>
      <c r="AB22" s="29"/>
      <c r="AC22" s="29"/>
      <c r="AD22" s="105">
        <f t="shared" ref="AD22:AD24" si="8">SUM(COUNTIF(R22:AC22,"X"),COUNTIF(R22:AC22,"A"))</f>
        <v>3</v>
      </c>
      <c r="AE22" s="271">
        <f t="shared" ref="AE22:AE24" si="9">SUM(COUNTIF(R22:AC22,"X"),COUNTIF(R22:AC22,"B"))</f>
        <v>3</v>
      </c>
      <c r="AF22" s="25"/>
    </row>
    <row r="23" spans="1:32" ht="18.75" x14ac:dyDescent="0.25">
      <c r="A23" s="185" t="s">
        <v>21</v>
      </c>
      <c r="B23" s="161" t="s">
        <v>192</v>
      </c>
      <c r="C23" s="114" t="s">
        <v>193</v>
      </c>
      <c r="D23" s="1177"/>
      <c r="E23" s="1182"/>
      <c r="F23" s="1182"/>
      <c r="G23" s="1182"/>
      <c r="H23" s="1191"/>
      <c r="I23" s="1192"/>
      <c r="J23" s="1110"/>
      <c r="K23" s="1109"/>
      <c r="L23" s="1109"/>
      <c r="M23" s="1059"/>
      <c r="N23" s="937"/>
      <c r="O23" s="506"/>
      <c r="P23" s="105">
        <f>SUM(COUNTIF(D23:O23,"X"),COUNTIF(D23:O23,"A"))</f>
        <v>0</v>
      </c>
      <c r="Q23" s="271">
        <f>SUM(COUNTIF(D23:O23,"X"),COUNTIF(D23:O23,"B"))</f>
        <v>0</v>
      </c>
      <c r="R23" s="1183"/>
      <c r="S23" s="1183"/>
      <c r="T23" s="1183" t="s">
        <v>581</v>
      </c>
      <c r="U23" s="1183" t="s">
        <v>581</v>
      </c>
      <c r="V23" s="1064"/>
      <c r="W23" s="943"/>
      <c r="X23" s="943"/>
      <c r="Y23" s="943"/>
      <c r="Z23" s="29"/>
      <c r="AA23" s="27"/>
      <c r="AB23" s="29"/>
      <c r="AC23" s="29"/>
      <c r="AD23" s="105">
        <f>SUM(COUNTIF(R23:AC23,"X"),COUNTIF(R23:AC23,"A"))</f>
        <v>2</v>
      </c>
      <c r="AE23" s="271">
        <f>SUM(COUNTIF(R23:AC23,"X"),COUNTIF(R23:AC23,"B"))</f>
        <v>2</v>
      </c>
      <c r="AF23" s="25"/>
    </row>
    <row r="24" spans="1:32" ht="18.75" x14ac:dyDescent="0.25">
      <c r="A24" s="185" t="s">
        <v>22</v>
      </c>
      <c r="B24" s="147" t="s">
        <v>818</v>
      </c>
      <c r="C24" s="91" t="s">
        <v>819</v>
      </c>
      <c r="D24" s="1177"/>
      <c r="E24" s="1182"/>
      <c r="F24" s="1182" t="s">
        <v>581</v>
      </c>
      <c r="G24" s="1182"/>
      <c r="H24" s="1191"/>
      <c r="I24" s="1192"/>
      <c r="J24" s="1110"/>
      <c r="K24" s="1109"/>
      <c r="L24" s="1109"/>
      <c r="M24" s="1059"/>
      <c r="N24" s="937"/>
      <c r="O24" s="202"/>
      <c r="P24" s="105">
        <f t="shared" si="6"/>
        <v>1</v>
      </c>
      <c r="Q24" s="271">
        <f t="shared" si="7"/>
        <v>1</v>
      </c>
      <c r="R24" s="1183"/>
      <c r="S24" s="1183" t="s">
        <v>581</v>
      </c>
      <c r="T24" s="1183" t="s">
        <v>581</v>
      </c>
      <c r="U24" s="1183"/>
      <c r="V24" s="1064"/>
      <c r="W24" s="943"/>
      <c r="X24" s="937"/>
      <c r="Y24" s="939"/>
      <c r="Z24" s="27"/>
      <c r="AA24" s="27"/>
      <c r="AB24" s="29"/>
      <c r="AC24" s="29"/>
      <c r="AD24" s="105">
        <f t="shared" si="8"/>
        <v>2</v>
      </c>
      <c r="AE24" s="271">
        <f t="shared" si="9"/>
        <v>2</v>
      </c>
      <c r="AF24" s="25"/>
    </row>
    <row r="25" spans="1:32" ht="18.75" x14ac:dyDescent="0.25">
      <c r="A25" s="185" t="s">
        <v>23</v>
      </c>
      <c r="B25" s="144" t="s">
        <v>753</v>
      </c>
      <c r="C25" s="63" t="s">
        <v>754</v>
      </c>
      <c r="D25" s="1177"/>
      <c r="E25" s="1182"/>
      <c r="F25" s="1182"/>
      <c r="G25" s="1182"/>
      <c r="H25" s="1191"/>
      <c r="I25" s="1192"/>
      <c r="J25" s="1110"/>
      <c r="K25" s="1109"/>
      <c r="L25" s="1109"/>
      <c r="M25" s="1059"/>
      <c r="N25" s="937"/>
      <c r="O25" s="202"/>
      <c r="P25" s="105">
        <f t="shared" ref="P25" si="10">SUM(COUNTIF(D25:O25,"X"),COUNTIF(D25:O25,"A"))</f>
        <v>0</v>
      </c>
      <c r="Q25" s="271">
        <f t="shared" ref="Q25" si="11">SUM(COUNTIF(D25:O25,"X"),COUNTIF(D25:O25,"B"))</f>
        <v>0</v>
      </c>
      <c r="R25" s="1183"/>
      <c r="S25" s="1183"/>
      <c r="T25" s="1183" t="s">
        <v>581</v>
      </c>
      <c r="U25" s="1183"/>
      <c r="V25" s="1064"/>
      <c r="W25" s="943"/>
      <c r="X25" s="937"/>
      <c r="Y25" s="939"/>
      <c r="Z25" s="27"/>
      <c r="AA25" s="27"/>
      <c r="AB25" s="29"/>
      <c r="AC25" s="29"/>
      <c r="AD25" s="105">
        <f t="shared" ref="AD25" si="12">SUM(COUNTIF(R25:AC25,"X"),COUNTIF(R25:AC25,"A"))</f>
        <v>1</v>
      </c>
      <c r="AE25" s="271">
        <f t="shared" ref="AE25" si="13">SUM(COUNTIF(R25:AC25,"X"),COUNTIF(R25:AC25,"B"))</f>
        <v>1</v>
      </c>
      <c r="AF25" s="25"/>
    </row>
    <row r="26" spans="1:32" ht="15.75" x14ac:dyDescent="0.25">
      <c r="A26" s="226"/>
      <c r="B26" s="226"/>
      <c r="C26" s="226"/>
      <c r="D26" s="226">
        <f t="shared" ref="D26:O26" si="14">COUNTIF(D10:D24,"X")</f>
        <v>2</v>
      </c>
      <c r="E26" s="226">
        <f t="shared" si="14"/>
        <v>3</v>
      </c>
      <c r="F26" s="226">
        <f t="shared" si="14"/>
        <v>1</v>
      </c>
      <c r="G26" s="226">
        <f t="shared" si="14"/>
        <v>1</v>
      </c>
      <c r="H26" s="226">
        <f t="shared" si="14"/>
        <v>1</v>
      </c>
      <c r="I26" s="226">
        <f t="shared" si="14"/>
        <v>2</v>
      </c>
      <c r="J26" s="226">
        <f t="shared" si="14"/>
        <v>0</v>
      </c>
      <c r="K26" s="226">
        <f t="shared" si="14"/>
        <v>0</v>
      </c>
      <c r="L26" s="226">
        <f t="shared" si="14"/>
        <v>0</v>
      </c>
      <c r="M26" s="226">
        <f t="shared" si="14"/>
        <v>0</v>
      </c>
      <c r="N26" s="226">
        <f t="shared" si="14"/>
        <v>0</v>
      </c>
      <c r="O26" s="226">
        <f t="shared" si="14"/>
        <v>0</v>
      </c>
      <c r="P26" s="226"/>
      <c r="Q26" s="226"/>
      <c r="R26" s="226">
        <f t="shared" ref="R26:AA26" si="15">COUNTIF(R10:R24,"X")</f>
        <v>3</v>
      </c>
      <c r="S26" s="226">
        <f t="shared" si="15"/>
        <v>9</v>
      </c>
      <c r="T26" s="226">
        <f t="shared" si="15"/>
        <v>13</v>
      </c>
      <c r="U26" s="226">
        <f t="shared" si="15"/>
        <v>9</v>
      </c>
      <c r="V26" s="226">
        <f t="shared" si="15"/>
        <v>0</v>
      </c>
      <c r="W26" s="226">
        <f t="shared" si="15"/>
        <v>0</v>
      </c>
      <c r="X26" s="226">
        <f t="shared" si="15"/>
        <v>0</v>
      </c>
      <c r="Y26" s="226">
        <f t="shared" si="15"/>
        <v>0</v>
      </c>
      <c r="Z26" s="226">
        <f t="shared" si="15"/>
        <v>0</v>
      </c>
      <c r="AA26" s="226">
        <f t="shared" si="15"/>
        <v>0</v>
      </c>
      <c r="AB26" s="226"/>
      <c r="AC26" s="226"/>
      <c r="AD26" s="226"/>
      <c r="AE26" s="226"/>
      <c r="AF26" s="226"/>
    </row>
    <row r="27" spans="1:32" s="46" customFormat="1" ht="15.75" x14ac:dyDescent="0.25">
      <c r="A27" s="1414" t="s">
        <v>578</v>
      </c>
      <c r="B27" s="1414"/>
      <c r="C27" s="1414"/>
      <c r="D27" s="1414"/>
      <c r="E27" s="1414"/>
      <c r="F27" s="1414"/>
      <c r="G27" s="1414"/>
      <c r="H27" s="1414"/>
      <c r="I27" s="1414"/>
      <c r="J27" s="1414"/>
      <c r="K27" s="1414"/>
      <c r="L27" s="1414"/>
      <c r="M27" s="1414"/>
      <c r="N27" s="1414"/>
      <c r="O27" s="1414"/>
      <c r="P27" s="1414"/>
      <c r="Q27" s="1414"/>
      <c r="R27" s="1414"/>
      <c r="S27" s="1414"/>
      <c r="T27" s="1414"/>
      <c r="U27" s="1414"/>
      <c r="V27" s="1414"/>
      <c r="W27" s="1414"/>
      <c r="X27" s="1414"/>
      <c r="Y27" s="1414"/>
      <c r="Z27" s="1414"/>
      <c r="AA27" s="1414"/>
      <c r="AB27" s="1414"/>
      <c r="AC27" s="1414"/>
      <c r="AD27" s="1414"/>
      <c r="AE27" s="1414"/>
      <c r="AF27" s="1414"/>
    </row>
    <row r="28" spans="1:32" ht="18" customHeight="1" x14ac:dyDescent="0.3">
      <c r="A28" s="33"/>
      <c r="B28" s="33"/>
      <c r="C28" s="33"/>
      <c r="D28" s="106"/>
      <c r="E28" s="107"/>
      <c r="F28" s="107"/>
      <c r="G28" s="107"/>
      <c r="H28" s="107"/>
      <c r="I28" s="107"/>
      <c r="J28" s="107"/>
      <c r="K28" s="107"/>
      <c r="L28" s="107"/>
      <c r="M28" s="107"/>
      <c r="N28" s="107"/>
      <c r="O28" s="107"/>
      <c r="P28" s="107"/>
      <c r="Q28" s="107"/>
      <c r="R28" s="194"/>
      <c r="S28" s="194"/>
      <c r="T28" s="1419" t="str">
        <f>TCHC!T41</f>
        <v>TP. HCM, ngày 2 tháng 11 năm 2023</v>
      </c>
      <c r="U28" s="1419"/>
      <c r="V28" s="1419"/>
      <c r="W28" s="1419"/>
      <c r="X28" s="1419"/>
      <c r="Y28" s="1419"/>
      <c r="Z28" s="1419"/>
      <c r="AA28" s="1419"/>
      <c r="AB28" s="1419"/>
      <c r="AC28" s="1419"/>
      <c r="AD28" s="1419"/>
      <c r="AE28" s="1419"/>
      <c r="AF28" s="1419"/>
    </row>
    <row r="29" spans="1:32" ht="18.75" x14ac:dyDescent="0.3">
      <c r="A29" s="33"/>
      <c r="B29" s="344" t="s">
        <v>805</v>
      </c>
      <c r="C29" s="342" t="s">
        <v>802</v>
      </c>
      <c r="D29" s="106"/>
      <c r="R29" s="1415" t="s">
        <v>579</v>
      </c>
      <c r="S29" s="1415"/>
      <c r="T29" s="1415"/>
      <c r="U29" s="1415"/>
      <c r="V29" s="1415"/>
      <c r="W29" s="1415"/>
      <c r="X29" s="1415"/>
      <c r="Y29" s="1415"/>
      <c r="Z29" s="1415"/>
      <c r="AA29" s="1415"/>
      <c r="AB29" s="1415"/>
      <c r="AC29" s="1415"/>
      <c r="AD29" s="1415"/>
      <c r="AE29" s="1415"/>
      <c r="AF29" s="1415"/>
    </row>
    <row r="30" spans="1:32" ht="18.75" x14ac:dyDescent="0.3">
      <c r="B30" s="343" t="s">
        <v>803</v>
      </c>
      <c r="C30" s="343" t="s">
        <v>804</v>
      </c>
    </row>
    <row r="33" spans="18:32" ht="26.25" customHeight="1" x14ac:dyDescent="0.25"/>
    <row r="34" spans="18:32" ht="16.5" x14ac:dyDescent="0.25">
      <c r="R34" s="1413" t="s">
        <v>142</v>
      </c>
      <c r="S34" s="1413"/>
      <c r="T34" s="1413"/>
      <c r="U34" s="1413"/>
      <c r="V34" s="1413"/>
      <c r="W34" s="1413"/>
      <c r="X34" s="1413"/>
      <c r="Y34" s="1413"/>
      <c r="Z34" s="1413"/>
      <c r="AA34" s="1413"/>
      <c r="AB34" s="1413"/>
      <c r="AC34" s="1413"/>
      <c r="AD34" s="1413"/>
      <c r="AE34" s="1413"/>
      <c r="AF34" s="1413"/>
    </row>
  </sheetData>
  <autoFilter ref="A8:AF24"/>
  <mergeCells count="14">
    <mergeCell ref="R34:AF34"/>
    <mergeCell ref="A27:AF27"/>
    <mergeCell ref="R29:AF29"/>
    <mergeCell ref="A7:A8"/>
    <mergeCell ref="B7:C7"/>
    <mergeCell ref="T28:AF28"/>
    <mergeCell ref="D7:Q7"/>
    <mergeCell ref="R7:AE7"/>
    <mergeCell ref="A5:AF5"/>
    <mergeCell ref="A1:C1"/>
    <mergeCell ref="A2:C2"/>
    <mergeCell ref="A3:C3"/>
    <mergeCell ref="R1:AF1"/>
    <mergeCell ref="R2:AF2"/>
  </mergeCells>
  <phoneticPr fontId="2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B24"/>
  <sheetViews>
    <sheetView showZeros="0" topLeftCell="A7" zoomScale="90" zoomScaleNormal="90" workbookViewId="0">
      <selection activeCell="K16" sqref="K16"/>
    </sheetView>
  </sheetViews>
  <sheetFormatPr defaultRowHeight="15" x14ac:dyDescent="0.25"/>
  <cols>
    <col min="1" max="1" width="5.28515625" customWidth="1"/>
    <col min="2" max="2" width="23.140625" customWidth="1"/>
    <col min="3" max="3" width="14.7109375" customWidth="1"/>
    <col min="4" max="4" width="6.7109375" style="20" customWidth="1"/>
    <col min="5" max="5" width="6.7109375" style="191" customWidth="1"/>
    <col min="6" max="8" width="6.7109375" style="20" customWidth="1"/>
    <col min="9" max="10" width="6.7109375" style="203" customWidth="1"/>
    <col min="11" max="14" width="6.7109375" style="20" customWidth="1"/>
    <col min="15" max="15" width="6.7109375" style="203" customWidth="1"/>
    <col min="16" max="17" width="6.7109375" style="20" customWidth="1"/>
    <col min="18" max="21" width="6.7109375" style="203" customWidth="1"/>
    <col min="22" max="26" width="6.7109375" style="20" customWidth="1"/>
    <col min="27" max="27" width="6.7109375" style="203" customWidth="1"/>
    <col min="28" max="28" width="8.7109375" style="20" customWidth="1"/>
  </cols>
  <sheetData>
    <row r="1" spans="1:28" ht="15.75" x14ac:dyDescent="0.25">
      <c r="A1" s="1400" t="s">
        <v>559</v>
      </c>
      <c r="B1" s="1400"/>
      <c r="C1" s="1400"/>
      <c r="D1" s="16"/>
      <c r="E1" s="190"/>
      <c r="F1" s="16"/>
      <c r="G1" s="16"/>
      <c r="H1" s="16"/>
      <c r="I1" s="16"/>
      <c r="J1" s="16"/>
      <c r="K1" s="16"/>
      <c r="L1" s="17"/>
      <c r="M1" s="17"/>
      <c r="N1" s="17"/>
      <c r="O1" s="17"/>
      <c r="P1" s="1401" t="s">
        <v>560</v>
      </c>
      <c r="Q1" s="1401"/>
      <c r="R1" s="1401"/>
      <c r="S1" s="1401"/>
      <c r="T1" s="1401"/>
      <c r="U1" s="1401"/>
      <c r="V1" s="1401"/>
      <c r="W1" s="1401"/>
      <c r="X1" s="1402"/>
      <c r="Y1" s="1402"/>
      <c r="Z1" s="1402"/>
      <c r="AA1" s="1402"/>
      <c r="AB1" s="1402"/>
    </row>
    <row r="2" spans="1:28" ht="15.75" x14ac:dyDescent="0.25">
      <c r="A2" s="1400" t="s">
        <v>561</v>
      </c>
      <c r="B2" s="1400"/>
      <c r="C2" s="1400"/>
      <c r="D2" s="16"/>
      <c r="E2" s="190"/>
      <c r="F2" s="16"/>
      <c r="G2" s="16"/>
      <c r="H2" s="16"/>
      <c r="I2" s="16"/>
      <c r="J2" s="16"/>
      <c r="K2" s="16"/>
      <c r="L2" s="17"/>
      <c r="M2" s="17"/>
      <c r="N2" s="17"/>
      <c r="O2" s="17"/>
      <c r="P2" s="1401" t="s">
        <v>562</v>
      </c>
      <c r="Q2" s="1401"/>
      <c r="R2" s="1401"/>
      <c r="S2" s="1401"/>
      <c r="T2" s="1401"/>
      <c r="U2" s="1401"/>
      <c r="V2" s="1401"/>
      <c r="W2" s="1401"/>
      <c r="X2" s="1401"/>
      <c r="Y2" s="1401"/>
      <c r="Z2" s="1401"/>
      <c r="AA2" s="1401"/>
      <c r="AB2" s="1401"/>
    </row>
    <row r="3" spans="1:28" ht="15.75" x14ac:dyDescent="0.25">
      <c r="A3" s="1401" t="s">
        <v>583</v>
      </c>
      <c r="B3" s="1401"/>
      <c r="C3" s="1401"/>
      <c r="D3" s="16"/>
      <c r="E3" s="190"/>
      <c r="F3" s="16"/>
      <c r="G3" s="16"/>
      <c r="H3" s="16"/>
      <c r="I3" s="16"/>
      <c r="J3" s="16"/>
      <c r="K3" s="16"/>
      <c r="L3" s="17"/>
      <c r="M3" s="17"/>
      <c r="N3" s="17"/>
      <c r="O3" s="17"/>
      <c r="P3" s="17"/>
      <c r="Q3" s="17"/>
      <c r="R3" s="17"/>
      <c r="S3" s="17"/>
      <c r="T3" s="17"/>
      <c r="U3" s="17"/>
      <c r="V3" s="17"/>
      <c r="W3" s="17"/>
      <c r="X3" s="17"/>
      <c r="Y3" s="17"/>
      <c r="Z3" s="17"/>
      <c r="AA3" s="17"/>
      <c r="AB3" s="17"/>
    </row>
    <row r="4" spans="1:28" ht="15.75" x14ac:dyDescent="0.25">
      <c r="A4" s="18"/>
      <c r="B4" s="18"/>
      <c r="C4" s="18"/>
      <c r="D4" s="16"/>
      <c r="E4" s="190"/>
      <c r="F4" s="16"/>
      <c r="G4" s="16"/>
      <c r="H4" s="16"/>
      <c r="I4" s="16"/>
      <c r="J4" s="16"/>
      <c r="K4" s="16"/>
      <c r="L4" s="17"/>
      <c r="M4" s="17"/>
      <c r="N4" s="17"/>
      <c r="O4" s="17"/>
      <c r="P4" s="17"/>
      <c r="Q4" s="17"/>
      <c r="R4" s="17"/>
      <c r="S4" s="17"/>
      <c r="T4" s="17"/>
      <c r="U4" s="17"/>
      <c r="V4" s="17"/>
      <c r="W4" s="17"/>
      <c r="X4" s="17"/>
      <c r="Y4" s="17"/>
      <c r="Z4" s="17"/>
      <c r="AA4" s="17"/>
      <c r="AB4"/>
    </row>
    <row r="5" spans="1:28" ht="25.5" customHeight="1" x14ac:dyDescent="0.25">
      <c r="A5" s="1412" t="str">
        <f>'P.KH-TC'!A5:AB5</f>
        <v>THỐNG KÊ CHI TIẾT KHỐI LƯỢNG CÔNG VIỆC THỰC HIỆN THÁNG 10/2023</v>
      </c>
      <c r="B5" s="1412"/>
      <c r="C5" s="1412"/>
      <c r="D5" s="1412"/>
      <c r="E5" s="1412"/>
      <c r="F5" s="1412"/>
      <c r="G5" s="1412"/>
      <c r="H5" s="1412"/>
      <c r="I5" s="1412"/>
      <c r="J5" s="1412"/>
      <c r="K5" s="1412"/>
      <c r="L5" s="1412"/>
      <c r="M5" s="1412"/>
      <c r="N5" s="1412"/>
      <c r="O5" s="1412"/>
      <c r="P5" s="1412"/>
      <c r="Q5" s="1412"/>
      <c r="R5" s="1412"/>
      <c r="S5" s="1412"/>
      <c r="T5" s="1412"/>
      <c r="U5" s="1412"/>
      <c r="V5" s="1412"/>
      <c r="W5" s="1412"/>
      <c r="X5" s="1412"/>
      <c r="Y5" s="1412"/>
      <c r="Z5" s="1412"/>
      <c r="AA5" s="1412"/>
      <c r="AB5" s="1412"/>
    </row>
    <row r="6" spans="1:28" ht="6.95" customHeight="1" x14ac:dyDescent="0.25"/>
    <row r="7" spans="1:28" ht="15.75" x14ac:dyDescent="0.25">
      <c r="A7" s="1423" t="s">
        <v>0</v>
      </c>
      <c r="B7" s="1420" t="s">
        <v>564</v>
      </c>
      <c r="C7" s="1420"/>
      <c r="D7" s="1426" t="s">
        <v>110</v>
      </c>
      <c r="E7" s="1427"/>
      <c r="F7" s="1427"/>
      <c r="G7" s="1427"/>
      <c r="H7" s="1427"/>
      <c r="I7" s="1427"/>
      <c r="J7" s="1427"/>
      <c r="K7" s="1427"/>
      <c r="L7" s="1427"/>
      <c r="M7" s="1427"/>
      <c r="N7" s="1428"/>
      <c r="O7" s="253"/>
      <c r="P7" s="1426" t="s">
        <v>565</v>
      </c>
      <c r="Q7" s="1427"/>
      <c r="R7" s="1427"/>
      <c r="S7" s="1427"/>
      <c r="T7" s="1427"/>
      <c r="U7" s="1427"/>
      <c r="V7" s="1427"/>
      <c r="W7" s="1427"/>
      <c r="X7" s="1427"/>
      <c r="Y7" s="1427"/>
      <c r="Z7" s="1428"/>
      <c r="AA7" s="123"/>
      <c r="AB7" s="23" t="s">
        <v>4</v>
      </c>
    </row>
    <row r="8" spans="1:28" ht="37.5" customHeight="1" x14ac:dyDescent="0.25">
      <c r="A8" s="1424"/>
      <c r="B8" s="41" t="s">
        <v>461</v>
      </c>
      <c r="C8" s="41" t="s">
        <v>566</v>
      </c>
      <c r="D8" s="128" t="s">
        <v>567</v>
      </c>
      <c r="E8" s="128" t="s">
        <v>568</v>
      </c>
      <c r="F8" s="128" t="s">
        <v>569</v>
      </c>
      <c r="G8" s="128" t="s">
        <v>570</v>
      </c>
      <c r="H8" s="128" t="s">
        <v>571</v>
      </c>
      <c r="I8" s="128" t="s">
        <v>572</v>
      </c>
      <c r="J8" s="128" t="s">
        <v>573</v>
      </c>
      <c r="K8" s="128" t="s">
        <v>703</v>
      </c>
      <c r="L8" s="128" t="s">
        <v>704</v>
      </c>
      <c r="M8" s="128" t="s">
        <v>748</v>
      </c>
      <c r="N8" s="127" t="s">
        <v>588</v>
      </c>
      <c r="O8" s="267" t="s">
        <v>795</v>
      </c>
      <c r="P8" s="122" t="s">
        <v>567</v>
      </c>
      <c r="Q8" s="122" t="s">
        <v>568</v>
      </c>
      <c r="R8" s="122" t="s">
        <v>569</v>
      </c>
      <c r="S8" s="122" t="s">
        <v>570</v>
      </c>
      <c r="T8" s="122" t="s">
        <v>571</v>
      </c>
      <c r="U8" s="122" t="s">
        <v>572</v>
      </c>
      <c r="V8" s="122" t="s">
        <v>573</v>
      </c>
      <c r="W8" s="122" t="s">
        <v>703</v>
      </c>
      <c r="X8" s="122" t="s">
        <v>704</v>
      </c>
      <c r="Y8" s="122" t="s">
        <v>748</v>
      </c>
      <c r="Z8" s="126" t="s">
        <v>588</v>
      </c>
      <c r="AA8" s="267" t="s">
        <v>795</v>
      </c>
      <c r="AB8" s="23"/>
    </row>
    <row r="9" spans="1:28" ht="15.75" x14ac:dyDescent="0.25">
      <c r="A9" s="22" t="s">
        <v>574</v>
      </c>
      <c r="B9" s="23"/>
      <c r="C9" s="268">
        <v>-1</v>
      </c>
      <c r="D9" s="268">
        <v>-2</v>
      </c>
      <c r="E9" s="268">
        <v>-3</v>
      </c>
      <c r="F9" s="268">
        <v>-4</v>
      </c>
      <c r="G9" s="268">
        <v>-5</v>
      </c>
      <c r="H9" s="268">
        <v>-6</v>
      </c>
      <c r="I9" s="268">
        <v>-7</v>
      </c>
      <c r="J9" s="268">
        <v>-8</v>
      </c>
      <c r="K9" s="268">
        <v>-9</v>
      </c>
      <c r="L9" s="268">
        <v>-10</v>
      </c>
      <c r="M9" s="268">
        <v>-11</v>
      </c>
      <c r="N9" s="268">
        <v>-12</v>
      </c>
      <c r="O9" s="269">
        <v>-13</v>
      </c>
      <c r="P9" s="268">
        <v>-14</v>
      </c>
      <c r="Q9" s="268">
        <v>-15</v>
      </c>
      <c r="R9" s="268">
        <v>-16</v>
      </c>
      <c r="S9" s="268">
        <v>-17</v>
      </c>
      <c r="T9" s="268">
        <v>-18</v>
      </c>
      <c r="U9" s="268">
        <v>-19</v>
      </c>
      <c r="V9" s="268">
        <v>-20</v>
      </c>
      <c r="W9" s="268">
        <v>-21</v>
      </c>
      <c r="X9" s="268">
        <v>-22</v>
      </c>
      <c r="Y9" s="268">
        <v>-23</v>
      </c>
      <c r="Z9" s="268">
        <v>-24</v>
      </c>
      <c r="AA9" s="269">
        <v>-25</v>
      </c>
      <c r="AB9" s="268"/>
    </row>
    <row r="10" spans="1:28" ht="16.5" x14ac:dyDescent="0.25">
      <c r="A10" s="26" t="s">
        <v>5</v>
      </c>
      <c r="B10" s="5" t="s">
        <v>155</v>
      </c>
      <c r="C10" s="30" t="s">
        <v>99</v>
      </c>
      <c r="D10" s="1177" t="s">
        <v>581</v>
      </c>
      <c r="E10" s="1177" t="s">
        <v>581</v>
      </c>
      <c r="F10" s="1179" t="s">
        <v>581</v>
      </c>
      <c r="G10" s="1151"/>
      <c r="H10" s="1151"/>
      <c r="I10" s="933"/>
      <c r="J10" s="504"/>
      <c r="K10" s="504"/>
      <c r="L10" s="215"/>
      <c r="M10" s="100"/>
      <c r="N10" s="99">
        <f>SUM(COUNTIF(D10:M10,"X"),COUNTIF(D10:M10,"A"))</f>
        <v>3</v>
      </c>
      <c r="O10" s="272">
        <f>SUM(COUNTIF(D10:M10,"X"),COUNTIF(D10:M10,"B"))</f>
        <v>3</v>
      </c>
      <c r="P10" s="1182"/>
      <c r="Q10" s="1183"/>
      <c r="R10" s="1071"/>
      <c r="S10" s="1070"/>
      <c r="T10" s="506"/>
      <c r="U10" s="223"/>
      <c r="V10" s="29"/>
      <c r="W10" s="11"/>
      <c r="X10" s="101"/>
      <c r="Y10" s="101"/>
      <c r="Z10" s="99">
        <f t="shared" ref="Z10:Z17" si="0">SUM(COUNTIF(P10:Y10,"X"),COUNTIF(P10:Y10,"A"))</f>
        <v>0</v>
      </c>
      <c r="AA10" s="272">
        <f t="shared" ref="AA10:AA17" si="1">SUM(COUNTIF(P10:Y10,"X"),COUNTIF(P10:Y10,"B"))</f>
        <v>0</v>
      </c>
      <c r="AB10" s="11"/>
    </row>
    <row r="11" spans="1:28" ht="22.5" customHeight="1" x14ac:dyDescent="0.25">
      <c r="A11" s="185" t="s">
        <v>6</v>
      </c>
      <c r="B11" s="364" t="s">
        <v>453</v>
      </c>
      <c r="C11" s="30" t="s">
        <v>72</v>
      </c>
      <c r="D11" s="1177" t="s">
        <v>581</v>
      </c>
      <c r="E11" s="1177" t="s">
        <v>581</v>
      </c>
      <c r="F11" s="1177" t="s">
        <v>581</v>
      </c>
      <c r="G11" s="1151"/>
      <c r="H11" s="1151"/>
      <c r="I11" s="933"/>
      <c r="J11" s="504"/>
      <c r="K11" s="504"/>
      <c r="L11" s="215"/>
      <c r="M11" s="100"/>
      <c r="N11" s="99">
        <f>SUM(COUNTIF(D11:M11,"X"),COUNTIF(D11:M11,"A"))</f>
        <v>3</v>
      </c>
      <c r="O11" s="272">
        <f>SUM(COUNTIF(D11:M11,"X"),COUNTIF(D11:M11,"B"))</f>
        <v>3</v>
      </c>
      <c r="P11" s="1182" t="s">
        <v>581</v>
      </c>
      <c r="Q11" s="1183" t="s">
        <v>581</v>
      </c>
      <c r="R11" s="1071"/>
      <c r="S11" s="1070"/>
      <c r="T11" s="506"/>
      <c r="U11" s="223"/>
      <c r="V11" s="29"/>
      <c r="W11" s="11"/>
      <c r="X11" s="101"/>
      <c r="Y11" s="101"/>
      <c r="Z11" s="99">
        <f t="shared" si="0"/>
        <v>2</v>
      </c>
      <c r="AA11" s="272">
        <f t="shared" si="1"/>
        <v>2</v>
      </c>
      <c r="AB11" s="11"/>
    </row>
    <row r="12" spans="1:28" ht="16.5" x14ac:dyDescent="0.25">
      <c r="A12" s="26" t="s">
        <v>10</v>
      </c>
      <c r="B12" s="5" t="s">
        <v>157</v>
      </c>
      <c r="C12" s="30" t="s">
        <v>101</v>
      </c>
      <c r="D12" s="1178" t="s">
        <v>581</v>
      </c>
      <c r="E12" s="1177"/>
      <c r="F12" s="1179"/>
      <c r="G12" s="1153"/>
      <c r="H12" s="1153"/>
      <c r="I12" s="934"/>
      <c r="J12" s="505"/>
      <c r="K12" s="505"/>
      <c r="L12" s="216"/>
      <c r="M12" s="102"/>
      <c r="N12" s="99">
        <f t="shared" ref="N12:N17" si="2">SUM(COUNTIF(D12:M12,"X"),COUNTIF(D12:M12,"A"))</f>
        <v>1</v>
      </c>
      <c r="O12" s="272">
        <f t="shared" ref="O12:O17" si="3">SUM(COUNTIF(D12:M12,"X"),COUNTIF(D12:M12,"B"))</f>
        <v>1</v>
      </c>
      <c r="P12" s="1182"/>
      <c r="Q12" s="1183"/>
      <c r="R12" s="1071"/>
      <c r="S12" s="1071"/>
      <c r="T12" s="29"/>
      <c r="U12" s="223"/>
      <c r="V12" s="29"/>
      <c r="W12" s="11"/>
      <c r="X12" s="101"/>
      <c r="Y12" s="101"/>
      <c r="Z12" s="99">
        <f t="shared" si="0"/>
        <v>0</v>
      </c>
      <c r="AA12" s="272">
        <f t="shared" si="1"/>
        <v>0</v>
      </c>
      <c r="AB12" s="11"/>
    </row>
    <row r="13" spans="1:28" ht="16.5" x14ac:dyDescent="0.25">
      <c r="A13" s="185" t="s">
        <v>11</v>
      </c>
      <c r="B13" s="5" t="s">
        <v>159</v>
      </c>
      <c r="C13" s="30" t="s">
        <v>103</v>
      </c>
      <c r="D13" s="1178" t="s">
        <v>581</v>
      </c>
      <c r="E13" s="1179" t="s">
        <v>581</v>
      </c>
      <c r="F13" s="1179" t="s">
        <v>581</v>
      </c>
      <c r="G13" s="1153"/>
      <c r="H13" s="1153"/>
      <c r="I13" s="934"/>
      <c r="J13" s="505"/>
      <c r="K13" s="505"/>
      <c r="L13" s="216"/>
      <c r="M13" s="102"/>
      <c r="N13" s="99">
        <f t="shared" si="2"/>
        <v>3</v>
      </c>
      <c r="O13" s="272">
        <f t="shared" si="3"/>
        <v>3</v>
      </c>
      <c r="P13" s="1182" t="s">
        <v>581</v>
      </c>
      <c r="Q13" s="1183" t="s">
        <v>581</v>
      </c>
      <c r="R13" s="1071"/>
      <c r="S13" s="1071"/>
      <c r="T13" s="29"/>
      <c r="U13" s="223"/>
      <c r="V13" s="29"/>
      <c r="W13" s="11"/>
      <c r="X13" s="101"/>
      <c r="Y13" s="101"/>
      <c r="Z13" s="99">
        <f t="shared" si="0"/>
        <v>2</v>
      </c>
      <c r="AA13" s="272">
        <f t="shared" si="1"/>
        <v>2</v>
      </c>
      <c r="AB13" s="11"/>
    </row>
    <row r="14" spans="1:28" ht="16.5" x14ac:dyDescent="0.25">
      <c r="A14" s="26" t="s">
        <v>12</v>
      </c>
      <c r="B14" s="5" t="s">
        <v>158</v>
      </c>
      <c r="C14" s="30" t="s">
        <v>104</v>
      </c>
      <c r="D14" s="1178" t="s">
        <v>581</v>
      </c>
      <c r="E14" s="1179"/>
      <c r="F14" s="1179"/>
      <c r="G14" s="1153"/>
      <c r="H14" s="1153"/>
      <c r="I14" s="934"/>
      <c r="J14" s="505"/>
      <c r="K14" s="505"/>
      <c r="L14" s="216"/>
      <c r="M14" s="102"/>
      <c r="N14" s="99">
        <f t="shared" si="2"/>
        <v>1</v>
      </c>
      <c r="O14" s="272">
        <f t="shared" si="3"/>
        <v>1</v>
      </c>
      <c r="P14" s="1182"/>
      <c r="Q14" s="1183"/>
      <c r="R14" s="1071"/>
      <c r="S14" s="1071"/>
      <c r="T14" s="29"/>
      <c r="U14" s="223"/>
      <c r="V14" s="29"/>
      <c r="W14" s="11"/>
      <c r="X14" s="101"/>
      <c r="Y14" s="101"/>
      <c r="Z14" s="99">
        <f t="shared" si="0"/>
        <v>0</v>
      </c>
      <c r="AA14" s="272">
        <f t="shared" si="1"/>
        <v>0</v>
      </c>
      <c r="AB14" s="11"/>
    </row>
    <row r="15" spans="1:28" ht="16.5" x14ac:dyDescent="0.25">
      <c r="A15" s="185" t="s">
        <v>13</v>
      </c>
      <c r="B15" s="5" t="s">
        <v>160</v>
      </c>
      <c r="C15" s="30" t="s">
        <v>102</v>
      </c>
      <c r="D15" s="1178" t="s">
        <v>581</v>
      </c>
      <c r="E15" s="1179" t="s">
        <v>581</v>
      </c>
      <c r="F15" s="1179" t="s">
        <v>581</v>
      </c>
      <c r="G15" s="1153"/>
      <c r="H15" s="1153"/>
      <c r="I15" s="934"/>
      <c r="J15" s="505"/>
      <c r="K15" s="505"/>
      <c r="L15" s="216"/>
      <c r="M15" s="102"/>
      <c r="N15" s="99">
        <f t="shared" si="2"/>
        <v>3</v>
      </c>
      <c r="O15" s="272">
        <f t="shared" si="3"/>
        <v>3</v>
      </c>
      <c r="P15" s="1182" t="s">
        <v>581</v>
      </c>
      <c r="Q15" s="1183" t="s">
        <v>581</v>
      </c>
      <c r="R15" s="1071"/>
      <c r="S15" s="1071"/>
      <c r="T15" s="29"/>
      <c r="U15" s="223"/>
      <c r="V15" s="29"/>
      <c r="W15" s="11"/>
      <c r="X15" s="101"/>
      <c r="Y15" s="101"/>
      <c r="Z15" s="99">
        <f t="shared" si="0"/>
        <v>2</v>
      </c>
      <c r="AA15" s="272">
        <f t="shared" si="1"/>
        <v>2</v>
      </c>
      <c r="AB15" s="11"/>
    </row>
    <row r="16" spans="1:28" ht="16.5" x14ac:dyDescent="0.25">
      <c r="A16" s="22" t="s">
        <v>577</v>
      </c>
      <c r="B16" s="5"/>
      <c r="C16" s="5"/>
      <c r="D16" s="1152"/>
      <c r="E16" s="1153"/>
      <c r="F16" s="1153"/>
      <c r="G16" s="1153"/>
      <c r="H16" s="1153"/>
      <c r="I16" s="934"/>
      <c r="J16" s="505"/>
      <c r="K16" s="505"/>
      <c r="L16" s="216"/>
      <c r="M16" s="102"/>
      <c r="N16" s="99">
        <f t="shared" si="2"/>
        <v>0</v>
      </c>
      <c r="O16" s="272">
        <f t="shared" si="3"/>
        <v>0</v>
      </c>
      <c r="P16" s="1182"/>
      <c r="Q16" s="1183"/>
      <c r="R16" s="1071"/>
      <c r="S16" s="1071"/>
      <c r="T16" s="29"/>
      <c r="U16" s="217"/>
      <c r="V16" s="29"/>
      <c r="W16" s="98"/>
      <c r="X16" s="101"/>
      <c r="Y16" s="101"/>
      <c r="Z16" s="99">
        <f t="shared" si="0"/>
        <v>0</v>
      </c>
      <c r="AA16" s="272">
        <f t="shared" si="1"/>
        <v>0</v>
      </c>
      <c r="AB16" s="11"/>
    </row>
    <row r="17" spans="1:28" ht="16.5" x14ac:dyDescent="0.25">
      <c r="A17" s="26" t="s">
        <v>5</v>
      </c>
      <c r="B17" s="5" t="s">
        <v>161</v>
      </c>
      <c r="C17" s="30" t="s">
        <v>105</v>
      </c>
      <c r="D17" s="1177" t="s">
        <v>581</v>
      </c>
      <c r="E17" s="1177"/>
      <c r="F17" s="1177" t="s">
        <v>581</v>
      </c>
      <c r="G17" s="1153"/>
      <c r="H17" s="1153"/>
      <c r="I17" s="934"/>
      <c r="J17" s="727"/>
      <c r="K17" s="45"/>
      <c r="L17" s="24"/>
      <c r="M17" s="45"/>
      <c r="N17" s="99">
        <f t="shared" si="2"/>
        <v>2</v>
      </c>
      <c r="O17" s="272">
        <f t="shared" si="3"/>
        <v>2</v>
      </c>
      <c r="P17" s="1182"/>
      <c r="Q17" s="1183"/>
      <c r="R17" s="1071"/>
      <c r="S17" s="1071"/>
      <c r="T17" s="29"/>
      <c r="U17" s="223"/>
      <c r="V17" s="29"/>
      <c r="W17" s="25"/>
      <c r="X17" s="29"/>
      <c r="Y17" s="29"/>
      <c r="Z17" s="99">
        <f t="shared" si="0"/>
        <v>0</v>
      </c>
      <c r="AA17" s="272">
        <f t="shared" si="1"/>
        <v>0</v>
      </c>
      <c r="AB17" s="25"/>
    </row>
    <row r="18" spans="1:28" ht="15.75" x14ac:dyDescent="0.25">
      <c r="A18" s="164"/>
      <c r="B18" s="164"/>
      <c r="C18" s="164"/>
      <c r="D18" s="226">
        <f t="shared" ref="D18:J18" si="4">COUNTIF(D2:D17,"X")</f>
        <v>7</v>
      </c>
      <c r="E18" s="226">
        <f t="shared" si="4"/>
        <v>4</v>
      </c>
      <c r="F18" s="226">
        <f t="shared" si="4"/>
        <v>5</v>
      </c>
      <c r="G18" s="226">
        <f t="shared" si="4"/>
        <v>0</v>
      </c>
      <c r="H18" s="226">
        <f t="shared" si="4"/>
        <v>0</v>
      </c>
      <c r="I18" s="226">
        <f t="shared" si="4"/>
        <v>0</v>
      </c>
      <c r="J18" s="226">
        <f t="shared" si="4"/>
        <v>0</v>
      </c>
      <c r="K18" s="164"/>
      <c r="L18" s="164"/>
      <c r="M18" s="164"/>
      <c r="N18" s="164"/>
      <c r="O18" s="164"/>
      <c r="P18" s="226">
        <f>COUNTIF(P2:P17,"X")</f>
        <v>3</v>
      </c>
      <c r="Q18" s="226">
        <f>COUNTIF(Q2:Q17,"X")</f>
        <v>3</v>
      </c>
      <c r="R18" s="226">
        <f>COUNTIF(R2:R17,"X")</f>
        <v>0</v>
      </c>
      <c r="S18" s="226">
        <f>COUNTIF(S2:S17,"X")</f>
        <v>0</v>
      </c>
      <c r="T18" s="164"/>
      <c r="U18" s="164"/>
      <c r="V18" s="164"/>
      <c r="W18" s="164"/>
      <c r="X18" s="164"/>
      <c r="Y18" s="164"/>
      <c r="Z18" s="164"/>
      <c r="AA18" s="164"/>
      <c r="AB18" s="164"/>
    </row>
    <row r="19" spans="1:28" ht="15.75" x14ac:dyDescent="0.25">
      <c r="A19" s="1425" t="s">
        <v>578</v>
      </c>
      <c r="B19" s="1425"/>
      <c r="C19" s="1425"/>
      <c r="D19" s="1425"/>
      <c r="E19" s="1425"/>
      <c r="F19" s="1425"/>
      <c r="G19" s="1425"/>
      <c r="H19" s="1425"/>
      <c r="I19" s="1425"/>
      <c r="J19" s="1425"/>
      <c r="K19" s="1425"/>
      <c r="L19" s="1425"/>
      <c r="M19" s="1425"/>
      <c r="N19" s="1425"/>
      <c r="O19" s="1425"/>
      <c r="P19" s="1425"/>
      <c r="Q19" s="1425"/>
      <c r="R19" s="1425"/>
      <c r="S19" s="1425"/>
      <c r="T19" s="1425"/>
      <c r="U19" s="1425"/>
      <c r="V19" s="1425"/>
      <c r="W19" s="1425"/>
      <c r="X19" s="1425"/>
      <c r="Y19" s="1425"/>
      <c r="Z19" s="1425"/>
      <c r="AA19" s="1425"/>
      <c r="AB19" s="1425"/>
    </row>
    <row r="20" spans="1:28" ht="17.25" x14ac:dyDescent="0.3">
      <c r="A20" s="33"/>
      <c r="B20" s="33"/>
      <c r="C20" s="33"/>
      <c r="D20" s="34"/>
      <c r="E20" s="192"/>
      <c r="F20" s="34"/>
      <c r="G20" s="34"/>
      <c r="H20" s="34"/>
      <c r="I20" s="34"/>
      <c r="J20" s="34"/>
      <c r="K20" s="34"/>
      <c r="L20" s="35"/>
      <c r="M20" s="35"/>
      <c r="N20" s="35"/>
      <c r="O20" s="35"/>
      <c r="P20" s="1421" t="str">
        <f>'P.KH-TC'!P22</f>
        <v>TP. HCM, ngày 2 tháng 11 năm 2023</v>
      </c>
      <c r="Q20" s="1421"/>
      <c r="R20" s="1421"/>
      <c r="S20" s="1421"/>
      <c r="T20" s="1421"/>
      <c r="U20" s="1421"/>
      <c r="V20" s="1421"/>
      <c r="W20" s="1421"/>
      <c r="X20" s="1421"/>
      <c r="Y20" s="1421"/>
      <c r="Z20" s="1421"/>
      <c r="AA20" s="1421"/>
      <c r="AB20" s="1421"/>
    </row>
    <row r="21" spans="1:28" ht="17.25" x14ac:dyDescent="0.3">
      <c r="A21" s="33"/>
      <c r="B21" s="33"/>
      <c r="C21" s="33"/>
      <c r="D21" s="34"/>
      <c r="E21" s="192"/>
      <c r="F21" s="34"/>
      <c r="G21" s="34"/>
      <c r="H21" s="34"/>
      <c r="I21" s="34"/>
      <c r="J21" s="34"/>
      <c r="K21" s="34"/>
      <c r="P21" s="1422" t="s">
        <v>579</v>
      </c>
      <c r="Q21" s="1422"/>
      <c r="R21" s="1422"/>
      <c r="S21" s="1422"/>
      <c r="T21" s="1422"/>
      <c r="U21" s="1422"/>
      <c r="V21" s="1422"/>
      <c r="W21" s="1422"/>
      <c r="X21" s="1422"/>
      <c r="Y21" s="1422"/>
      <c r="Z21" s="1422"/>
      <c r="AA21" s="1422"/>
      <c r="AB21" s="1422"/>
    </row>
    <row r="23" spans="1:28" ht="18.75" x14ac:dyDescent="0.3">
      <c r="B23" s="344" t="s">
        <v>805</v>
      </c>
      <c r="C23" s="342" t="s">
        <v>802</v>
      </c>
    </row>
    <row r="24" spans="1:28" ht="18.75" x14ac:dyDescent="0.3">
      <c r="B24" s="343" t="s">
        <v>803</v>
      </c>
      <c r="C24" s="343" t="s">
        <v>804</v>
      </c>
    </row>
  </sheetData>
  <mergeCells count="13">
    <mergeCell ref="A1:C1"/>
    <mergeCell ref="P1:AB1"/>
    <mergeCell ref="A2:C2"/>
    <mergeCell ref="P2:AB2"/>
    <mergeCell ref="A3:C3"/>
    <mergeCell ref="A5:AB5"/>
    <mergeCell ref="P20:AB20"/>
    <mergeCell ref="P21:AB21"/>
    <mergeCell ref="A7:A8"/>
    <mergeCell ref="B7:C7"/>
    <mergeCell ref="A19:AB19"/>
    <mergeCell ref="D7:N7"/>
    <mergeCell ref="P7:Z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X24"/>
  <sheetViews>
    <sheetView showZeros="0" topLeftCell="A4" workbookViewId="0">
      <selection activeCell="N10" sqref="N10:R13"/>
    </sheetView>
  </sheetViews>
  <sheetFormatPr defaultRowHeight="15" x14ac:dyDescent="0.25"/>
  <cols>
    <col min="1" max="1" width="5.28515625" style="356" customWidth="1"/>
    <col min="2" max="2" width="21" style="356" customWidth="1"/>
    <col min="3" max="3" width="14.7109375" style="356" customWidth="1"/>
    <col min="4" max="10" width="6.7109375" style="356" customWidth="1"/>
    <col min="11" max="23" width="6.7109375" style="388" customWidth="1"/>
    <col min="24" max="24" width="15.7109375" style="388" customWidth="1"/>
    <col min="25" max="16384" width="9.140625" style="356"/>
  </cols>
  <sheetData>
    <row r="1" spans="1:24" ht="15.75" x14ac:dyDescent="0.25">
      <c r="A1" s="1400" t="s">
        <v>559</v>
      </c>
      <c r="B1" s="1400"/>
      <c r="C1" s="1400"/>
      <c r="D1" s="15"/>
      <c r="E1" s="15"/>
      <c r="F1" s="15"/>
      <c r="G1" s="15"/>
      <c r="H1" s="15"/>
      <c r="I1" s="15"/>
      <c r="J1" s="15"/>
      <c r="K1" s="16"/>
      <c r="L1" s="17"/>
      <c r="M1" s="17"/>
      <c r="N1" s="1401" t="s">
        <v>560</v>
      </c>
      <c r="O1" s="1401"/>
      <c r="P1" s="1401"/>
      <c r="Q1" s="1401"/>
      <c r="R1" s="1401"/>
      <c r="S1" s="1401"/>
      <c r="T1" s="1401"/>
      <c r="U1" s="1402"/>
      <c r="V1" s="1402"/>
      <c r="W1" s="1402"/>
      <c r="X1" s="1402"/>
    </row>
    <row r="2" spans="1:24" ht="15.75" x14ac:dyDescent="0.25">
      <c r="A2" s="1400" t="s">
        <v>561</v>
      </c>
      <c r="B2" s="1400"/>
      <c r="C2" s="1400"/>
      <c r="D2" s="15"/>
      <c r="E2" s="15"/>
      <c r="F2" s="15"/>
      <c r="G2" s="15"/>
      <c r="H2" s="15"/>
      <c r="I2" s="15"/>
      <c r="J2" s="15"/>
      <c r="K2" s="16"/>
      <c r="L2" s="17"/>
      <c r="M2" s="17"/>
      <c r="N2" s="1401" t="s">
        <v>562</v>
      </c>
      <c r="O2" s="1401"/>
      <c r="P2" s="1401"/>
      <c r="Q2" s="1401"/>
      <c r="R2" s="1401"/>
      <c r="S2" s="1401"/>
      <c r="T2" s="1401"/>
      <c r="U2" s="1401"/>
      <c r="V2" s="1401"/>
      <c r="W2" s="1401"/>
      <c r="X2" s="1401"/>
    </row>
    <row r="3" spans="1:24" ht="38.25" customHeight="1" x14ac:dyDescent="0.25">
      <c r="A3" s="1401" t="s">
        <v>584</v>
      </c>
      <c r="B3" s="1401"/>
      <c r="C3" s="1401"/>
      <c r="D3" s="18"/>
      <c r="E3" s="18"/>
      <c r="F3" s="18"/>
      <c r="G3" s="18"/>
      <c r="H3" s="18"/>
      <c r="I3" s="18"/>
      <c r="J3" s="18"/>
      <c r="K3" s="16"/>
      <c r="L3" s="17"/>
      <c r="M3" s="17"/>
      <c r="N3" s="17"/>
      <c r="O3" s="17"/>
      <c r="P3" s="17"/>
      <c r="Q3" s="17"/>
      <c r="R3" s="17"/>
      <c r="S3" s="17"/>
      <c r="T3" s="17"/>
      <c r="U3" s="17"/>
      <c r="V3" s="17"/>
      <c r="W3" s="17"/>
      <c r="X3" s="17"/>
    </row>
    <row r="4" spans="1:24" ht="15.75" x14ac:dyDescent="0.25">
      <c r="A4" s="18"/>
      <c r="B4" s="18"/>
      <c r="C4" s="18"/>
      <c r="D4" s="18"/>
      <c r="E4" s="18"/>
      <c r="F4" s="18"/>
      <c r="G4" s="18"/>
      <c r="H4" s="18"/>
      <c r="I4" s="18"/>
      <c r="J4" s="18"/>
      <c r="K4" s="16"/>
      <c r="L4" s="17"/>
      <c r="M4" s="17"/>
      <c r="N4" s="17"/>
      <c r="O4" s="17"/>
      <c r="P4" s="17"/>
      <c r="Q4" s="17"/>
      <c r="R4" s="17"/>
      <c r="S4" s="17"/>
      <c r="T4" s="17"/>
      <c r="U4" s="17"/>
      <c r="V4" s="17"/>
      <c r="W4" s="17"/>
      <c r="X4" s="19" t="s">
        <v>563</v>
      </c>
    </row>
    <row r="5" spans="1:24" ht="20.25" x14ac:dyDescent="0.25">
      <c r="A5" s="1390" t="str">
        <f>'P.KH-TC'!A5:AB5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row>
    <row r="7" spans="1:24" ht="28.5" customHeight="1" x14ac:dyDescent="0.25">
      <c r="A7" s="1429" t="s">
        <v>0</v>
      </c>
      <c r="B7" s="1376" t="s">
        <v>564</v>
      </c>
      <c r="C7" s="1376"/>
      <c r="D7" s="1330" t="s">
        <v>110</v>
      </c>
      <c r="E7" s="1344"/>
      <c r="F7" s="1344"/>
      <c r="G7" s="1344"/>
      <c r="H7" s="1344"/>
      <c r="I7" s="1344"/>
      <c r="J7" s="1344"/>
      <c r="K7" s="1344"/>
      <c r="L7" s="1331"/>
      <c r="M7" s="451"/>
      <c r="N7" s="1330" t="s">
        <v>565</v>
      </c>
      <c r="O7" s="1344"/>
      <c r="P7" s="1344"/>
      <c r="Q7" s="1344"/>
      <c r="R7" s="1344"/>
      <c r="S7" s="1344"/>
      <c r="T7" s="1344"/>
      <c r="U7" s="1344"/>
      <c r="V7" s="1331"/>
      <c r="W7" s="432"/>
      <c r="X7" s="352" t="s">
        <v>4</v>
      </c>
    </row>
    <row r="8" spans="1:24" ht="64.5" customHeight="1" x14ac:dyDescent="0.25">
      <c r="A8" s="1430"/>
      <c r="B8" s="1" t="s">
        <v>461</v>
      </c>
      <c r="C8" s="1" t="s">
        <v>566</v>
      </c>
      <c r="D8" s="1" t="s">
        <v>567</v>
      </c>
      <c r="E8" s="1" t="s">
        <v>568</v>
      </c>
      <c r="F8" s="1" t="s">
        <v>569</v>
      </c>
      <c r="G8" s="1" t="s">
        <v>570</v>
      </c>
      <c r="H8" s="1" t="s">
        <v>571</v>
      </c>
      <c r="I8" s="1" t="s">
        <v>572</v>
      </c>
      <c r="J8" s="1" t="s">
        <v>573</v>
      </c>
      <c r="K8" s="1" t="s">
        <v>703</v>
      </c>
      <c r="L8" s="486" t="s">
        <v>588</v>
      </c>
      <c r="M8" s="354" t="s">
        <v>795</v>
      </c>
      <c r="N8" s="450" t="s">
        <v>567</v>
      </c>
      <c r="O8" s="450" t="s">
        <v>568</v>
      </c>
      <c r="P8" s="450" t="s">
        <v>569</v>
      </c>
      <c r="Q8" s="450" t="s">
        <v>570</v>
      </c>
      <c r="R8" s="450" t="s">
        <v>571</v>
      </c>
      <c r="S8" s="450" t="s">
        <v>572</v>
      </c>
      <c r="T8" s="450" t="s">
        <v>573</v>
      </c>
      <c r="U8" s="450" t="s">
        <v>703</v>
      </c>
      <c r="V8" s="486" t="s">
        <v>588</v>
      </c>
      <c r="W8" s="354" t="s">
        <v>795</v>
      </c>
      <c r="X8" s="352"/>
    </row>
    <row r="9" spans="1:24" ht="21.75" customHeight="1" x14ac:dyDescent="0.25">
      <c r="A9" s="362" t="s">
        <v>574</v>
      </c>
      <c r="B9" s="352"/>
      <c r="C9" s="273">
        <v>-1</v>
      </c>
      <c r="D9" s="273">
        <v>-2</v>
      </c>
      <c r="E9" s="273">
        <v>-3</v>
      </c>
      <c r="F9" s="273">
        <v>-4</v>
      </c>
      <c r="G9" s="273">
        <v>-5</v>
      </c>
      <c r="H9" s="273">
        <v>-6</v>
      </c>
      <c r="I9" s="273">
        <v>-7</v>
      </c>
      <c r="J9" s="273">
        <v>-8</v>
      </c>
      <c r="K9" s="273">
        <v>-9</v>
      </c>
      <c r="L9" s="363">
        <v>-10</v>
      </c>
      <c r="M9" s="274">
        <v>-11</v>
      </c>
      <c r="N9" s="273">
        <v>-12</v>
      </c>
      <c r="O9" s="273">
        <v>-13</v>
      </c>
      <c r="P9" s="273">
        <v>-14</v>
      </c>
      <c r="Q9" s="273">
        <v>-15</v>
      </c>
      <c r="R9" s="273">
        <v>-16</v>
      </c>
      <c r="S9" s="273">
        <v>-17</v>
      </c>
      <c r="T9" s="273">
        <v>-18</v>
      </c>
      <c r="U9" s="273">
        <v>-19</v>
      </c>
      <c r="V9" s="363">
        <v>-20</v>
      </c>
      <c r="W9" s="274">
        <v>-21</v>
      </c>
      <c r="X9" s="408"/>
    </row>
    <row r="10" spans="1:24" ht="16.5" x14ac:dyDescent="0.25">
      <c r="A10" s="143" t="s">
        <v>5</v>
      </c>
      <c r="B10" s="435" t="s">
        <v>540</v>
      </c>
      <c r="C10" s="454" t="s">
        <v>416</v>
      </c>
      <c r="D10" s="1177" t="s">
        <v>581</v>
      </c>
      <c r="E10" s="1177" t="s">
        <v>581</v>
      </c>
      <c r="F10" s="1177" t="s">
        <v>581</v>
      </c>
      <c r="G10" s="1177" t="s">
        <v>581</v>
      </c>
      <c r="H10" s="1011"/>
      <c r="I10" s="487"/>
      <c r="J10" s="248"/>
      <c r="K10" s="248"/>
      <c r="L10" s="455">
        <f>SUM(COUNTIF(D10:K10,"X"),COUNTIF(D10:K10,"A"))</f>
        <v>4</v>
      </c>
      <c r="M10" s="456">
        <f>SUM(COUNTIF(D10:K10,"X"),COUNTIF(D10:K10,"B"))</f>
        <v>4</v>
      </c>
      <c r="N10" s="1182" t="s">
        <v>581</v>
      </c>
      <c r="O10" s="1183" t="s">
        <v>581</v>
      </c>
      <c r="P10" s="1183" t="s">
        <v>581</v>
      </c>
      <c r="Q10" s="1183" t="s">
        <v>581</v>
      </c>
      <c r="R10" s="1183" t="s">
        <v>581</v>
      </c>
      <c r="S10" s="569"/>
      <c r="T10" s="248"/>
      <c r="U10" s="248"/>
      <c r="V10" s="455">
        <f>SUM(COUNTIF(N10:U10,"X"),COUNTIF(N10:U10,"A"))</f>
        <v>5</v>
      </c>
      <c r="W10" s="456">
        <f>SUM(COUNTIF(N10:U10,"X"),COUNTIF(N10:U10,"B"))</f>
        <v>5</v>
      </c>
      <c r="X10" s="408"/>
    </row>
    <row r="11" spans="1:24" ht="16.5" x14ac:dyDescent="0.25">
      <c r="A11" s="362" t="s">
        <v>577</v>
      </c>
      <c r="B11" s="364"/>
      <c r="C11" s="364"/>
      <c r="D11" s="1178"/>
      <c r="E11" s="1179"/>
      <c r="F11" s="1179"/>
      <c r="G11" s="1179"/>
      <c r="H11" s="1012"/>
      <c r="I11" s="488"/>
      <c r="J11" s="423"/>
      <c r="K11" s="423"/>
      <c r="L11" s="455">
        <f>SUM(COUNTIF(D11:K11,"X"),COUNTIF(D11:K11,"A"))</f>
        <v>0</v>
      </c>
      <c r="M11" s="456">
        <f>SUM(COUNTIF(D11:K11,"X"),COUNTIF(D11:K11,"B"))</f>
        <v>0</v>
      </c>
      <c r="N11" s="1182"/>
      <c r="O11" s="1183"/>
      <c r="P11" s="1183"/>
      <c r="Q11" s="1183"/>
      <c r="R11" s="1183"/>
      <c r="S11" s="570"/>
      <c r="T11" s="101"/>
      <c r="U11" s="101"/>
      <c r="V11" s="455">
        <f>SUM(COUNTIF(N11:U11,"X"),COUNTIF(N11:U11,"A"))</f>
        <v>0</v>
      </c>
      <c r="W11" s="456">
        <f>SUM(COUNTIF(N11:U11,"X"),COUNTIF(N11:U11,"B"))</f>
        <v>0</v>
      </c>
      <c r="X11" s="408"/>
    </row>
    <row r="12" spans="1:24" ht="16.5" x14ac:dyDescent="0.25">
      <c r="A12" s="143" t="s">
        <v>5</v>
      </c>
      <c r="B12" s="364" t="s">
        <v>162</v>
      </c>
      <c r="C12" s="7" t="s">
        <v>709</v>
      </c>
      <c r="D12" s="1177"/>
      <c r="E12" s="1177" t="s">
        <v>581</v>
      </c>
      <c r="F12" s="1177" t="s">
        <v>581</v>
      </c>
      <c r="G12" s="1177" t="s">
        <v>581</v>
      </c>
      <c r="H12" s="1011"/>
      <c r="I12" s="24"/>
      <c r="J12" s="423"/>
      <c r="K12" s="423"/>
      <c r="L12" s="455">
        <f>SUM(COUNTIF(D12:K12,"X"),COUNTIF(D12:K12,"A"))</f>
        <v>3</v>
      </c>
      <c r="M12" s="456">
        <f>SUM(COUNTIF(D12:K12,"X"),COUNTIF(D12:K12,"B"))</f>
        <v>3</v>
      </c>
      <c r="N12" s="1183" t="s">
        <v>581</v>
      </c>
      <c r="O12" s="1183" t="s">
        <v>581</v>
      </c>
      <c r="P12" s="1183"/>
      <c r="Q12" s="1183"/>
      <c r="R12" s="1183" t="s">
        <v>581</v>
      </c>
      <c r="S12" s="569"/>
      <c r="T12" s="101"/>
      <c r="U12" s="101"/>
      <c r="V12" s="455">
        <f>SUM(COUNTIF(N12:U12,"X"),COUNTIF(N12:U12,"A"))</f>
        <v>3</v>
      </c>
      <c r="W12" s="456">
        <f>SUM(COUNTIF(N12:U12,"X"),COUNTIF(N12:U12,"B"))</f>
        <v>3</v>
      </c>
      <c r="X12" s="408"/>
    </row>
    <row r="13" spans="1:24" ht="16.5" x14ac:dyDescent="0.25">
      <c r="A13" s="143" t="s">
        <v>6</v>
      </c>
      <c r="B13" s="10" t="s">
        <v>451</v>
      </c>
      <c r="C13" s="185" t="s">
        <v>708</v>
      </c>
      <c r="D13" s="1177" t="s">
        <v>581</v>
      </c>
      <c r="E13" s="1177"/>
      <c r="F13" s="1177" t="s">
        <v>581</v>
      </c>
      <c r="G13" s="1177"/>
      <c r="H13" s="1014"/>
      <c r="I13" s="24"/>
      <c r="J13" s="248"/>
      <c r="K13" s="248"/>
      <c r="L13" s="455">
        <f>SUM(COUNTIF(D13:K13,"X"),COUNTIF(D13:K13,"A"))</f>
        <v>2</v>
      </c>
      <c r="M13" s="456">
        <f>SUM(COUNTIF(D13:K13,"X"),COUNTIF(D13:K13,"B"))</f>
        <v>2</v>
      </c>
      <c r="N13" s="1183" t="s">
        <v>581</v>
      </c>
      <c r="O13" s="1183"/>
      <c r="P13" s="1183" t="s">
        <v>581</v>
      </c>
      <c r="Q13" s="1183" t="s">
        <v>581</v>
      </c>
      <c r="R13" s="1183"/>
      <c r="S13" s="569"/>
      <c r="T13" s="248"/>
      <c r="U13" s="248"/>
      <c r="V13" s="455">
        <f>SUM(COUNTIF(N13:U13,"X"),COUNTIF(N13:U13,"A"))</f>
        <v>3</v>
      </c>
      <c r="W13" s="456">
        <f>SUM(COUNTIF(N13:U13,"X"),COUNTIF(N13:U13,"B"))</f>
        <v>3</v>
      </c>
      <c r="X13" s="408"/>
    </row>
    <row r="14" spans="1:24" ht="15.75" x14ac:dyDescent="0.25">
      <c r="A14" s="1411"/>
      <c r="B14" s="1411"/>
      <c r="C14" s="1411"/>
      <c r="D14" s="1411"/>
      <c r="E14" s="1411"/>
      <c r="F14" s="1411"/>
      <c r="G14" s="1411"/>
      <c r="H14" s="1411"/>
      <c r="I14" s="1411"/>
      <c r="J14" s="1411"/>
      <c r="K14" s="1411"/>
      <c r="L14" s="1411"/>
      <c r="M14" s="1411"/>
      <c r="N14" s="1411"/>
      <c r="O14" s="1411"/>
      <c r="P14" s="1411"/>
      <c r="Q14" s="1411"/>
      <c r="R14" s="1411"/>
      <c r="S14" s="1411"/>
      <c r="T14" s="1411"/>
      <c r="U14" s="1411"/>
      <c r="V14" s="1411"/>
      <c r="W14" s="1411"/>
      <c r="X14" s="1411"/>
    </row>
    <row r="15" spans="1:24" ht="15.75" x14ac:dyDescent="0.25">
      <c r="A15" s="1395" t="s">
        <v>578</v>
      </c>
      <c r="B15" s="1395"/>
      <c r="C15" s="1395"/>
      <c r="D15" s="1395"/>
      <c r="E15" s="1395"/>
      <c r="F15" s="1395"/>
      <c r="G15" s="1395"/>
      <c r="H15" s="1395"/>
      <c r="I15" s="1395"/>
      <c r="J15" s="1395"/>
      <c r="K15" s="1395"/>
      <c r="L15" s="1395"/>
      <c r="M15" s="1395"/>
      <c r="N15" s="1395"/>
      <c r="O15" s="1395"/>
      <c r="P15" s="1395"/>
      <c r="Q15" s="1395"/>
      <c r="R15" s="1395"/>
      <c r="S15" s="1395"/>
      <c r="T15" s="1395"/>
      <c r="U15" s="1395"/>
      <c r="V15" s="1395"/>
      <c r="W15" s="1395"/>
      <c r="X15" s="1395"/>
    </row>
    <row r="16" spans="1:24" ht="17.25" x14ac:dyDescent="0.3">
      <c r="A16" s="375"/>
      <c r="B16" s="375"/>
      <c r="C16" s="375"/>
      <c r="D16" s="375"/>
      <c r="E16" s="375"/>
      <c r="F16" s="375"/>
      <c r="G16" s="375"/>
      <c r="H16" s="375"/>
      <c r="I16" s="375"/>
      <c r="J16" s="375"/>
      <c r="K16" s="376"/>
      <c r="L16" s="377"/>
      <c r="M16" s="377"/>
      <c r="N16" s="1399" t="str">
        <f>'P.KH-TC'!P22</f>
        <v>TP. HCM, ngày 2 tháng 11 năm 2023</v>
      </c>
      <c r="O16" s="1399"/>
      <c r="P16" s="1399"/>
      <c r="Q16" s="1399"/>
      <c r="R16" s="1399"/>
      <c r="S16" s="1399"/>
      <c r="T16" s="1399"/>
      <c r="U16" s="1399"/>
      <c r="V16" s="1399"/>
      <c r="W16" s="1399"/>
      <c r="X16" s="1399"/>
    </row>
    <row r="17" spans="1:24" ht="17.25" x14ac:dyDescent="0.3">
      <c r="A17" s="375"/>
      <c r="B17" s="412"/>
      <c r="C17" s="412"/>
      <c r="D17" s="412"/>
      <c r="E17" s="375"/>
      <c r="F17" s="375"/>
      <c r="G17" s="375"/>
      <c r="H17" s="375"/>
      <c r="I17" s="375"/>
      <c r="J17" s="375"/>
      <c r="K17" s="376"/>
      <c r="N17" s="1403" t="s">
        <v>579</v>
      </c>
      <c r="O17" s="1403"/>
      <c r="P17" s="1403"/>
      <c r="Q17" s="1403"/>
      <c r="R17" s="1403"/>
      <c r="S17" s="1403"/>
      <c r="T17" s="1403"/>
      <c r="U17" s="1403"/>
      <c r="V17" s="1403"/>
      <c r="W17" s="1403"/>
      <c r="X17" s="1403"/>
    </row>
    <row r="18" spans="1:24" ht="18.75" x14ac:dyDescent="0.3">
      <c r="B18" s="381" t="s">
        <v>805</v>
      </c>
      <c r="C18" s="382" t="s">
        <v>802</v>
      </c>
      <c r="D18" s="390"/>
    </row>
    <row r="19" spans="1:24" ht="18.75" x14ac:dyDescent="0.3">
      <c r="B19" s="381" t="s">
        <v>803</v>
      </c>
      <c r="C19" s="382" t="s">
        <v>804</v>
      </c>
      <c r="D19" s="390"/>
    </row>
    <row r="20" spans="1:24" ht="26.25" customHeight="1" x14ac:dyDescent="0.25">
      <c r="B20" s="390"/>
      <c r="C20" s="390"/>
      <c r="D20" s="390"/>
    </row>
    <row r="21" spans="1:24" x14ac:dyDescent="0.25">
      <c r="B21" s="484"/>
      <c r="C21" s="484"/>
    </row>
    <row r="22" spans="1:24" ht="16.5" x14ac:dyDescent="0.25">
      <c r="B22" s="158"/>
      <c r="C22" s="485"/>
      <c r="N22" s="1410" t="s">
        <v>251</v>
      </c>
      <c r="O22" s="1410"/>
      <c r="P22" s="1410"/>
      <c r="Q22" s="1410"/>
      <c r="R22" s="1410"/>
      <c r="S22" s="1410"/>
      <c r="T22" s="1410"/>
      <c r="U22" s="1410"/>
      <c r="V22" s="1410"/>
      <c r="W22" s="1410"/>
      <c r="X22" s="1410"/>
    </row>
    <row r="23" spans="1:24" x14ac:dyDescent="0.25">
      <c r="B23" s="484"/>
      <c r="C23" s="484"/>
    </row>
    <row r="24" spans="1:24" x14ac:dyDescent="0.25">
      <c r="B24" s="484"/>
      <c r="C24" s="484"/>
    </row>
  </sheetData>
  <mergeCells count="15">
    <mergeCell ref="A1:C1"/>
    <mergeCell ref="A2:C2"/>
    <mergeCell ref="A3:C3"/>
    <mergeCell ref="N1:X1"/>
    <mergeCell ref="N2:X2"/>
    <mergeCell ref="A5:X5"/>
    <mergeCell ref="N7:V7"/>
    <mergeCell ref="A14:X14"/>
    <mergeCell ref="A15:X15"/>
    <mergeCell ref="N16:X16"/>
    <mergeCell ref="N17:X17"/>
    <mergeCell ref="N22:X22"/>
    <mergeCell ref="A7:A8"/>
    <mergeCell ref="B7:C7"/>
    <mergeCell ref="D7:L7"/>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L47"/>
  <sheetViews>
    <sheetView showZeros="0" topLeftCell="A25" zoomScale="70" zoomScaleNormal="70" workbookViewId="0">
      <selection activeCell="R10" sqref="R10:X37"/>
    </sheetView>
  </sheetViews>
  <sheetFormatPr defaultRowHeight="15" x14ac:dyDescent="0.25"/>
  <cols>
    <col min="1" max="1" width="5.28515625" style="356" customWidth="1"/>
    <col min="2" max="2" width="20.7109375" style="356" customWidth="1"/>
    <col min="3" max="3" width="14.7109375" style="356" customWidth="1"/>
    <col min="4" max="34" width="6.7109375" style="388" customWidth="1"/>
    <col min="35" max="35" width="15.7109375" style="388" customWidth="1"/>
    <col min="36" max="16384" width="9.140625" style="356"/>
  </cols>
  <sheetData>
    <row r="1" spans="1:38" ht="15" customHeight="1" x14ac:dyDescent="0.25">
      <c r="A1" s="1400" t="s">
        <v>559</v>
      </c>
      <c r="B1" s="1400"/>
      <c r="C1" s="1400"/>
      <c r="D1" s="16"/>
      <c r="E1" s="16"/>
      <c r="F1" s="16"/>
      <c r="G1" s="16"/>
      <c r="H1" s="16"/>
      <c r="I1" s="16"/>
      <c r="J1" s="16"/>
      <c r="K1" s="16"/>
      <c r="L1" s="16"/>
      <c r="M1" s="16"/>
      <c r="N1" s="16"/>
      <c r="O1" s="17"/>
      <c r="P1" s="17"/>
      <c r="Q1" s="17"/>
      <c r="R1" s="1401" t="s">
        <v>560</v>
      </c>
      <c r="S1" s="1401"/>
      <c r="T1" s="1401"/>
      <c r="U1" s="1401"/>
      <c r="V1" s="1401"/>
      <c r="W1" s="1401"/>
      <c r="X1" s="1401"/>
      <c r="Y1" s="1401"/>
      <c r="Z1" s="1401"/>
      <c r="AA1" s="1401"/>
      <c r="AB1" s="1401"/>
      <c r="AC1" s="1401"/>
      <c r="AD1" s="1401"/>
      <c r="AE1" s="1401"/>
      <c r="AF1" s="1401"/>
      <c r="AG1" s="1402"/>
      <c r="AH1" s="1402"/>
      <c r="AI1" s="1402"/>
    </row>
    <row r="2" spans="1:38" ht="15" customHeight="1" x14ac:dyDescent="0.25">
      <c r="A2" s="1400" t="s">
        <v>561</v>
      </c>
      <c r="B2" s="1400"/>
      <c r="C2" s="1400"/>
      <c r="D2" s="16"/>
      <c r="E2" s="16"/>
      <c r="F2" s="16"/>
      <c r="G2" s="16"/>
      <c r="H2" s="16"/>
      <c r="I2" s="16"/>
      <c r="J2" s="16"/>
      <c r="K2" s="16"/>
      <c r="L2" s="16"/>
      <c r="M2" s="16"/>
      <c r="N2" s="16"/>
      <c r="O2" s="17"/>
      <c r="P2" s="17"/>
      <c r="Q2" s="17"/>
      <c r="R2" s="1401" t="s">
        <v>562</v>
      </c>
      <c r="S2" s="1401"/>
      <c r="T2" s="1401"/>
      <c r="U2" s="1401"/>
      <c r="V2" s="1401"/>
      <c r="W2" s="1401"/>
      <c r="X2" s="1401"/>
      <c r="Y2" s="1401"/>
      <c r="Z2" s="1401"/>
      <c r="AA2" s="1401"/>
      <c r="AB2" s="1401"/>
      <c r="AC2" s="1401"/>
      <c r="AD2" s="1401"/>
      <c r="AE2" s="1401"/>
      <c r="AF2" s="1401"/>
      <c r="AG2" s="1401"/>
      <c r="AH2" s="1401"/>
      <c r="AI2" s="1401"/>
    </row>
    <row r="3" spans="1:38" ht="15" customHeight="1" x14ac:dyDescent="0.25">
      <c r="A3" s="1401" t="s">
        <v>585</v>
      </c>
      <c r="B3" s="1401"/>
      <c r="C3" s="1401"/>
      <c r="D3" s="16"/>
      <c r="E3" s="16"/>
      <c r="F3" s="16"/>
      <c r="G3" s="16"/>
      <c r="H3" s="16"/>
      <c r="I3" s="16"/>
      <c r="J3" s="16"/>
      <c r="K3" s="16"/>
      <c r="L3" s="16"/>
      <c r="M3" s="16"/>
      <c r="N3" s="16"/>
      <c r="O3" s="17"/>
      <c r="P3" s="17"/>
      <c r="Q3" s="17"/>
      <c r="R3" s="17"/>
      <c r="S3" s="17"/>
      <c r="T3" s="17"/>
      <c r="U3" s="17"/>
      <c r="V3" s="17"/>
      <c r="W3" s="17"/>
      <c r="X3" s="17"/>
      <c r="Y3" s="17"/>
      <c r="Z3" s="17"/>
      <c r="AA3" s="17"/>
      <c r="AB3" s="17"/>
      <c r="AC3" s="17"/>
      <c r="AD3" s="17"/>
      <c r="AE3" s="17"/>
      <c r="AF3" s="17"/>
      <c r="AG3" s="17"/>
      <c r="AH3" s="17"/>
      <c r="AI3" s="17"/>
    </row>
    <row r="4" spans="1:38" ht="15" customHeight="1" x14ac:dyDescent="0.25">
      <c r="A4" s="18"/>
      <c r="B4" s="18"/>
      <c r="C4" s="18"/>
      <c r="D4" s="16"/>
      <c r="E4" s="16"/>
      <c r="F4" s="16"/>
      <c r="G4" s="16"/>
      <c r="H4" s="16"/>
      <c r="I4" s="16"/>
      <c r="J4" s="16"/>
      <c r="K4" s="16"/>
      <c r="L4" s="16"/>
      <c r="M4" s="16"/>
      <c r="N4" s="16"/>
      <c r="O4" s="17"/>
      <c r="P4" s="17"/>
      <c r="Q4" s="17"/>
      <c r="R4" s="17"/>
      <c r="S4" s="17"/>
      <c r="T4" s="17"/>
      <c r="U4" s="17"/>
      <c r="V4" s="17"/>
      <c r="W4" s="17"/>
      <c r="X4" s="17"/>
      <c r="Y4" s="17"/>
      <c r="Z4" s="17"/>
      <c r="AA4" s="17"/>
      <c r="AB4" s="17"/>
      <c r="AC4" s="17"/>
      <c r="AD4" s="17"/>
      <c r="AE4" s="17"/>
      <c r="AF4" s="17"/>
      <c r="AG4" s="17"/>
      <c r="AH4" s="17"/>
      <c r="AI4" s="19" t="s">
        <v>563</v>
      </c>
    </row>
    <row r="5" spans="1:38" ht="29.25" customHeight="1" x14ac:dyDescent="0.25">
      <c r="A5" s="1390" t="str">
        <f>'P.KH-TC'!A5:AB5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c r="AC5" s="1390"/>
      <c r="AD5" s="1390"/>
      <c r="AE5" s="1390"/>
      <c r="AF5" s="1390"/>
      <c r="AG5" s="1390"/>
      <c r="AH5" s="1390"/>
      <c r="AI5" s="1390"/>
    </row>
    <row r="7" spans="1:38" ht="33.75" customHeight="1" x14ac:dyDescent="0.25">
      <c r="A7" s="1396" t="s">
        <v>0</v>
      </c>
      <c r="B7" s="1409" t="s">
        <v>564</v>
      </c>
      <c r="C7" s="1409"/>
      <c r="D7" s="1391" t="s">
        <v>110</v>
      </c>
      <c r="E7" s="1392"/>
      <c r="F7" s="1392"/>
      <c r="G7" s="1392"/>
      <c r="H7" s="1392"/>
      <c r="I7" s="1392"/>
      <c r="J7" s="1392"/>
      <c r="K7" s="1392"/>
      <c r="L7" s="1392"/>
      <c r="M7" s="1392"/>
      <c r="N7" s="1392"/>
      <c r="O7" s="1392"/>
      <c r="P7" s="1393"/>
      <c r="Q7" s="358"/>
      <c r="R7" s="1391" t="s">
        <v>565</v>
      </c>
      <c r="S7" s="1392"/>
      <c r="T7" s="1392"/>
      <c r="U7" s="1392"/>
      <c r="V7" s="1392"/>
      <c r="W7" s="1392"/>
      <c r="X7" s="1392"/>
      <c r="Y7" s="1392"/>
      <c r="Z7" s="1392"/>
      <c r="AA7" s="1431"/>
      <c r="AB7" s="1431"/>
      <c r="AC7" s="1431"/>
      <c r="AD7" s="1392"/>
      <c r="AE7" s="1392"/>
      <c r="AF7" s="1392"/>
      <c r="AG7" s="359"/>
      <c r="AH7" s="359"/>
      <c r="AI7" s="360" t="s">
        <v>4</v>
      </c>
    </row>
    <row r="8" spans="1:38" ht="49.5" customHeight="1" x14ac:dyDescent="0.25">
      <c r="A8" s="1397"/>
      <c r="B8" s="372" t="s">
        <v>461</v>
      </c>
      <c r="C8" s="413" t="s">
        <v>566</v>
      </c>
      <c r="D8" s="132" t="s">
        <v>567</v>
      </c>
      <c r="E8" s="132" t="s">
        <v>568</v>
      </c>
      <c r="F8" s="132" t="s">
        <v>569</v>
      </c>
      <c r="G8" s="132" t="s">
        <v>570</v>
      </c>
      <c r="H8" s="132" t="s">
        <v>571</v>
      </c>
      <c r="I8" s="132" t="s">
        <v>572</v>
      </c>
      <c r="J8" s="132" t="s">
        <v>573</v>
      </c>
      <c r="K8" s="132" t="s">
        <v>703</v>
      </c>
      <c r="L8" s="132" t="s">
        <v>704</v>
      </c>
      <c r="M8" s="132" t="s">
        <v>748</v>
      </c>
      <c r="N8" s="132" t="s">
        <v>749</v>
      </c>
      <c r="O8" s="132" t="s">
        <v>750</v>
      </c>
      <c r="P8" s="134" t="s">
        <v>588</v>
      </c>
      <c r="Q8" s="361" t="s">
        <v>795</v>
      </c>
      <c r="R8" s="132" t="s">
        <v>567</v>
      </c>
      <c r="S8" s="132" t="s">
        <v>568</v>
      </c>
      <c r="T8" s="132" t="s">
        <v>569</v>
      </c>
      <c r="U8" s="132" t="s">
        <v>570</v>
      </c>
      <c r="V8" s="132" t="s">
        <v>571</v>
      </c>
      <c r="W8" s="132" t="s">
        <v>572</v>
      </c>
      <c r="X8" s="132" t="s">
        <v>573</v>
      </c>
      <c r="Y8" s="132" t="s">
        <v>703</v>
      </c>
      <c r="Z8" s="132" t="s">
        <v>704</v>
      </c>
      <c r="AA8" s="132" t="s">
        <v>748</v>
      </c>
      <c r="AB8" s="132" t="s">
        <v>749</v>
      </c>
      <c r="AC8" s="132" t="s">
        <v>750</v>
      </c>
      <c r="AD8" s="132" t="s">
        <v>780</v>
      </c>
      <c r="AE8" s="132" t="s">
        <v>784</v>
      </c>
      <c r="AF8" s="132" t="s">
        <v>796</v>
      </c>
      <c r="AG8" s="134" t="s">
        <v>588</v>
      </c>
      <c r="AH8" s="361" t="s">
        <v>795</v>
      </c>
      <c r="AI8" s="360"/>
    </row>
    <row r="9" spans="1:38" ht="17.25" customHeight="1" x14ac:dyDescent="0.25">
      <c r="A9" s="362" t="s">
        <v>574</v>
      </c>
      <c r="B9" s="352"/>
      <c r="C9" s="273">
        <v>-1</v>
      </c>
      <c r="D9" s="273">
        <v>-2</v>
      </c>
      <c r="E9" s="273">
        <v>-3</v>
      </c>
      <c r="F9" s="273">
        <v>-4</v>
      </c>
      <c r="G9" s="273">
        <v>-5</v>
      </c>
      <c r="H9" s="273">
        <v>-6</v>
      </c>
      <c r="I9" s="273">
        <v>-7</v>
      </c>
      <c r="J9" s="273">
        <v>-8</v>
      </c>
      <c r="K9" s="273">
        <v>-9</v>
      </c>
      <c r="L9" s="273">
        <v>-10</v>
      </c>
      <c r="M9" s="273">
        <v>-11</v>
      </c>
      <c r="N9" s="273">
        <v>-12</v>
      </c>
      <c r="O9" s="273">
        <v>-13</v>
      </c>
      <c r="P9" s="273">
        <v>-14</v>
      </c>
      <c r="Q9" s="274">
        <v>-15</v>
      </c>
      <c r="R9" s="273">
        <v>-16</v>
      </c>
      <c r="S9" s="273">
        <v>-17</v>
      </c>
      <c r="T9" s="273">
        <v>-18</v>
      </c>
      <c r="U9" s="273">
        <v>-19</v>
      </c>
      <c r="V9" s="273">
        <v>-20</v>
      </c>
      <c r="W9" s="273">
        <v>-21</v>
      </c>
      <c r="X9" s="273">
        <v>-22</v>
      </c>
      <c r="Y9" s="273">
        <v>-23</v>
      </c>
      <c r="Z9" s="273">
        <v>-24</v>
      </c>
      <c r="AA9" s="273">
        <v>-25</v>
      </c>
      <c r="AB9" s="273">
        <v>-26</v>
      </c>
      <c r="AC9" s="273">
        <v>-27</v>
      </c>
      <c r="AD9" s="273">
        <v>-28</v>
      </c>
      <c r="AE9" s="273">
        <v>-29</v>
      </c>
      <c r="AF9" s="273">
        <v>-30</v>
      </c>
      <c r="AG9" s="273">
        <v>-31</v>
      </c>
      <c r="AH9" s="273">
        <v>-32</v>
      </c>
      <c r="AI9" s="273"/>
    </row>
    <row r="10" spans="1:38" ht="24.75" customHeight="1" x14ac:dyDescent="0.25">
      <c r="A10" s="414">
        <v>1</v>
      </c>
      <c r="B10" s="415" t="s">
        <v>163</v>
      </c>
      <c r="C10" s="159" t="s">
        <v>106</v>
      </c>
      <c r="D10" s="1197" t="s">
        <v>581</v>
      </c>
      <c r="E10" s="1197" t="s">
        <v>581</v>
      </c>
      <c r="F10" s="1197" t="s">
        <v>581</v>
      </c>
      <c r="G10" s="1198" t="s">
        <v>581</v>
      </c>
      <c r="H10" s="1198" t="s">
        <v>581</v>
      </c>
      <c r="I10" s="1198" t="s">
        <v>581</v>
      </c>
      <c r="J10" s="1198" t="s">
        <v>581</v>
      </c>
      <c r="K10" s="1198" t="s">
        <v>581</v>
      </c>
      <c r="L10" s="1199" t="s">
        <v>581</v>
      </c>
      <c r="M10" s="1197" t="s">
        <v>581</v>
      </c>
      <c r="N10" s="497"/>
      <c r="O10" s="416"/>
      <c r="P10" s="417">
        <f>SUM(COUNTIF(D10:O10,"X"),COUNTIF(D10:O10,"A"))</f>
        <v>10</v>
      </c>
      <c r="Q10" s="418">
        <f>SUM(COUNTIF(D10:O10,"X"),COUNTIF(D10:O10,"B"))</f>
        <v>10</v>
      </c>
      <c r="R10" s="1200" t="s">
        <v>581</v>
      </c>
      <c r="S10" s="1198" t="s">
        <v>581</v>
      </c>
      <c r="T10" s="1201" t="s">
        <v>581</v>
      </c>
      <c r="U10" s="1201" t="s">
        <v>581</v>
      </c>
      <c r="V10" s="1199" t="s">
        <v>581</v>
      </c>
      <c r="W10" s="1201" t="s">
        <v>581</v>
      </c>
      <c r="X10" s="1198" t="s">
        <v>581</v>
      </c>
      <c r="Y10" s="1123"/>
      <c r="Z10" s="1124"/>
      <c r="AA10" s="823"/>
      <c r="AB10" s="698"/>
      <c r="AC10" s="698"/>
      <c r="AD10" s="497"/>
      <c r="AE10" s="506"/>
      <c r="AF10" s="431"/>
      <c r="AG10" s="417">
        <f>SUM(COUNTIF(R10:AF10,"X"),COUNTIF(R10:AF10,"A"))</f>
        <v>7</v>
      </c>
      <c r="AH10" s="418">
        <f>SUM(COUNTIF(R10:AF10,"X"),COUNTIF(R10:AF10,"B"))</f>
        <v>7</v>
      </c>
      <c r="AI10" s="420"/>
      <c r="AK10" s="356">
        <f t="shared" ref="AK10:AK19" si="0">COUNTIF(D10:O10,"x")</f>
        <v>10</v>
      </c>
      <c r="AL10" s="356">
        <f t="shared" ref="AL10:AL19" si="1">COUNTIF(R10:AF10,"x")</f>
        <v>7</v>
      </c>
    </row>
    <row r="11" spans="1:38" ht="24.75" customHeight="1" x14ac:dyDescent="0.25">
      <c r="A11" s="353">
        <f>A12+1</f>
        <v>3</v>
      </c>
      <c r="B11" s="421" t="s">
        <v>164</v>
      </c>
      <c r="C11" s="160" t="s">
        <v>107</v>
      </c>
      <c r="D11" s="1198" t="s">
        <v>581</v>
      </c>
      <c r="E11" s="1198"/>
      <c r="F11" s="1198" t="s">
        <v>581</v>
      </c>
      <c r="G11" s="1198" t="s">
        <v>581</v>
      </c>
      <c r="H11" s="1198" t="s">
        <v>581</v>
      </c>
      <c r="I11" s="1198" t="s">
        <v>581</v>
      </c>
      <c r="J11" s="1198" t="s">
        <v>581</v>
      </c>
      <c r="K11" s="1198" t="s">
        <v>581</v>
      </c>
      <c r="L11" s="1200" t="s">
        <v>581</v>
      </c>
      <c r="M11" s="1198" t="s">
        <v>581</v>
      </c>
      <c r="N11" s="497"/>
      <c r="O11" s="339"/>
      <c r="P11" s="417">
        <f>SUM(COUNTIF(D11:O11,"X"),COUNTIF(D11:O11,"A"))</f>
        <v>9</v>
      </c>
      <c r="Q11" s="418">
        <f>SUM(COUNTIF(D11:O11,"X"),COUNTIF(D11:O11,"B"))</f>
        <v>9</v>
      </c>
      <c r="R11" s="1200" t="s">
        <v>581</v>
      </c>
      <c r="S11" s="1200" t="s">
        <v>581</v>
      </c>
      <c r="T11" s="1200" t="s">
        <v>581</v>
      </c>
      <c r="U11" s="1200" t="s">
        <v>581</v>
      </c>
      <c r="V11" s="1200"/>
      <c r="W11" s="1200"/>
      <c r="X11" s="1200" t="s">
        <v>581</v>
      </c>
      <c r="Y11" s="1123"/>
      <c r="Z11" s="1123"/>
      <c r="AA11" s="824"/>
      <c r="AB11" s="697"/>
      <c r="AC11" s="697"/>
      <c r="AD11" s="506"/>
      <c r="AE11" s="506"/>
      <c r="AF11" s="431"/>
      <c r="AG11" s="417">
        <f>SUM(COUNTIF(R11:AF11,"X"),COUNTIF(R11:AF11,"A"))</f>
        <v>5</v>
      </c>
      <c r="AH11" s="418">
        <f>SUM(COUNTIF(R11:AF11,"X"),COUNTIF(R11:AF11,"B"))</f>
        <v>5</v>
      </c>
      <c r="AI11" s="369"/>
      <c r="AK11" s="356">
        <f>COUNTIF(D11:O11,"x")</f>
        <v>9</v>
      </c>
      <c r="AL11" s="356">
        <f>COUNTIF(R11:AF11,"x")</f>
        <v>5</v>
      </c>
    </row>
    <row r="12" spans="1:38" ht="36.75" customHeight="1" x14ac:dyDescent="0.25">
      <c r="A12" s="353">
        <f>A10+1</f>
        <v>2</v>
      </c>
      <c r="B12" s="421" t="s">
        <v>1090</v>
      </c>
      <c r="C12" s="160" t="s">
        <v>1091</v>
      </c>
      <c r="D12" s="1198" t="s">
        <v>581</v>
      </c>
      <c r="E12" s="1198"/>
      <c r="F12" s="1198" t="s">
        <v>581</v>
      </c>
      <c r="G12" s="1198" t="s">
        <v>581</v>
      </c>
      <c r="H12" s="1198" t="s">
        <v>581</v>
      </c>
      <c r="I12" s="1198" t="s">
        <v>581</v>
      </c>
      <c r="J12" s="1198" t="s">
        <v>581</v>
      </c>
      <c r="K12" s="1198" t="s">
        <v>581</v>
      </c>
      <c r="L12" s="1200" t="s">
        <v>581</v>
      </c>
      <c r="M12" s="1198" t="s">
        <v>581</v>
      </c>
      <c r="N12" s="884"/>
      <c r="O12" s="885"/>
      <c r="P12" s="417">
        <f t="shared" ref="P12" si="2">SUM(COUNTIF(D12:O12,"X"),COUNTIF(D12:O12,"A"))</f>
        <v>9</v>
      </c>
      <c r="Q12" s="418">
        <f t="shared" ref="Q12" si="3">SUM(COUNTIF(D12:O12,"X"),COUNTIF(D12:O12,"B"))</f>
        <v>9</v>
      </c>
      <c r="R12" s="1200"/>
      <c r="S12" s="1200"/>
      <c r="T12" s="1200"/>
      <c r="U12" s="1200" t="s">
        <v>581</v>
      </c>
      <c r="V12" s="1200" t="s">
        <v>581</v>
      </c>
      <c r="W12" s="1200" t="s">
        <v>581</v>
      </c>
      <c r="X12" s="1200" t="s">
        <v>581</v>
      </c>
      <c r="Y12" s="1121"/>
      <c r="Z12" s="1123"/>
      <c r="AA12" s="887"/>
      <c r="AB12" s="886"/>
      <c r="AC12" s="886"/>
      <c r="AD12" s="886"/>
      <c r="AE12" s="886"/>
      <c r="AF12" s="888"/>
      <c r="AG12" s="417">
        <f>SUM(COUNTIF(R12:AF12,"X"),COUNTIF(R12:AF12,"A"))</f>
        <v>4</v>
      </c>
      <c r="AH12" s="418">
        <f>SUM(COUNTIF(R12:AF12,"X"),COUNTIF(R12:AF12,"B"))</f>
        <v>4</v>
      </c>
      <c r="AI12" s="889"/>
    </row>
    <row r="13" spans="1:38" ht="24.75" customHeight="1" x14ac:dyDescent="0.25">
      <c r="A13" s="353">
        <f>A11+1</f>
        <v>4</v>
      </c>
      <c r="B13" s="421" t="s">
        <v>166</v>
      </c>
      <c r="C13" s="160" t="s">
        <v>167</v>
      </c>
      <c r="D13" s="1198" t="s">
        <v>581</v>
      </c>
      <c r="E13" s="1198"/>
      <c r="F13" s="1198" t="s">
        <v>581</v>
      </c>
      <c r="G13" s="1198" t="s">
        <v>581</v>
      </c>
      <c r="H13" s="1198"/>
      <c r="I13" s="1198" t="s">
        <v>581</v>
      </c>
      <c r="J13" s="1198"/>
      <c r="K13" s="1198"/>
      <c r="L13" s="1199"/>
      <c r="M13" s="1198"/>
      <c r="N13" s="497"/>
      <c r="O13" s="339"/>
      <c r="P13" s="417">
        <f t="shared" ref="P13:P32" si="4">SUM(COUNTIF(D13:O13,"X"),COUNTIF(D13:O13,"A"))</f>
        <v>4</v>
      </c>
      <c r="Q13" s="418">
        <f t="shared" ref="Q13:Q32" si="5">SUM(COUNTIF(D13:O13,"X"),COUNTIF(D13:O13,"B"))</f>
        <v>4</v>
      </c>
      <c r="R13" s="1200"/>
      <c r="S13" s="1198"/>
      <c r="T13" s="1200"/>
      <c r="U13" s="1208"/>
      <c r="V13" s="1199"/>
      <c r="W13" s="1201"/>
      <c r="X13" s="1198" t="s">
        <v>581</v>
      </c>
      <c r="Y13" s="1123"/>
      <c r="Z13" s="1123"/>
      <c r="AA13" s="824"/>
      <c r="AB13" s="697"/>
      <c r="AC13" s="697"/>
      <c r="AD13" s="506"/>
      <c r="AE13" s="506"/>
      <c r="AF13" s="431"/>
      <c r="AG13" s="417">
        <f t="shared" ref="AG13:AG32" si="6">SUM(COUNTIF(R13:AF13,"X"),COUNTIF(R13:AF13,"A"))</f>
        <v>1</v>
      </c>
      <c r="AH13" s="418">
        <f t="shared" ref="AH13:AH32" si="7">SUM(COUNTIF(R13:AF13,"X"),COUNTIF(R13:AF13,"B"))</f>
        <v>1</v>
      </c>
      <c r="AI13" s="369"/>
      <c r="AK13" s="356">
        <f t="shared" si="0"/>
        <v>4</v>
      </c>
      <c r="AL13" s="356">
        <f t="shared" si="1"/>
        <v>1</v>
      </c>
    </row>
    <row r="14" spans="1:38" ht="24.75" customHeight="1" x14ac:dyDescent="0.25">
      <c r="A14" s="353">
        <f t="shared" ref="A14:A19" si="8">A13+1</f>
        <v>5</v>
      </c>
      <c r="B14" s="421" t="s">
        <v>168</v>
      </c>
      <c r="C14" s="160" t="s">
        <v>169</v>
      </c>
      <c r="D14" s="1198"/>
      <c r="E14" s="1198" t="s">
        <v>581</v>
      </c>
      <c r="F14" s="1198"/>
      <c r="G14" s="1198"/>
      <c r="H14" s="1198"/>
      <c r="I14" s="1198"/>
      <c r="J14" s="1198"/>
      <c r="K14" s="1198" t="s">
        <v>581</v>
      </c>
      <c r="L14" s="1199"/>
      <c r="M14" s="1198"/>
      <c r="N14" s="497"/>
      <c r="O14" s="339"/>
      <c r="P14" s="417">
        <f t="shared" si="4"/>
        <v>2</v>
      </c>
      <c r="Q14" s="418">
        <f t="shared" si="5"/>
        <v>2</v>
      </c>
      <c r="R14" s="1200"/>
      <c r="S14" s="1198"/>
      <c r="T14" s="1201"/>
      <c r="U14" s="1201"/>
      <c r="V14" s="1199" t="s">
        <v>581</v>
      </c>
      <c r="W14" s="1201" t="s">
        <v>581</v>
      </c>
      <c r="X14" s="1198"/>
      <c r="Y14" s="1123"/>
      <c r="Z14" s="1123"/>
      <c r="AA14" s="824"/>
      <c r="AB14" s="697"/>
      <c r="AC14" s="697"/>
      <c r="AD14" s="506"/>
      <c r="AE14" s="506"/>
      <c r="AF14" s="431"/>
      <c r="AG14" s="417">
        <f t="shared" si="6"/>
        <v>2</v>
      </c>
      <c r="AH14" s="418">
        <f t="shared" si="7"/>
        <v>2</v>
      </c>
      <c r="AI14" s="369"/>
      <c r="AK14" s="356">
        <f t="shared" si="0"/>
        <v>2</v>
      </c>
      <c r="AL14" s="356">
        <f t="shared" si="1"/>
        <v>2</v>
      </c>
    </row>
    <row r="15" spans="1:38" ht="24.75" customHeight="1" x14ac:dyDescent="0.25">
      <c r="A15" s="353">
        <f t="shared" si="8"/>
        <v>6</v>
      </c>
      <c r="B15" s="421" t="s">
        <v>170</v>
      </c>
      <c r="C15" s="160" t="s">
        <v>171</v>
      </c>
      <c r="D15" s="1198" t="s">
        <v>581</v>
      </c>
      <c r="E15" s="1198"/>
      <c r="F15" s="1198" t="s">
        <v>581</v>
      </c>
      <c r="G15" s="1198" t="s">
        <v>581</v>
      </c>
      <c r="H15" s="1198"/>
      <c r="I15" s="1198" t="s">
        <v>581</v>
      </c>
      <c r="J15" s="1198"/>
      <c r="K15" s="1198"/>
      <c r="L15" s="1201"/>
      <c r="M15" s="1198"/>
      <c r="N15" s="497"/>
      <c r="O15" s="339"/>
      <c r="P15" s="417">
        <f t="shared" si="4"/>
        <v>4</v>
      </c>
      <c r="Q15" s="418">
        <f t="shared" si="5"/>
        <v>4</v>
      </c>
      <c r="R15" s="1200"/>
      <c r="S15" s="1201"/>
      <c r="T15" s="1201"/>
      <c r="U15" s="1201"/>
      <c r="V15" s="1201"/>
      <c r="W15" s="1201"/>
      <c r="X15" s="1198" t="s">
        <v>581</v>
      </c>
      <c r="Y15" s="1123"/>
      <c r="Z15" s="1123"/>
      <c r="AA15" s="824"/>
      <c r="AB15" s="697"/>
      <c r="AC15" s="697"/>
      <c r="AD15" s="506"/>
      <c r="AE15" s="506"/>
      <c r="AF15" s="431"/>
      <c r="AG15" s="417">
        <f t="shared" si="6"/>
        <v>1</v>
      </c>
      <c r="AH15" s="418">
        <f t="shared" si="7"/>
        <v>1</v>
      </c>
      <c r="AI15" s="369"/>
      <c r="AK15" s="356">
        <f t="shared" si="0"/>
        <v>4</v>
      </c>
      <c r="AL15" s="356">
        <f t="shared" si="1"/>
        <v>1</v>
      </c>
    </row>
    <row r="16" spans="1:38" ht="24.75" customHeight="1" x14ac:dyDescent="0.25">
      <c r="A16" s="353">
        <f t="shared" si="8"/>
        <v>7</v>
      </c>
      <c r="B16" s="421" t="s">
        <v>172</v>
      </c>
      <c r="C16" s="160" t="s">
        <v>173</v>
      </c>
      <c r="D16" s="1198" t="s">
        <v>581</v>
      </c>
      <c r="E16" s="1198"/>
      <c r="F16" s="1198" t="s">
        <v>581</v>
      </c>
      <c r="G16" s="1198" t="s">
        <v>581</v>
      </c>
      <c r="H16" s="1198"/>
      <c r="I16" s="1198"/>
      <c r="J16" s="1198"/>
      <c r="K16" s="1198"/>
      <c r="L16" s="1201"/>
      <c r="M16" s="1198"/>
      <c r="N16" s="497"/>
      <c r="O16" s="339"/>
      <c r="P16" s="417">
        <f t="shared" si="4"/>
        <v>3</v>
      </c>
      <c r="Q16" s="418">
        <f t="shared" si="5"/>
        <v>3</v>
      </c>
      <c r="R16" s="1200"/>
      <c r="S16" s="1201"/>
      <c r="T16" s="1201"/>
      <c r="U16" s="1201"/>
      <c r="V16" s="1201"/>
      <c r="W16" s="1201"/>
      <c r="X16" s="1198" t="s">
        <v>581</v>
      </c>
      <c r="Y16" s="1123"/>
      <c r="Z16" s="1123"/>
      <c r="AA16" s="824"/>
      <c r="AB16" s="697"/>
      <c r="AC16" s="697"/>
      <c r="AD16" s="506"/>
      <c r="AE16" s="506"/>
      <c r="AF16" s="431"/>
      <c r="AG16" s="417">
        <f t="shared" si="6"/>
        <v>1</v>
      </c>
      <c r="AH16" s="418">
        <f t="shared" si="7"/>
        <v>1</v>
      </c>
      <c r="AI16" s="369"/>
      <c r="AK16" s="356">
        <f t="shared" si="0"/>
        <v>3</v>
      </c>
      <c r="AL16" s="356">
        <f t="shared" si="1"/>
        <v>1</v>
      </c>
    </row>
    <row r="17" spans="1:38" ht="24.75" customHeight="1" x14ac:dyDescent="0.25">
      <c r="A17" s="353">
        <f t="shared" si="8"/>
        <v>8</v>
      </c>
      <c r="B17" s="421" t="s">
        <v>176</v>
      </c>
      <c r="C17" s="160" t="s">
        <v>177</v>
      </c>
      <c r="D17" s="1198" t="s">
        <v>581</v>
      </c>
      <c r="E17" s="1198"/>
      <c r="F17" s="1198" t="s">
        <v>581</v>
      </c>
      <c r="G17" s="1198"/>
      <c r="H17" s="1198"/>
      <c r="I17" s="1198" t="s">
        <v>581</v>
      </c>
      <c r="J17" s="1198"/>
      <c r="K17" s="1198"/>
      <c r="L17" s="1201"/>
      <c r="M17" s="1198"/>
      <c r="N17" s="497"/>
      <c r="O17" s="339"/>
      <c r="P17" s="417">
        <f t="shared" si="4"/>
        <v>3</v>
      </c>
      <c r="Q17" s="418">
        <f t="shared" si="5"/>
        <v>3</v>
      </c>
      <c r="R17" s="1200"/>
      <c r="S17" s="1201"/>
      <c r="T17" s="1201"/>
      <c r="U17" s="1201"/>
      <c r="V17" s="1201"/>
      <c r="W17" s="1201"/>
      <c r="X17" s="1198" t="s">
        <v>581</v>
      </c>
      <c r="Y17" s="1123"/>
      <c r="Z17" s="1123"/>
      <c r="AA17" s="824"/>
      <c r="AB17" s="697"/>
      <c r="AC17" s="697"/>
      <c r="AD17" s="506"/>
      <c r="AE17" s="506"/>
      <c r="AF17" s="431"/>
      <c r="AG17" s="417">
        <f t="shared" si="6"/>
        <v>1</v>
      </c>
      <c r="AH17" s="418">
        <f t="shared" si="7"/>
        <v>1</v>
      </c>
      <c r="AI17" s="369"/>
      <c r="AK17" s="356">
        <f t="shared" si="0"/>
        <v>3</v>
      </c>
      <c r="AL17" s="356">
        <f t="shared" si="1"/>
        <v>1</v>
      </c>
    </row>
    <row r="18" spans="1:38" ht="24.75" customHeight="1" x14ac:dyDescent="0.25">
      <c r="A18" s="353">
        <f t="shared" si="8"/>
        <v>9</v>
      </c>
      <c r="B18" s="421" t="s">
        <v>182</v>
      </c>
      <c r="C18" s="160" t="s">
        <v>183</v>
      </c>
      <c r="D18" s="1198" t="s">
        <v>581</v>
      </c>
      <c r="E18" s="1198"/>
      <c r="F18" s="1198" t="s">
        <v>581</v>
      </c>
      <c r="G18" s="1198" t="s">
        <v>581</v>
      </c>
      <c r="H18" s="1198"/>
      <c r="I18" s="1198"/>
      <c r="J18" s="1198"/>
      <c r="K18" s="1198"/>
      <c r="L18" s="1201"/>
      <c r="M18" s="1198"/>
      <c r="N18" s="497"/>
      <c r="O18" s="339"/>
      <c r="P18" s="417">
        <f t="shared" si="4"/>
        <v>3</v>
      </c>
      <c r="Q18" s="418">
        <f t="shared" si="5"/>
        <v>3</v>
      </c>
      <c r="R18" s="1200"/>
      <c r="S18" s="1201"/>
      <c r="T18" s="1201"/>
      <c r="U18" s="1201"/>
      <c r="V18" s="1201"/>
      <c r="W18" s="1201"/>
      <c r="X18" s="1198" t="s">
        <v>581</v>
      </c>
      <c r="Y18" s="1123"/>
      <c r="Z18" s="1123"/>
      <c r="AA18" s="824"/>
      <c r="AB18" s="697"/>
      <c r="AC18" s="697"/>
      <c r="AD18" s="506"/>
      <c r="AE18" s="506"/>
      <c r="AF18" s="431"/>
      <c r="AG18" s="417">
        <f t="shared" si="6"/>
        <v>1</v>
      </c>
      <c r="AH18" s="418">
        <f t="shared" si="7"/>
        <v>1</v>
      </c>
      <c r="AI18" s="369"/>
      <c r="AK18" s="356">
        <f t="shared" si="0"/>
        <v>3</v>
      </c>
      <c r="AL18" s="356">
        <f t="shared" si="1"/>
        <v>1</v>
      </c>
    </row>
    <row r="19" spans="1:38" ht="24.75" customHeight="1" x14ac:dyDescent="0.25">
      <c r="A19" s="353">
        <f t="shared" si="8"/>
        <v>10</v>
      </c>
      <c r="B19" s="115" t="s">
        <v>185</v>
      </c>
      <c r="C19" s="160" t="s">
        <v>186</v>
      </c>
      <c r="D19" s="1197"/>
      <c r="E19" s="1197"/>
      <c r="F19" s="1197"/>
      <c r="G19" s="1198"/>
      <c r="H19" s="1198"/>
      <c r="I19" s="1198"/>
      <c r="J19" s="1198"/>
      <c r="K19" s="1198"/>
      <c r="L19" s="1201"/>
      <c r="M19" s="1197"/>
      <c r="N19" s="497"/>
      <c r="O19" s="339"/>
      <c r="P19" s="417">
        <f t="shared" ref="P19" si="9">SUM(COUNTIF(D19:O19,"X"),COUNTIF(D19:O19,"A"))</f>
        <v>0</v>
      </c>
      <c r="Q19" s="418">
        <f t="shared" ref="Q19" si="10">SUM(COUNTIF(D19:O19,"X"),COUNTIF(D19:O19,"B"))</f>
        <v>0</v>
      </c>
      <c r="R19" s="1200"/>
      <c r="S19" s="1201"/>
      <c r="T19" s="1201"/>
      <c r="U19" s="1201"/>
      <c r="V19" s="1201"/>
      <c r="W19" s="1201" t="s">
        <v>581</v>
      </c>
      <c r="X19" s="1198"/>
      <c r="Y19" s="1121"/>
      <c r="Z19" s="1123"/>
      <c r="AA19" s="824"/>
      <c r="AB19" s="697"/>
      <c r="AC19" s="697"/>
      <c r="AD19" s="506"/>
      <c r="AE19" s="506"/>
      <c r="AF19" s="431"/>
      <c r="AG19" s="417">
        <f t="shared" si="6"/>
        <v>1</v>
      </c>
      <c r="AH19" s="418">
        <f t="shared" si="7"/>
        <v>1</v>
      </c>
      <c r="AI19" s="369"/>
      <c r="AK19" s="356">
        <f t="shared" si="0"/>
        <v>0</v>
      </c>
      <c r="AL19" s="356">
        <f t="shared" si="1"/>
        <v>1</v>
      </c>
    </row>
    <row r="20" spans="1:38" ht="26.25" customHeight="1" x14ac:dyDescent="0.25">
      <c r="A20" s="362" t="s">
        <v>577</v>
      </c>
      <c r="B20" s="364"/>
      <c r="C20" s="364"/>
      <c r="D20" s="1202"/>
      <c r="E20" s="1202"/>
      <c r="F20" s="1203"/>
      <c r="G20" s="1204"/>
      <c r="H20" s="1204"/>
      <c r="I20" s="1204"/>
      <c r="J20" s="1204"/>
      <c r="K20" s="1204"/>
      <c r="L20" s="1201"/>
      <c r="M20" s="1203"/>
      <c r="N20" s="498"/>
      <c r="O20" s="371"/>
      <c r="P20" s="417">
        <f t="shared" si="4"/>
        <v>0</v>
      </c>
      <c r="Q20" s="418">
        <f t="shared" si="5"/>
        <v>0</v>
      </c>
      <c r="R20" s="1200"/>
      <c r="S20" s="1201"/>
      <c r="T20" s="1201"/>
      <c r="U20" s="1201"/>
      <c r="V20" s="1201"/>
      <c r="W20" s="1201"/>
      <c r="X20" s="1204"/>
      <c r="Y20" s="1121"/>
      <c r="Z20" s="1123"/>
      <c r="AA20" s="824"/>
      <c r="AB20" s="697"/>
      <c r="AC20" s="697"/>
      <c r="AD20" s="506"/>
      <c r="AE20" s="506"/>
      <c r="AF20" s="29"/>
      <c r="AG20" s="417">
        <f t="shared" si="6"/>
        <v>0</v>
      </c>
      <c r="AH20" s="418">
        <f t="shared" si="7"/>
        <v>0</v>
      </c>
      <c r="AI20" s="369"/>
    </row>
    <row r="21" spans="1:38" ht="26.25" customHeight="1" x14ac:dyDescent="0.25">
      <c r="A21" s="353">
        <v>11</v>
      </c>
      <c r="B21" s="161" t="s">
        <v>268</v>
      </c>
      <c r="C21" s="114" t="s">
        <v>189</v>
      </c>
      <c r="D21" s="1198"/>
      <c r="E21" s="1198"/>
      <c r="F21" s="1205" t="s">
        <v>581</v>
      </c>
      <c r="G21" s="1205"/>
      <c r="H21" s="1205"/>
      <c r="I21" s="1205"/>
      <c r="J21" s="1205" t="s">
        <v>581</v>
      </c>
      <c r="K21" s="1205"/>
      <c r="L21" s="1201" t="s">
        <v>581</v>
      </c>
      <c r="M21" s="1205" t="s">
        <v>581</v>
      </c>
      <c r="N21" s="537"/>
      <c r="O21" s="371"/>
      <c r="P21" s="417">
        <f t="shared" si="4"/>
        <v>4</v>
      </c>
      <c r="Q21" s="418">
        <f t="shared" si="5"/>
        <v>4</v>
      </c>
      <c r="R21" s="1200" t="s">
        <v>581</v>
      </c>
      <c r="S21" s="1201" t="s">
        <v>581</v>
      </c>
      <c r="T21" s="1201" t="s">
        <v>581</v>
      </c>
      <c r="U21" s="1201" t="s">
        <v>581</v>
      </c>
      <c r="V21" s="1201"/>
      <c r="W21" s="1201"/>
      <c r="X21" s="1206"/>
      <c r="Y21" s="1123"/>
      <c r="Z21" s="1123"/>
      <c r="AA21" s="824"/>
      <c r="AB21" s="697"/>
      <c r="AC21" s="697"/>
      <c r="AD21" s="506"/>
      <c r="AE21" s="506"/>
      <c r="AF21" s="29"/>
      <c r="AG21" s="417">
        <f t="shared" si="6"/>
        <v>4</v>
      </c>
      <c r="AH21" s="418">
        <f t="shared" si="7"/>
        <v>4</v>
      </c>
      <c r="AI21" s="369"/>
      <c r="AK21" s="356">
        <f t="shared" ref="AK21:AK33" si="11">COUNTIF(D21:O21,"x")</f>
        <v>4</v>
      </c>
      <c r="AL21" s="356">
        <f t="shared" ref="AL21:AL33" si="12">COUNTIF(R21:AF21,"x")</f>
        <v>4</v>
      </c>
    </row>
    <row r="22" spans="1:38" ht="26.25" customHeight="1" x14ac:dyDescent="0.25">
      <c r="A22" s="353">
        <f>A21+1</f>
        <v>12</v>
      </c>
      <c r="B22" s="161" t="s">
        <v>190</v>
      </c>
      <c r="C22" s="114" t="s">
        <v>191</v>
      </c>
      <c r="D22" s="1198"/>
      <c r="E22" s="1198" t="s">
        <v>581</v>
      </c>
      <c r="F22" s="1205" t="s">
        <v>581</v>
      </c>
      <c r="G22" s="1205"/>
      <c r="H22" s="1205"/>
      <c r="I22" s="1205"/>
      <c r="J22" s="1205" t="s">
        <v>581</v>
      </c>
      <c r="K22" s="1205" t="s">
        <v>581</v>
      </c>
      <c r="L22" s="1201"/>
      <c r="M22" s="1205"/>
      <c r="N22" s="537"/>
      <c r="O22" s="371"/>
      <c r="P22" s="417">
        <f t="shared" si="4"/>
        <v>4</v>
      </c>
      <c r="Q22" s="418">
        <f t="shared" si="5"/>
        <v>4</v>
      </c>
      <c r="R22" s="1200"/>
      <c r="S22" s="1201"/>
      <c r="T22" s="1201" t="s">
        <v>581</v>
      </c>
      <c r="U22" s="1201"/>
      <c r="V22" s="1201"/>
      <c r="W22" s="1201"/>
      <c r="X22" s="1206"/>
      <c r="Y22" s="1123"/>
      <c r="Z22" s="1123"/>
      <c r="AA22" s="824"/>
      <c r="AB22" s="697"/>
      <c r="AC22" s="697"/>
      <c r="AD22" s="506"/>
      <c r="AE22" s="506"/>
      <c r="AF22" s="29"/>
      <c r="AG22" s="417">
        <f t="shared" si="6"/>
        <v>1</v>
      </c>
      <c r="AH22" s="418">
        <f t="shared" si="7"/>
        <v>1</v>
      </c>
      <c r="AI22" s="369"/>
      <c r="AK22" s="356">
        <f t="shared" si="11"/>
        <v>4</v>
      </c>
      <c r="AL22" s="356">
        <f t="shared" si="12"/>
        <v>1</v>
      </c>
    </row>
    <row r="23" spans="1:38" ht="26.25" customHeight="1" x14ac:dyDescent="0.25">
      <c r="A23" s="353">
        <f t="shared" ref="A23:A37" si="13">A22+1</f>
        <v>13</v>
      </c>
      <c r="B23" s="161" t="s">
        <v>194</v>
      </c>
      <c r="C23" s="114" t="s">
        <v>195</v>
      </c>
      <c r="D23" s="1198"/>
      <c r="E23" s="1198"/>
      <c r="F23" s="1205" t="s">
        <v>581</v>
      </c>
      <c r="G23" s="1205"/>
      <c r="H23" s="1205"/>
      <c r="I23" s="1205"/>
      <c r="J23" s="1205" t="s">
        <v>581</v>
      </c>
      <c r="K23" s="1206"/>
      <c r="L23" s="1201" t="s">
        <v>581</v>
      </c>
      <c r="M23" s="1205" t="s">
        <v>581</v>
      </c>
      <c r="N23" s="537"/>
      <c r="O23" s="371"/>
      <c r="P23" s="417">
        <f t="shared" si="4"/>
        <v>4</v>
      </c>
      <c r="Q23" s="418">
        <f t="shared" si="5"/>
        <v>4</v>
      </c>
      <c r="R23" s="1200" t="s">
        <v>581</v>
      </c>
      <c r="S23" s="1201" t="s">
        <v>581</v>
      </c>
      <c r="T23" s="1201" t="s">
        <v>581</v>
      </c>
      <c r="U23" s="1201" t="s">
        <v>581</v>
      </c>
      <c r="V23" s="1201"/>
      <c r="W23" s="1201"/>
      <c r="X23" s="1206"/>
      <c r="Y23" s="1123"/>
      <c r="Z23" s="1123"/>
      <c r="AA23" s="824"/>
      <c r="AB23" s="697"/>
      <c r="AC23" s="697"/>
      <c r="AD23" s="506"/>
      <c r="AE23" s="506"/>
      <c r="AF23" s="29"/>
      <c r="AG23" s="417">
        <f t="shared" si="6"/>
        <v>4</v>
      </c>
      <c r="AH23" s="418">
        <f t="shared" si="7"/>
        <v>4</v>
      </c>
      <c r="AI23" s="369"/>
      <c r="AK23" s="356">
        <f t="shared" si="11"/>
        <v>4</v>
      </c>
      <c r="AL23" s="356">
        <f t="shared" si="12"/>
        <v>4</v>
      </c>
    </row>
    <row r="24" spans="1:38" ht="26.25" customHeight="1" x14ac:dyDescent="0.25">
      <c r="A24" s="353">
        <f t="shared" si="13"/>
        <v>14</v>
      </c>
      <c r="B24" s="161" t="s">
        <v>196</v>
      </c>
      <c r="C24" s="114" t="s">
        <v>197</v>
      </c>
      <c r="D24" s="1197"/>
      <c r="E24" s="1197"/>
      <c r="F24" s="1205" t="s">
        <v>581</v>
      </c>
      <c r="G24" s="1205"/>
      <c r="H24" s="1205"/>
      <c r="I24" s="1205"/>
      <c r="J24" s="1205" t="s">
        <v>581</v>
      </c>
      <c r="K24" s="1206"/>
      <c r="L24" s="1201" t="s">
        <v>581</v>
      </c>
      <c r="M24" s="1205" t="s">
        <v>581</v>
      </c>
      <c r="N24" s="537"/>
      <c r="O24" s="371"/>
      <c r="P24" s="417">
        <f t="shared" si="4"/>
        <v>4</v>
      </c>
      <c r="Q24" s="418">
        <f t="shared" si="5"/>
        <v>4</v>
      </c>
      <c r="R24" s="1200" t="s">
        <v>581</v>
      </c>
      <c r="S24" s="1201" t="s">
        <v>581</v>
      </c>
      <c r="T24" s="1201" t="s">
        <v>581</v>
      </c>
      <c r="U24" s="1201" t="s">
        <v>581</v>
      </c>
      <c r="V24" s="1201"/>
      <c r="W24" s="1201"/>
      <c r="X24" s="1206"/>
      <c r="Y24" s="1121"/>
      <c r="Z24" s="1123"/>
      <c r="AA24" s="824"/>
      <c r="AB24" s="697"/>
      <c r="AC24" s="697"/>
      <c r="AD24" s="506"/>
      <c r="AE24" s="506"/>
      <c r="AF24" s="29"/>
      <c r="AG24" s="417">
        <f t="shared" si="6"/>
        <v>4</v>
      </c>
      <c r="AH24" s="418">
        <f t="shared" si="7"/>
        <v>4</v>
      </c>
      <c r="AI24" s="369"/>
      <c r="AK24" s="356">
        <f t="shared" si="11"/>
        <v>4</v>
      </c>
      <c r="AL24" s="356">
        <f t="shared" si="12"/>
        <v>4</v>
      </c>
    </row>
    <row r="25" spans="1:38" ht="26.25" customHeight="1" x14ac:dyDescent="0.25">
      <c r="A25" s="353">
        <f t="shared" si="13"/>
        <v>15</v>
      </c>
      <c r="B25" s="161" t="s">
        <v>198</v>
      </c>
      <c r="C25" s="114" t="s">
        <v>199</v>
      </c>
      <c r="D25" s="1197"/>
      <c r="E25" s="1197"/>
      <c r="F25" s="1205" t="s">
        <v>581</v>
      </c>
      <c r="G25" s="1205"/>
      <c r="H25" s="1205"/>
      <c r="I25" s="1205"/>
      <c r="J25" s="1205" t="s">
        <v>581</v>
      </c>
      <c r="K25" s="1206"/>
      <c r="L25" s="1201" t="s">
        <v>581</v>
      </c>
      <c r="M25" s="1205" t="s">
        <v>581</v>
      </c>
      <c r="N25" s="537"/>
      <c r="O25" s="371"/>
      <c r="P25" s="417">
        <f t="shared" si="4"/>
        <v>4</v>
      </c>
      <c r="Q25" s="418">
        <f t="shared" si="5"/>
        <v>4</v>
      </c>
      <c r="R25" s="1200" t="s">
        <v>581</v>
      </c>
      <c r="S25" s="1201" t="s">
        <v>581</v>
      </c>
      <c r="T25" s="1201" t="s">
        <v>581</v>
      </c>
      <c r="U25" s="1201" t="s">
        <v>581</v>
      </c>
      <c r="V25" s="1201"/>
      <c r="W25" s="1201"/>
      <c r="X25" s="1206"/>
      <c r="Y25" s="1121"/>
      <c r="Z25" s="1123"/>
      <c r="AA25" s="824"/>
      <c r="AB25" s="697"/>
      <c r="AC25" s="697"/>
      <c r="AD25" s="506"/>
      <c r="AE25" s="506"/>
      <c r="AF25" s="29"/>
      <c r="AG25" s="417">
        <f t="shared" si="6"/>
        <v>4</v>
      </c>
      <c r="AH25" s="418">
        <f t="shared" si="7"/>
        <v>4</v>
      </c>
      <c r="AI25" s="369"/>
      <c r="AK25" s="356">
        <f t="shared" si="11"/>
        <v>4</v>
      </c>
      <c r="AL25" s="356">
        <f t="shared" si="12"/>
        <v>4</v>
      </c>
    </row>
    <row r="26" spans="1:38" ht="26.25" customHeight="1" x14ac:dyDescent="0.25">
      <c r="A26" s="353">
        <f t="shared" si="13"/>
        <v>16</v>
      </c>
      <c r="B26" s="161" t="s">
        <v>200</v>
      </c>
      <c r="C26" s="114" t="s">
        <v>201</v>
      </c>
      <c r="D26" s="1197"/>
      <c r="E26" s="1197"/>
      <c r="F26" s="1205" t="s">
        <v>581</v>
      </c>
      <c r="G26" s="1205"/>
      <c r="H26" s="1205"/>
      <c r="I26" s="1205"/>
      <c r="J26" s="1205" t="s">
        <v>581</v>
      </c>
      <c r="K26" s="1206"/>
      <c r="L26" s="1201" t="s">
        <v>581</v>
      </c>
      <c r="M26" s="1205" t="s">
        <v>581</v>
      </c>
      <c r="N26" s="537"/>
      <c r="O26" s="371"/>
      <c r="P26" s="417">
        <f t="shared" si="4"/>
        <v>4</v>
      </c>
      <c r="Q26" s="418">
        <f t="shared" si="5"/>
        <v>4</v>
      </c>
      <c r="R26" s="1200" t="s">
        <v>581</v>
      </c>
      <c r="S26" s="1201" t="s">
        <v>581</v>
      </c>
      <c r="T26" s="1201" t="s">
        <v>581</v>
      </c>
      <c r="U26" s="1201" t="s">
        <v>581</v>
      </c>
      <c r="V26" s="1201"/>
      <c r="W26" s="1201"/>
      <c r="X26" s="1206"/>
      <c r="Y26" s="1121"/>
      <c r="Z26" s="1123"/>
      <c r="AA26" s="824"/>
      <c r="AB26" s="697"/>
      <c r="AC26" s="697"/>
      <c r="AD26" s="506"/>
      <c r="AE26" s="506"/>
      <c r="AF26" s="29"/>
      <c r="AG26" s="417">
        <f t="shared" si="6"/>
        <v>4</v>
      </c>
      <c r="AH26" s="418">
        <f t="shared" si="7"/>
        <v>4</v>
      </c>
      <c r="AI26" s="369"/>
      <c r="AK26" s="356">
        <f t="shared" si="11"/>
        <v>4</v>
      </c>
      <c r="AL26" s="356">
        <f t="shared" si="12"/>
        <v>4</v>
      </c>
    </row>
    <row r="27" spans="1:38" ht="26.25" customHeight="1" x14ac:dyDescent="0.25">
      <c r="A27" s="353">
        <f t="shared" si="13"/>
        <v>17</v>
      </c>
      <c r="B27" s="161" t="s">
        <v>618</v>
      </c>
      <c r="C27" s="114" t="s">
        <v>202</v>
      </c>
      <c r="D27" s="1198" t="s">
        <v>581</v>
      </c>
      <c r="E27" s="1198"/>
      <c r="F27" s="1205" t="s">
        <v>581</v>
      </c>
      <c r="G27" s="1205" t="s">
        <v>581</v>
      </c>
      <c r="H27" s="1205"/>
      <c r="I27" s="1206"/>
      <c r="J27" s="1206" t="s">
        <v>581</v>
      </c>
      <c r="K27" s="1205"/>
      <c r="L27" s="1201"/>
      <c r="M27" s="1205"/>
      <c r="N27" s="537"/>
      <c r="O27" s="371"/>
      <c r="P27" s="417">
        <f t="shared" si="4"/>
        <v>4</v>
      </c>
      <c r="Q27" s="418">
        <f t="shared" si="5"/>
        <v>4</v>
      </c>
      <c r="R27" s="1200"/>
      <c r="S27" s="1201"/>
      <c r="T27" s="1201"/>
      <c r="U27" s="1201"/>
      <c r="V27" s="1201"/>
      <c r="W27" s="1201"/>
      <c r="X27" s="1205"/>
      <c r="Y27" s="1123"/>
      <c r="Z27" s="1123"/>
      <c r="AA27" s="824"/>
      <c r="AB27" s="697"/>
      <c r="AC27" s="697"/>
      <c r="AD27" s="506"/>
      <c r="AE27" s="506"/>
      <c r="AF27" s="29"/>
      <c r="AG27" s="417">
        <f t="shared" si="6"/>
        <v>0</v>
      </c>
      <c r="AH27" s="418">
        <f t="shared" si="7"/>
        <v>0</v>
      </c>
      <c r="AI27" s="369"/>
      <c r="AK27" s="356">
        <f t="shared" si="11"/>
        <v>4</v>
      </c>
      <c r="AL27" s="356">
        <f t="shared" si="12"/>
        <v>0</v>
      </c>
    </row>
    <row r="28" spans="1:38" ht="26.25" customHeight="1" x14ac:dyDescent="0.25">
      <c r="A28" s="353">
        <f t="shared" si="13"/>
        <v>18</v>
      </c>
      <c r="B28" s="161" t="s">
        <v>203</v>
      </c>
      <c r="C28" s="114" t="s">
        <v>204</v>
      </c>
      <c r="D28" s="1198" t="s">
        <v>581</v>
      </c>
      <c r="E28" s="1198"/>
      <c r="F28" s="1205"/>
      <c r="G28" s="1205"/>
      <c r="H28" s="1205"/>
      <c r="I28" s="1206" t="s">
        <v>581</v>
      </c>
      <c r="J28" s="1206"/>
      <c r="K28" s="1205"/>
      <c r="L28" s="1201"/>
      <c r="M28" s="1205"/>
      <c r="N28" s="537"/>
      <c r="O28" s="371"/>
      <c r="P28" s="417">
        <f t="shared" si="4"/>
        <v>2</v>
      </c>
      <c r="Q28" s="418">
        <f t="shared" si="5"/>
        <v>2</v>
      </c>
      <c r="R28" s="1200"/>
      <c r="S28" s="1201"/>
      <c r="T28" s="1201"/>
      <c r="U28" s="1201"/>
      <c r="V28" s="1201"/>
      <c r="W28" s="1201"/>
      <c r="X28" s="1205"/>
      <c r="Y28" s="1123"/>
      <c r="Z28" s="1123"/>
      <c r="AA28" s="824"/>
      <c r="AB28" s="697"/>
      <c r="AC28" s="697"/>
      <c r="AD28" s="506"/>
      <c r="AE28" s="506"/>
      <c r="AF28" s="29"/>
      <c r="AG28" s="417">
        <f t="shared" si="6"/>
        <v>0</v>
      </c>
      <c r="AH28" s="418">
        <f t="shared" si="7"/>
        <v>0</v>
      </c>
      <c r="AI28" s="369"/>
      <c r="AK28" s="356">
        <f t="shared" si="11"/>
        <v>2</v>
      </c>
      <c r="AL28" s="356">
        <f t="shared" si="12"/>
        <v>0</v>
      </c>
    </row>
    <row r="29" spans="1:38" ht="26.25" customHeight="1" x14ac:dyDescent="0.25">
      <c r="A29" s="353">
        <f t="shared" si="13"/>
        <v>19</v>
      </c>
      <c r="B29" s="161" t="s">
        <v>206</v>
      </c>
      <c r="C29" s="114" t="s">
        <v>207</v>
      </c>
      <c r="D29" s="1198" t="s">
        <v>581</v>
      </c>
      <c r="E29" s="1198"/>
      <c r="F29" s="1205" t="s">
        <v>581</v>
      </c>
      <c r="G29" s="1205" t="s">
        <v>581</v>
      </c>
      <c r="H29" s="1205"/>
      <c r="I29" s="1205"/>
      <c r="J29" s="1205"/>
      <c r="K29" s="1205"/>
      <c r="L29" s="1201"/>
      <c r="M29" s="1205"/>
      <c r="N29" s="537"/>
      <c r="O29" s="371"/>
      <c r="P29" s="417">
        <f t="shared" si="4"/>
        <v>3</v>
      </c>
      <c r="Q29" s="418">
        <f t="shared" si="5"/>
        <v>3</v>
      </c>
      <c r="R29" s="1200"/>
      <c r="S29" s="1201"/>
      <c r="T29" s="1201"/>
      <c r="U29" s="1201"/>
      <c r="V29" s="1201"/>
      <c r="W29" s="1201"/>
      <c r="X29" s="1205" t="s">
        <v>581</v>
      </c>
      <c r="Y29" s="1121"/>
      <c r="Z29" s="1123"/>
      <c r="AA29" s="824"/>
      <c r="AB29" s="697"/>
      <c r="AC29" s="697"/>
      <c r="AD29" s="506"/>
      <c r="AE29" s="506"/>
      <c r="AF29" s="29"/>
      <c r="AG29" s="417">
        <f t="shared" si="6"/>
        <v>1</v>
      </c>
      <c r="AH29" s="418">
        <f t="shared" si="7"/>
        <v>1</v>
      </c>
      <c r="AI29" s="369"/>
      <c r="AK29" s="356">
        <f t="shared" si="11"/>
        <v>3</v>
      </c>
      <c r="AL29" s="356">
        <f t="shared" si="12"/>
        <v>1</v>
      </c>
    </row>
    <row r="30" spans="1:38" ht="26.25" customHeight="1" x14ac:dyDescent="0.25">
      <c r="A30" s="353">
        <f t="shared" si="13"/>
        <v>20</v>
      </c>
      <c r="B30" s="161" t="s">
        <v>208</v>
      </c>
      <c r="C30" s="114" t="s">
        <v>209</v>
      </c>
      <c r="D30" s="1197"/>
      <c r="E30" s="1197"/>
      <c r="F30" s="1207"/>
      <c r="G30" s="1205"/>
      <c r="H30" s="1205"/>
      <c r="I30" s="1206"/>
      <c r="J30" s="1206"/>
      <c r="K30" s="1206"/>
      <c r="L30" s="1201"/>
      <c r="M30" s="1206"/>
      <c r="N30" s="537"/>
      <c r="O30" s="371"/>
      <c r="P30" s="417">
        <f t="shared" si="4"/>
        <v>0</v>
      </c>
      <c r="Q30" s="418">
        <f t="shared" si="5"/>
        <v>0</v>
      </c>
      <c r="R30" s="1200"/>
      <c r="S30" s="1201"/>
      <c r="T30" s="1201"/>
      <c r="U30" s="1201"/>
      <c r="V30" s="1201"/>
      <c r="W30" s="1201" t="s">
        <v>581</v>
      </c>
      <c r="X30" s="1206"/>
      <c r="Y30" s="1121"/>
      <c r="Z30" s="1123"/>
      <c r="AA30" s="824"/>
      <c r="AB30" s="697"/>
      <c r="AC30" s="697"/>
      <c r="AD30" s="506"/>
      <c r="AE30" s="506"/>
      <c r="AF30" s="29"/>
      <c r="AG30" s="417">
        <f t="shared" si="6"/>
        <v>1</v>
      </c>
      <c r="AH30" s="418">
        <f t="shared" si="7"/>
        <v>1</v>
      </c>
      <c r="AI30" s="369"/>
      <c r="AK30" s="356">
        <f t="shared" si="11"/>
        <v>0</v>
      </c>
      <c r="AL30" s="356">
        <f t="shared" si="12"/>
        <v>1</v>
      </c>
    </row>
    <row r="31" spans="1:38" ht="26.25" customHeight="1" x14ac:dyDescent="0.25">
      <c r="A31" s="353">
        <f t="shared" si="13"/>
        <v>21</v>
      </c>
      <c r="B31" s="161" t="s">
        <v>620</v>
      </c>
      <c r="C31" s="114" t="s">
        <v>210</v>
      </c>
      <c r="D31" s="1197"/>
      <c r="E31" s="1197"/>
      <c r="F31" s="1205"/>
      <c r="G31" s="1205"/>
      <c r="H31" s="1205"/>
      <c r="I31" s="1206"/>
      <c r="J31" s="1206"/>
      <c r="K31" s="1206"/>
      <c r="L31" s="1201"/>
      <c r="M31" s="1206"/>
      <c r="N31" s="537"/>
      <c r="O31" s="371"/>
      <c r="P31" s="417">
        <f t="shared" si="4"/>
        <v>0</v>
      </c>
      <c r="Q31" s="418">
        <f t="shared" si="5"/>
        <v>0</v>
      </c>
      <c r="R31" s="1200"/>
      <c r="S31" s="1201"/>
      <c r="T31" s="1201"/>
      <c r="U31" s="1201"/>
      <c r="V31" s="1201" t="s">
        <v>581</v>
      </c>
      <c r="W31" s="1201" t="s">
        <v>581</v>
      </c>
      <c r="X31" s="1206" t="s">
        <v>581</v>
      </c>
      <c r="Y31" s="1121"/>
      <c r="Z31" s="1123"/>
      <c r="AA31" s="824"/>
      <c r="AB31" s="697"/>
      <c r="AC31" s="697"/>
      <c r="AD31" s="506"/>
      <c r="AE31" s="506"/>
      <c r="AF31" s="29"/>
      <c r="AG31" s="417">
        <f t="shared" si="6"/>
        <v>3</v>
      </c>
      <c r="AH31" s="418">
        <f t="shared" si="7"/>
        <v>3</v>
      </c>
      <c r="AI31" s="369"/>
    </row>
    <row r="32" spans="1:38" ht="24.75" customHeight="1" x14ac:dyDescent="0.25">
      <c r="A32" s="353">
        <f t="shared" si="13"/>
        <v>22</v>
      </c>
      <c r="B32" s="422" t="s">
        <v>184</v>
      </c>
      <c r="C32" s="160" t="s">
        <v>586</v>
      </c>
      <c r="D32" s="1197"/>
      <c r="E32" s="1197"/>
      <c r="F32" s="1207"/>
      <c r="G32" s="1205"/>
      <c r="H32" s="1205"/>
      <c r="I32" s="1206"/>
      <c r="J32" s="1206"/>
      <c r="K32" s="1206"/>
      <c r="L32" s="1201"/>
      <c r="M32" s="1206"/>
      <c r="N32" s="537"/>
      <c r="O32" s="339"/>
      <c r="P32" s="417">
        <f t="shared" si="4"/>
        <v>0</v>
      </c>
      <c r="Q32" s="418">
        <f t="shared" si="5"/>
        <v>0</v>
      </c>
      <c r="R32" s="1200"/>
      <c r="S32" s="1201"/>
      <c r="T32" s="1201"/>
      <c r="U32" s="1201"/>
      <c r="V32" s="1201"/>
      <c r="W32" s="1201"/>
      <c r="X32" s="1206"/>
      <c r="Y32" s="1121"/>
      <c r="Z32" s="1123"/>
      <c r="AA32" s="824"/>
      <c r="AB32" s="697"/>
      <c r="AC32" s="697"/>
      <c r="AD32" s="506"/>
      <c r="AE32" s="506"/>
      <c r="AF32" s="431"/>
      <c r="AG32" s="417">
        <f t="shared" si="6"/>
        <v>0</v>
      </c>
      <c r="AH32" s="418">
        <f t="shared" si="7"/>
        <v>0</v>
      </c>
      <c r="AI32" s="369"/>
      <c r="AK32" s="356">
        <f>COUNTIF(D32:O32,"x")</f>
        <v>0</v>
      </c>
      <c r="AL32" s="356">
        <f>COUNTIF(R32:AF32,"x")</f>
        <v>0</v>
      </c>
    </row>
    <row r="33" spans="1:38" ht="26.25" customHeight="1" x14ac:dyDescent="0.25">
      <c r="A33" s="353">
        <f t="shared" si="13"/>
        <v>23</v>
      </c>
      <c r="B33" s="79" t="s">
        <v>745</v>
      </c>
      <c r="C33" s="80" t="s">
        <v>720</v>
      </c>
      <c r="D33" s="1197"/>
      <c r="E33" s="1197"/>
      <c r="F33" s="1205"/>
      <c r="G33" s="1205"/>
      <c r="H33" s="1205"/>
      <c r="I33" s="1206" t="s">
        <v>581</v>
      </c>
      <c r="J33" s="1206"/>
      <c r="K33" s="1206"/>
      <c r="L33" s="1201"/>
      <c r="M33" s="1206"/>
      <c r="N33" s="537"/>
      <c r="O33" s="371"/>
      <c r="P33" s="417">
        <f>SUM(COUNTIF(D33:O33,"X"),COUNTIF(D33:O33,"A"))</f>
        <v>1</v>
      </c>
      <c r="Q33" s="418">
        <f>SUM(COUNTIF(D33:O33,"X"),COUNTIF(D33:O33,"B"))</f>
        <v>1</v>
      </c>
      <c r="R33" s="1200"/>
      <c r="S33" s="1201"/>
      <c r="T33" s="1201"/>
      <c r="U33" s="1201"/>
      <c r="V33" s="1201"/>
      <c r="W33" s="1201"/>
      <c r="X33" s="1206"/>
      <c r="Y33" s="1121"/>
      <c r="Z33" s="1123"/>
      <c r="AA33" s="824"/>
      <c r="AB33" s="697"/>
      <c r="AC33" s="697"/>
      <c r="AD33" s="506"/>
      <c r="AE33" s="506"/>
      <c r="AF33" s="29"/>
      <c r="AG33" s="417">
        <f>SUM(COUNTIF(R33:AF33,"X"),COUNTIF(R33:AF33,"A"))</f>
        <v>0</v>
      </c>
      <c r="AH33" s="418">
        <f>SUM(COUNTIF(R33:AF33,"X"),COUNTIF(R33:AF33,"B"))</f>
        <v>0</v>
      </c>
      <c r="AI33" s="369"/>
      <c r="AK33" s="356">
        <f t="shared" si="11"/>
        <v>1</v>
      </c>
      <c r="AL33" s="356">
        <f t="shared" si="12"/>
        <v>0</v>
      </c>
    </row>
    <row r="34" spans="1:38" ht="26.25" customHeight="1" x14ac:dyDescent="0.25">
      <c r="A34" s="353">
        <f t="shared" si="13"/>
        <v>24</v>
      </c>
      <c r="B34" s="79" t="s">
        <v>751</v>
      </c>
      <c r="C34" s="80" t="s">
        <v>752</v>
      </c>
      <c r="D34" s="1197"/>
      <c r="E34" s="1197"/>
      <c r="F34" s="1207"/>
      <c r="G34" s="1205"/>
      <c r="H34" s="1205"/>
      <c r="I34" s="1206"/>
      <c r="J34" s="1206"/>
      <c r="K34" s="1206"/>
      <c r="L34" s="1201"/>
      <c r="M34" s="1206"/>
      <c r="N34" s="537"/>
      <c r="O34" s="371"/>
      <c r="P34" s="417">
        <f>SUM(COUNTIF(D34:O34,"X"),COUNTIF(D34:O34,"A"))</f>
        <v>0</v>
      </c>
      <c r="Q34" s="418">
        <f>SUM(COUNTIF(D34:O34,"X"),COUNTIF(D34:O34,"B"))</f>
        <v>0</v>
      </c>
      <c r="R34" s="1200"/>
      <c r="S34" s="1201"/>
      <c r="T34" s="1201"/>
      <c r="U34" s="1201"/>
      <c r="V34" s="1201" t="s">
        <v>581</v>
      </c>
      <c r="W34" s="1201" t="s">
        <v>581</v>
      </c>
      <c r="X34" s="1206"/>
      <c r="Y34" s="1121"/>
      <c r="Z34" s="1123"/>
      <c r="AA34" s="824"/>
      <c r="AB34" s="697"/>
      <c r="AC34" s="697"/>
      <c r="AD34" s="506"/>
      <c r="AE34" s="506"/>
      <c r="AF34" s="29"/>
      <c r="AG34" s="417">
        <f>SUM(COUNTIF(R34:AF34,"X"),COUNTIF(R34:AF34,"A"))</f>
        <v>2</v>
      </c>
      <c r="AH34" s="418">
        <f>SUM(COUNTIF(R34:AF34,"X"),COUNTIF(R34:AF34,"B"))</f>
        <v>2</v>
      </c>
      <c r="AI34" s="369"/>
    </row>
    <row r="35" spans="1:38" ht="36.75" customHeight="1" x14ac:dyDescent="0.25">
      <c r="A35" s="353">
        <f t="shared" si="13"/>
        <v>25</v>
      </c>
      <c r="B35" s="79" t="s">
        <v>808</v>
      </c>
      <c r="C35" s="80" t="s">
        <v>809</v>
      </c>
      <c r="D35" s="1197"/>
      <c r="E35" s="1197"/>
      <c r="F35" s="1207"/>
      <c r="G35" s="1205"/>
      <c r="H35" s="1205"/>
      <c r="I35" s="1206"/>
      <c r="J35" s="1206"/>
      <c r="K35" s="1206"/>
      <c r="L35" s="1201"/>
      <c r="M35" s="1206"/>
      <c r="N35" s="537"/>
      <c r="O35" s="371"/>
      <c r="P35" s="417">
        <f t="shared" ref="P35" si="14">SUM(COUNTIF(D35:O35,"X"),COUNTIF(D35:O35,"A"))</f>
        <v>0</v>
      </c>
      <c r="Q35" s="418">
        <f t="shared" ref="Q35" si="15">SUM(COUNTIF(D35:O35,"X"),COUNTIF(D35:O35,"B"))</f>
        <v>0</v>
      </c>
      <c r="R35" s="1200"/>
      <c r="S35" s="1201"/>
      <c r="T35" s="1201"/>
      <c r="U35" s="1201"/>
      <c r="V35" s="1201"/>
      <c r="W35" s="1201" t="s">
        <v>581</v>
      </c>
      <c r="X35" s="1206"/>
      <c r="Y35" s="1121"/>
      <c r="Z35" s="1123"/>
      <c r="AA35" s="824"/>
      <c r="AB35" s="697"/>
      <c r="AC35" s="697"/>
      <c r="AD35" s="506"/>
      <c r="AE35" s="506"/>
      <c r="AF35" s="29"/>
      <c r="AG35" s="417">
        <f t="shared" ref="AG35" si="16">SUM(COUNTIF(R35:AF35,"X"),COUNTIF(R35:AF35,"A"))</f>
        <v>1</v>
      </c>
      <c r="AH35" s="418">
        <f t="shared" ref="AH35" si="17">SUM(COUNTIF(R35:AF35,"X"),COUNTIF(R35:AF35,"B"))</f>
        <v>1</v>
      </c>
      <c r="AI35" s="369"/>
      <c r="AK35" s="356">
        <f>COUNTIF(D35:O35,"x")</f>
        <v>0</v>
      </c>
      <c r="AL35" s="356">
        <f>COUNTIF(R35:AF35,"x")</f>
        <v>1</v>
      </c>
    </row>
    <row r="36" spans="1:38" ht="26.25" customHeight="1" x14ac:dyDescent="0.25">
      <c r="A36" s="353">
        <f t="shared" si="13"/>
        <v>26</v>
      </c>
      <c r="B36" s="761" t="s">
        <v>1066</v>
      </c>
      <c r="C36" s="80" t="s">
        <v>1069</v>
      </c>
      <c r="D36" s="1198" t="s">
        <v>581</v>
      </c>
      <c r="E36" s="1198"/>
      <c r="F36" s="1207" t="s">
        <v>581</v>
      </c>
      <c r="G36" s="1205" t="s">
        <v>581</v>
      </c>
      <c r="H36" s="1205"/>
      <c r="I36" s="1206" t="s">
        <v>581</v>
      </c>
      <c r="J36" s="1206"/>
      <c r="K36" s="1206"/>
      <c r="L36" s="1201"/>
      <c r="M36" s="1206"/>
      <c r="N36" s="756"/>
      <c r="O36" s="757"/>
      <c r="P36" s="417">
        <f>SUM(COUNTIF(D36:O36,"X"),COUNTIF(D36:O36,"A"))</f>
        <v>4</v>
      </c>
      <c r="Q36" s="418">
        <f>SUM(COUNTIF(D36:O36,"X"),COUNTIF(D36:O36,"B"))</f>
        <v>4</v>
      </c>
      <c r="R36" s="1200"/>
      <c r="S36" s="1201"/>
      <c r="T36" s="1201"/>
      <c r="U36" s="1201"/>
      <c r="V36" s="1201"/>
      <c r="W36" s="1201"/>
      <c r="X36" s="1206"/>
      <c r="Y36" s="1121"/>
      <c r="Z36" s="1123"/>
      <c r="AA36" s="824"/>
      <c r="AB36" s="758"/>
      <c r="AC36" s="758"/>
      <c r="AD36" s="758"/>
      <c r="AE36" s="758"/>
      <c r="AF36" s="759"/>
      <c r="AG36" s="417">
        <f>SUM(COUNTIF(R36:AF36,"X"),COUNTIF(R36:AF36,"A"))</f>
        <v>0</v>
      </c>
      <c r="AH36" s="418">
        <f>SUM(COUNTIF(R36:AF36,"X"),COUNTIF(R36:AF36,"B"))</f>
        <v>0</v>
      </c>
      <c r="AI36" s="760"/>
    </row>
    <row r="37" spans="1:38" ht="24" customHeight="1" x14ac:dyDescent="0.25">
      <c r="A37" s="353">
        <f t="shared" si="13"/>
        <v>27</v>
      </c>
      <c r="B37" s="8" t="s">
        <v>389</v>
      </c>
      <c r="C37" s="63" t="s">
        <v>691</v>
      </c>
      <c r="D37" s="1197" t="s">
        <v>581</v>
      </c>
      <c r="E37" s="1197"/>
      <c r="F37" s="1207" t="s">
        <v>581</v>
      </c>
      <c r="G37" s="1205" t="s">
        <v>581</v>
      </c>
      <c r="H37" s="1205"/>
      <c r="I37" s="1206" t="s">
        <v>581</v>
      </c>
      <c r="J37" s="1206"/>
      <c r="K37" s="1206"/>
      <c r="L37" s="1201"/>
      <c r="M37" s="1206"/>
      <c r="N37" s="509"/>
      <c r="O37" s="509"/>
      <c r="P37" s="417">
        <f>SUM(COUNTIF(D37:O37,"X"),COUNTIF(D37:O37,"A"))</f>
        <v>4</v>
      </c>
      <c r="Q37" s="418">
        <f>SUM(COUNTIF(D37:O37,"X"),COUNTIF(D37:O37,"B"))</f>
        <v>4</v>
      </c>
      <c r="R37" s="1200"/>
      <c r="S37" s="1201"/>
      <c r="T37" s="1201"/>
      <c r="U37" s="1201"/>
      <c r="V37" s="1201"/>
      <c r="W37" s="1201"/>
      <c r="X37" s="1206" t="s">
        <v>581</v>
      </c>
      <c r="Y37" s="1121"/>
      <c r="Z37" s="1123"/>
      <c r="AA37" s="510"/>
      <c r="AB37" s="509"/>
      <c r="AC37" s="510"/>
      <c r="AD37" s="758">
        <f t="shared" ref="AD37" si="18">SUM(COUNTIF(R37:AC37,"x"),COUNTIF(R37:AC37,"A"))</f>
        <v>1</v>
      </c>
      <c r="AE37" s="758">
        <f t="shared" ref="AE37" si="19">SUM(COUNTIF(R37:AC37,"x"),COUNTIF(R37:AC37,"b"))</f>
        <v>1</v>
      </c>
      <c r="AF37" s="369"/>
      <c r="AG37" s="417">
        <f>SUM(COUNTIF(R37:AF37,"X"),COUNTIF(R37:AF37,"A"))</f>
        <v>1</v>
      </c>
      <c r="AH37" s="418">
        <f>SUM(COUNTIF(R37:AF37,"X"),COUNTIF(R37:AF37,"B"))</f>
        <v>1</v>
      </c>
      <c r="AI37" s="356"/>
    </row>
    <row r="38" spans="1:38" ht="20.25" customHeight="1" x14ac:dyDescent="0.25">
      <c r="A38" s="374"/>
      <c r="B38" s="374"/>
      <c r="C38" s="374"/>
      <c r="D38" s="164">
        <f t="shared" ref="D38:O38" si="20">COUNTIF(D9:D37,"x")</f>
        <v>13</v>
      </c>
      <c r="E38" s="164">
        <f t="shared" si="20"/>
        <v>3</v>
      </c>
      <c r="F38" s="164">
        <f t="shared" si="20"/>
        <v>18</v>
      </c>
      <c r="G38" s="164">
        <f t="shared" si="20"/>
        <v>11</v>
      </c>
      <c r="H38" s="164">
        <f t="shared" si="20"/>
        <v>3</v>
      </c>
      <c r="I38" s="164">
        <f t="shared" si="20"/>
        <v>10</v>
      </c>
      <c r="J38" s="164">
        <f t="shared" si="20"/>
        <v>10</v>
      </c>
      <c r="K38" s="164">
        <f t="shared" si="20"/>
        <v>5</v>
      </c>
      <c r="L38" s="164">
        <f t="shared" si="20"/>
        <v>8</v>
      </c>
      <c r="M38" s="164">
        <f t="shared" si="20"/>
        <v>8</v>
      </c>
      <c r="N38" s="164">
        <f t="shared" si="20"/>
        <v>0</v>
      </c>
      <c r="O38" s="164">
        <f t="shared" si="20"/>
        <v>0</v>
      </c>
      <c r="P38" s="374"/>
      <c r="Q38" s="374"/>
      <c r="R38" s="164">
        <f t="shared" ref="R38:AE38" si="21">COUNTIF(R9:R37,"x")</f>
        <v>7</v>
      </c>
      <c r="S38" s="164">
        <f t="shared" si="21"/>
        <v>7</v>
      </c>
      <c r="T38" s="164">
        <f t="shared" si="21"/>
        <v>8</v>
      </c>
      <c r="U38" s="164">
        <f t="shared" si="21"/>
        <v>8</v>
      </c>
      <c r="V38" s="164">
        <f t="shared" si="21"/>
        <v>5</v>
      </c>
      <c r="W38" s="164">
        <f t="shared" si="21"/>
        <v>8</v>
      </c>
      <c r="X38" s="164">
        <f t="shared" si="21"/>
        <v>11</v>
      </c>
      <c r="Y38" s="164">
        <f t="shared" si="21"/>
        <v>0</v>
      </c>
      <c r="Z38" s="164">
        <f t="shared" si="21"/>
        <v>0</v>
      </c>
      <c r="AA38" s="164">
        <f t="shared" si="21"/>
        <v>0</v>
      </c>
      <c r="AB38" s="164">
        <f t="shared" si="21"/>
        <v>0</v>
      </c>
      <c r="AC38" s="164">
        <f t="shared" si="21"/>
        <v>0</v>
      </c>
      <c r="AD38" s="164">
        <f t="shared" si="21"/>
        <v>0</v>
      </c>
      <c r="AE38" s="164">
        <f t="shared" si="21"/>
        <v>0</v>
      </c>
      <c r="AF38" s="164">
        <f t="shared" ref="AF38" si="22">COUNTIF(AF9:AF37,"x")</f>
        <v>0</v>
      </c>
      <c r="AG38" s="374"/>
      <c r="AH38" s="374"/>
      <c r="AI38" s="374"/>
    </row>
    <row r="39" spans="1:38" ht="16.5" customHeight="1" x14ac:dyDescent="0.25">
      <c r="A39" s="1395" t="s">
        <v>578</v>
      </c>
      <c r="B39" s="1395"/>
      <c r="C39" s="1395"/>
      <c r="D39" s="1395"/>
      <c r="E39" s="1395"/>
      <c r="F39" s="1395"/>
      <c r="G39" s="1395"/>
      <c r="H39" s="1395"/>
      <c r="I39" s="1395"/>
      <c r="J39" s="1395"/>
      <c r="K39" s="1395"/>
      <c r="L39" s="1395"/>
      <c r="M39" s="1395"/>
      <c r="N39" s="1395"/>
      <c r="O39" s="1395"/>
      <c r="P39" s="1395"/>
      <c r="Q39" s="1395"/>
      <c r="R39" s="1395"/>
      <c r="S39" s="1395"/>
      <c r="T39" s="1395"/>
      <c r="U39" s="1395"/>
      <c r="V39" s="1395"/>
      <c r="W39" s="1395"/>
      <c r="X39" s="1395"/>
      <c r="Y39" s="1395"/>
      <c r="Z39" s="1395"/>
      <c r="AA39" s="1395"/>
      <c r="AB39" s="1395"/>
      <c r="AC39" s="1395"/>
      <c r="AD39" s="1395"/>
      <c r="AE39" s="1395"/>
      <c r="AF39" s="1395"/>
      <c r="AG39" s="1395"/>
      <c r="AH39" s="1395"/>
      <c r="AI39" s="1395"/>
    </row>
    <row r="40" spans="1:38" ht="17.25" x14ac:dyDescent="0.3">
      <c r="A40" s="375"/>
      <c r="B40" s="375"/>
      <c r="C40" s="375"/>
      <c r="D40" s="376"/>
      <c r="E40" s="376"/>
      <c r="F40" s="376"/>
      <c r="G40" s="376"/>
      <c r="H40" s="376"/>
      <c r="I40" s="376"/>
      <c r="J40" s="376"/>
      <c r="K40" s="376"/>
      <c r="L40" s="376"/>
      <c r="M40" s="376"/>
      <c r="N40" s="376"/>
      <c r="O40" s="377"/>
      <c r="P40" s="377"/>
      <c r="Q40" s="377"/>
      <c r="R40" s="224"/>
      <c r="S40" s="224"/>
      <c r="T40" s="224" t="str">
        <f>TCHC!T41</f>
        <v>TP. HCM, ngày 2 tháng 11 năm 2023</v>
      </c>
      <c r="U40" s="224"/>
      <c r="V40" s="224"/>
      <c r="W40" s="224"/>
      <c r="X40" s="224"/>
      <c r="Y40" s="224"/>
      <c r="Z40" s="224"/>
      <c r="AA40" s="224"/>
      <c r="AB40" s="224"/>
      <c r="AC40" s="224"/>
      <c r="AD40" s="224"/>
      <c r="AE40" s="224"/>
      <c r="AF40" s="224"/>
      <c r="AG40" s="224"/>
      <c r="AH40" s="224"/>
      <c r="AI40" s="224"/>
    </row>
    <row r="41" spans="1:38" ht="17.25" x14ac:dyDescent="0.3">
      <c r="A41" s="375"/>
      <c r="B41" s="375"/>
      <c r="C41" s="375"/>
      <c r="D41" s="376"/>
      <c r="E41" s="376"/>
      <c r="F41" s="376"/>
      <c r="G41" s="376"/>
      <c r="H41" s="376"/>
      <c r="I41" s="376"/>
      <c r="J41" s="376"/>
      <c r="K41" s="376"/>
      <c r="L41" s="376"/>
      <c r="M41" s="376"/>
      <c r="N41" s="376"/>
      <c r="R41" s="1403" t="s">
        <v>579</v>
      </c>
      <c r="S41" s="1403"/>
      <c r="T41" s="1403"/>
      <c r="U41" s="1403"/>
      <c r="V41" s="1403"/>
      <c r="W41" s="1403"/>
      <c r="X41" s="1403"/>
      <c r="Y41" s="1403"/>
      <c r="Z41" s="1403"/>
      <c r="AA41" s="1403"/>
      <c r="AB41" s="1403"/>
      <c r="AC41" s="1403"/>
      <c r="AD41" s="1403"/>
      <c r="AE41" s="1403"/>
      <c r="AF41" s="1403"/>
      <c r="AG41" s="1403"/>
      <c r="AH41" s="1403"/>
      <c r="AI41" s="1403"/>
    </row>
    <row r="42" spans="1:38" ht="18.75" x14ac:dyDescent="0.3">
      <c r="B42" s="381" t="s">
        <v>805</v>
      </c>
      <c r="C42" s="382" t="s">
        <v>802</v>
      </c>
    </row>
    <row r="43" spans="1:38" ht="18.75" x14ac:dyDescent="0.3">
      <c r="B43" s="382" t="s">
        <v>803</v>
      </c>
      <c r="C43" s="382" t="s">
        <v>804</v>
      </c>
    </row>
    <row r="47" spans="1:38" ht="16.5" x14ac:dyDescent="0.25">
      <c r="R47" s="1403" t="s">
        <v>163</v>
      </c>
      <c r="S47" s="1403"/>
      <c r="T47" s="1403"/>
      <c r="U47" s="1403"/>
      <c r="V47" s="1403"/>
      <c r="W47" s="1403"/>
      <c r="X47" s="1403"/>
      <c r="Y47" s="1403"/>
      <c r="Z47" s="1403"/>
      <c r="AA47" s="1403"/>
      <c r="AB47" s="1403"/>
      <c r="AC47" s="1403"/>
      <c r="AD47" s="1403"/>
      <c r="AE47" s="1403"/>
      <c r="AF47" s="1403"/>
      <c r="AG47" s="1403"/>
      <c r="AH47" s="1403"/>
      <c r="AI47" s="1403"/>
    </row>
  </sheetData>
  <autoFilter ref="A8:AL43"/>
  <mergeCells count="13">
    <mergeCell ref="R7:AF7"/>
    <mergeCell ref="A39:AI39"/>
    <mergeCell ref="R41:AI41"/>
    <mergeCell ref="R47:AI47"/>
    <mergeCell ref="D7:P7"/>
    <mergeCell ref="A7:A8"/>
    <mergeCell ref="B7:C7"/>
    <mergeCell ref="A5:AI5"/>
    <mergeCell ref="A1:C1"/>
    <mergeCell ref="A2:C2"/>
    <mergeCell ref="A3:C3"/>
    <mergeCell ref="R1:AI1"/>
    <mergeCell ref="R2:AI2"/>
  </mergeCells>
  <pageMargins left="0.7" right="0.7" top="0.75" bottom="0.75" header="0.3" footer="0.3"/>
  <pageSetup orientation="portrait" horizontalDpi="30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H40"/>
  <sheetViews>
    <sheetView showZeros="0" topLeftCell="A16" zoomScale="80" zoomScaleNormal="80" workbookViewId="0">
      <selection activeCell="N23" sqref="N23"/>
    </sheetView>
  </sheetViews>
  <sheetFormatPr defaultRowHeight="15" x14ac:dyDescent="0.25"/>
  <cols>
    <col min="1" max="1" width="5.28515625" customWidth="1"/>
    <col min="2" max="2" width="27.28515625" customWidth="1"/>
    <col min="3" max="3" width="14.7109375" style="112" customWidth="1"/>
    <col min="4" max="5" width="6.7109375" style="20" customWidth="1"/>
    <col min="6" max="9" width="6.7109375" style="203" customWidth="1"/>
    <col min="10" max="19" width="6.7109375" style="20" customWidth="1"/>
    <col min="20" max="21" width="6.7109375" style="125" customWidth="1"/>
    <col min="22" max="28" width="6.7109375" style="20" customWidth="1"/>
    <col min="29" max="29" width="6.7109375" style="203" customWidth="1"/>
    <col min="30" max="31" width="6.7109375" style="20" customWidth="1"/>
    <col min="32" max="33" width="6.7109375" style="125" customWidth="1"/>
    <col min="34" max="34" width="15.7109375" style="20" customWidth="1"/>
  </cols>
  <sheetData>
    <row r="1" spans="1:34" ht="15" customHeight="1" x14ac:dyDescent="0.25">
      <c r="A1" s="1400" t="s">
        <v>559</v>
      </c>
      <c r="B1" s="1400"/>
      <c r="C1" s="1400"/>
      <c r="D1" s="16"/>
      <c r="E1" s="17"/>
      <c r="F1" s="17"/>
      <c r="G1" s="17"/>
      <c r="H1" s="17"/>
      <c r="I1" s="17"/>
      <c r="J1" s="17"/>
      <c r="K1" s="17"/>
      <c r="L1" s="17"/>
      <c r="M1" s="17"/>
      <c r="N1" s="17"/>
      <c r="O1" s="17"/>
      <c r="P1" s="17"/>
      <c r="Q1" s="17"/>
      <c r="R1" s="17"/>
      <c r="S1" s="17"/>
      <c r="T1" s="17"/>
      <c r="U1" s="17"/>
      <c r="V1" s="1401" t="s">
        <v>560</v>
      </c>
      <c r="W1" s="1402"/>
      <c r="X1" s="1402"/>
      <c r="Y1" s="1402"/>
      <c r="Z1" s="1402"/>
      <c r="AA1" s="1402"/>
      <c r="AB1" s="1402"/>
      <c r="AC1" s="1402"/>
      <c r="AD1" s="1402"/>
      <c r="AE1" s="1402"/>
      <c r="AF1" s="1402"/>
      <c r="AG1" s="1402"/>
      <c r="AH1" s="1402"/>
    </row>
    <row r="2" spans="1:34" ht="15" customHeight="1" x14ac:dyDescent="0.25">
      <c r="A2" s="1400" t="s">
        <v>561</v>
      </c>
      <c r="B2" s="1400"/>
      <c r="C2" s="1400"/>
      <c r="D2" s="16"/>
      <c r="E2" s="17"/>
      <c r="F2" s="17"/>
      <c r="G2" s="17"/>
      <c r="H2" s="17"/>
      <c r="I2" s="17"/>
      <c r="J2" s="17"/>
      <c r="K2" s="17"/>
      <c r="L2" s="17"/>
      <c r="M2" s="17"/>
      <c r="N2" s="17"/>
      <c r="O2" s="17"/>
      <c r="P2" s="17"/>
      <c r="Q2" s="17"/>
      <c r="R2" s="17"/>
      <c r="S2" s="17"/>
      <c r="T2" s="17"/>
      <c r="U2" s="17"/>
      <c r="V2" s="1401" t="s">
        <v>562</v>
      </c>
      <c r="W2" s="1401"/>
      <c r="X2" s="1401"/>
      <c r="Y2" s="1401"/>
      <c r="Z2" s="1401"/>
      <c r="AA2" s="1401"/>
      <c r="AB2" s="1401"/>
      <c r="AC2" s="1401"/>
      <c r="AD2" s="1401"/>
      <c r="AE2" s="1401"/>
      <c r="AF2" s="1401"/>
      <c r="AG2" s="1401"/>
      <c r="AH2" s="1401"/>
    </row>
    <row r="3" spans="1:34" ht="15" customHeight="1" x14ac:dyDescent="0.25">
      <c r="A3" s="1401" t="s">
        <v>587</v>
      </c>
      <c r="B3" s="1401"/>
      <c r="C3" s="1401"/>
      <c r="D3" s="16"/>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row>
    <row r="4" spans="1:34" ht="15" customHeight="1" x14ac:dyDescent="0.25">
      <c r="A4" s="18"/>
      <c r="B4" s="18"/>
      <c r="C4" s="47"/>
      <c r="D4" s="16"/>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9" t="s">
        <v>563</v>
      </c>
    </row>
    <row r="5" spans="1:34" ht="30.75" customHeight="1" x14ac:dyDescent="0.25">
      <c r="A5" s="1412" t="str">
        <f>'P.QT-DV'!A5:AI5</f>
        <v>THỐNG KÊ CHI TIẾT KHỐI LƯỢNG CÔNG VIỆC THỰC HIỆN THÁNG 10/2023</v>
      </c>
      <c r="B5" s="1412"/>
      <c r="C5" s="1412"/>
      <c r="D5" s="1412"/>
      <c r="E5" s="1412"/>
      <c r="F5" s="1412"/>
      <c r="G5" s="1412"/>
      <c r="H5" s="1412"/>
      <c r="I5" s="1412"/>
      <c r="J5" s="1412"/>
      <c r="K5" s="1412"/>
      <c r="L5" s="1412"/>
      <c r="M5" s="1412"/>
      <c r="N5" s="1412"/>
      <c r="O5" s="1412"/>
      <c r="P5" s="1412"/>
      <c r="Q5" s="1412"/>
      <c r="R5" s="1412"/>
      <c r="S5" s="1412"/>
      <c r="T5" s="1412"/>
      <c r="U5" s="1412"/>
      <c r="V5" s="1412"/>
      <c r="W5" s="1412"/>
      <c r="X5" s="1412"/>
      <c r="Y5" s="1412"/>
      <c r="Z5" s="1412"/>
      <c r="AA5" s="1412"/>
      <c r="AB5" s="1412"/>
      <c r="AC5" s="1412"/>
      <c r="AD5" s="1412"/>
      <c r="AE5" s="1412"/>
      <c r="AF5" s="1412"/>
      <c r="AG5" s="1412"/>
      <c r="AH5" s="1412"/>
    </row>
    <row r="7" spans="1:34" ht="33.75" customHeight="1" x14ac:dyDescent="0.25">
      <c r="A7" s="1423" t="s">
        <v>0</v>
      </c>
      <c r="B7" s="1420" t="s">
        <v>564</v>
      </c>
      <c r="C7" s="1420"/>
      <c r="D7" s="1426" t="s">
        <v>110</v>
      </c>
      <c r="E7" s="1427"/>
      <c r="F7" s="1427"/>
      <c r="G7" s="1427"/>
      <c r="H7" s="1427"/>
      <c r="I7" s="1427"/>
      <c r="J7" s="1427"/>
      <c r="K7" s="1427"/>
      <c r="L7" s="1427"/>
      <c r="M7" s="1427"/>
      <c r="N7" s="1427"/>
      <c r="O7" s="1427"/>
      <c r="P7" s="1427"/>
      <c r="Q7" s="1427"/>
      <c r="R7" s="1427"/>
      <c r="S7" s="1427"/>
      <c r="T7" s="1428"/>
      <c r="U7" s="253"/>
      <c r="V7" s="1426" t="s">
        <v>565</v>
      </c>
      <c r="W7" s="1427"/>
      <c r="X7" s="1427"/>
      <c r="Y7" s="1427"/>
      <c r="Z7" s="1427"/>
      <c r="AA7" s="1427"/>
      <c r="AB7" s="1427"/>
      <c r="AC7" s="1427"/>
      <c r="AD7" s="1427"/>
      <c r="AE7" s="1427"/>
      <c r="AF7" s="1428"/>
      <c r="AG7" s="123"/>
      <c r="AH7" s="23" t="s">
        <v>4</v>
      </c>
    </row>
    <row r="8" spans="1:34" ht="57.75" customHeight="1" x14ac:dyDescent="0.25">
      <c r="A8" s="1424"/>
      <c r="B8" s="41" t="s">
        <v>461</v>
      </c>
      <c r="C8" s="135" t="s">
        <v>566</v>
      </c>
      <c r="D8" s="212" t="s">
        <v>567</v>
      </c>
      <c r="E8" s="212" t="s">
        <v>568</v>
      </c>
      <c r="F8" s="212" t="s">
        <v>569</v>
      </c>
      <c r="G8" s="212" t="s">
        <v>570</v>
      </c>
      <c r="H8" s="212" t="s">
        <v>571</v>
      </c>
      <c r="I8" s="212" t="s">
        <v>572</v>
      </c>
      <c r="J8" s="212" t="s">
        <v>573</v>
      </c>
      <c r="K8" s="212" t="s">
        <v>703</v>
      </c>
      <c r="L8" s="212" t="s">
        <v>704</v>
      </c>
      <c r="M8" s="212" t="s">
        <v>748</v>
      </c>
      <c r="N8" s="131" t="s">
        <v>749</v>
      </c>
      <c r="O8" s="131" t="s">
        <v>750</v>
      </c>
      <c r="P8" s="131" t="s">
        <v>780</v>
      </c>
      <c r="Q8" s="131" t="s">
        <v>784</v>
      </c>
      <c r="R8" s="131" t="s">
        <v>796</v>
      </c>
      <c r="S8" s="131" t="s">
        <v>797</v>
      </c>
      <c r="T8" s="133" t="s">
        <v>588</v>
      </c>
      <c r="U8" s="267" t="s">
        <v>795</v>
      </c>
      <c r="V8" s="132" t="s">
        <v>567</v>
      </c>
      <c r="W8" s="132" t="s">
        <v>568</v>
      </c>
      <c r="X8" s="132" t="s">
        <v>569</v>
      </c>
      <c r="Y8" s="132" t="s">
        <v>570</v>
      </c>
      <c r="Z8" s="132" t="s">
        <v>571</v>
      </c>
      <c r="AA8" s="132" t="s">
        <v>572</v>
      </c>
      <c r="AB8" s="132" t="s">
        <v>573</v>
      </c>
      <c r="AC8" s="132" t="s">
        <v>703</v>
      </c>
      <c r="AD8" s="132" t="s">
        <v>704</v>
      </c>
      <c r="AE8" s="132" t="s">
        <v>748</v>
      </c>
      <c r="AF8" s="134" t="s">
        <v>588</v>
      </c>
      <c r="AG8" s="267" t="s">
        <v>795</v>
      </c>
      <c r="AH8" s="23"/>
    </row>
    <row r="9" spans="1:34" ht="24.75" customHeight="1" x14ac:dyDescent="0.25">
      <c r="A9" s="22" t="s">
        <v>574</v>
      </c>
      <c r="B9" s="23"/>
      <c r="C9" s="268">
        <v>-1</v>
      </c>
      <c r="D9" s="268">
        <v>-2</v>
      </c>
      <c r="E9" s="268">
        <v>-3</v>
      </c>
      <c r="F9" s="268">
        <v>-4</v>
      </c>
      <c r="G9" s="268">
        <v>-5</v>
      </c>
      <c r="H9" s="268">
        <v>-6</v>
      </c>
      <c r="I9" s="268">
        <v>-7</v>
      </c>
      <c r="J9" s="268">
        <v>-8</v>
      </c>
      <c r="K9" s="268">
        <v>-9</v>
      </c>
      <c r="L9" s="268">
        <v>-10</v>
      </c>
      <c r="M9" s="268">
        <v>-11</v>
      </c>
      <c r="N9" s="268">
        <v>-12</v>
      </c>
      <c r="O9" s="268">
        <v>-13</v>
      </c>
      <c r="P9" s="268">
        <v>-14</v>
      </c>
      <c r="Q9" s="268">
        <v>-15</v>
      </c>
      <c r="R9" s="268">
        <v>-16</v>
      </c>
      <c r="S9" s="268">
        <v>-17</v>
      </c>
      <c r="T9" s="268">
        <v>-18</v>
      </c>
      <c r="U9" s="269">
        <v>-19</v>
      </c>
      <c r="V9" s="268">
        <v>-20</v>
      </c>
      <c r="W9" s="268">
        <v>-21</v>
      </c>
      <c r="X9" s="268">
        <v>-22</v>
      </c>
      <c r="Y9" s="268">
        <v>-23</v>
      </c>
      <c r="Z9" s="268">
        <v>-24</v>
      </c>
      <c r="AA9" s="268">
        <v>-25</v>
      </c>
      <c r="AB9" s="268">
        <v>-26</v>
      </c>
      <c r="AC9" s="268">
        <v>-27</v>
      </c>
      <c r="AD9" s="268">
        <v>-28</v>
      </c>
      <c r="AE9" s="268">
        <v>-29</v>
      </c>
      <c r="AF9" s="268">
        <v>-30</v>
      </c>
      <c r="AG9" s="269">
        <v>-31</v>
      </c>
      <c r="AH9" s="268">
        <v>-32</v>
      </c>
    </row>
    <row r="10" spans="1:34" ht="20.100000000000001" customHeight="1" x14ac:dyDescent="0.25">
      <c r="A10" s="26" t="s">
        <v>5</v>
      </c>
      <c r="B10" s="10" t="s">
        <v>431</v>
      </c>
      <c r="C10" s="185" t="s">
        <v>773</v>
      </c>
      <c r="D10" s="1209"/>
      <c r="E10" s="1209"/>
      <c r="F10" s="1209"/>
      <c r="G10" s="1209"/>
      <c r="H10" s="1209"/>
      <c r="I10" s="1209"/>
      <c r="J10" s="1209"/>
      <c r="K10" s="946"/>
      <c r="L10" s="512"/>
      <c r="M10" s="513"/>
      <c r="N10" s="27"/>
      <c r="O10" s="27"/>
      <c r="P10" s="27"/>
      <c r="Q10" s="27"/>
      <c r="R10" s="100"/>
      <c r="S10" s="100"/>
      <c r="T10" s="99">
        <f>SUM(COUNTIF(D10:S10,"X"),COUNTIF(D10:S10,"A"))</f>
        <v>0</v>
      </c>
      <c r="U10" s="272">
        <f>SUM(COUNTIF(D10:S10,"X"),COUNTIF(D10:S10,"B"))</f>
        <v>0</v>
      </c>
      <c r="V10" s="1073"/>
      <c r="W10" s="1073"/>
      <c r="X10" s="1074"/>
      <c r="Y10" s="1074"/>
      <c r="Z10" s="45"/>
      <c r="AA10" s="166"/>
      <c r="AB10" s="169"/>
      <c r="AC10" s="169"/>
      <c r="AD10" s="169"/>
      <c r="AE10" s="100"/>
      <c r="AF10" s="99">
        <f>SUM(COUNTIF(V10:AE10,"X"),COUNTIF(V10:AE10,"A"))</f>
        <v>0</v>
      </c>
      <c r="AG10" s="272">
        <f>SUM(COUNTIF(V10:AE10,"X"),COUNTIF(V10:AE10,"B"))</f>
        <v>0</v>
      </c>
      <c r="AH10" s="11"/>
    </row>
    <row r="11" spans="1:34" ht="20.100000000000001" customHeight="1" x14ac:dyDescent="0.25">
      <c r="A11" s="26" t="s">
        <v>6</v>
      </c>
      <c r="B11" s="71" t="s">
        <v>253</v>
      </c>
      <c r="C11" s="110" t="s">
        <v>254</v>
      </c>
      <c r="D11" s="1209" t="s">
        <v>581</v>
      </c>
      <c r="E11" s="1209"/>
      <c r="F11" s="1209"/>
      <c r="G11" s="1209"/>
      <c r="H11" s="1209"/>
      <c r="I11" s="1209"/>
      <c r="J11" s="1209"/>
      <c r="K11" s="946"/>
      <c r="L11" s="512"/>
      <c r="M11" s="513"/>
      <c r="N11" s="27"/>
      <c r="O11" s="27"/>
      <c r="P11" s="27"/>
      <c r="Q11" s="27"/>
      <c r="R11" s="100"/>
      <c r="S11" s="100"/>
      <c r="T11" s="99">
        <f t="shared" ref="T11:T29" si="0">SUM(COUNTIF(D11:S11,"X"),COUNTIF(D11:S11,"A"))</f>
        <v>1</v>
      </c>
      <c r="U11" s="272">
        <f t="shared" ref="U11:U29" si="1">SUM(COUNTIF(D11:S11,"X"),COUNTIF(D11:S11,"B"))</f>
        <v>1</v>
      </c>
      <c r="V11" s="1073"/>
      <c r="W11" s="1073"/>
      <c r="X11" s="1074"/>
      <c r="Y11" s="1075"/>
      <c r="Z11" s="45"/>
      <c r="AA11" s="166"/>
      <c r="AB11" s="169"/>
      <c r="AC11" s="169"/>
      <c r="AD11" s="169"/>
      <c r="AE11" s="100"/>
      <c r="AF11" s="99">
        <f t="shared" ref="AF11:AF29" si="2">SUM(COUNTIF(V11:AE11,"X"),COUNTIF(V11:AE11,"A"))</f>
        <v>0</v>
      </c>
      <c r="AG11" s="272">
        <f t="shared" ref="AG11:AG29" si="3">SUM(COUNTIF(V11:AE11,"X"),COUNTIF(V11:AE11,"B"))</f>
        <v>0</v>
      </c>
      <c r="AH11" s="11"/>
    </row>
    <row r="12" spans="1:34" ht="20.100000000000001" customHeight="1" x14ac:dyDescent="0.25">
      <c r="A12" s="26" t="s">
        <v>10</v>
      </c>
      <c r="B12" s="75" t="s">
        <v>245</v>
      </c>
      <c r="C12" s="110" t="s">
        <v>246</v>
      </c>
      <c r="D12" s="1209"/>
      <c r="E12" s="1209"/>
      <c r="F12" s="1209"/>
      <c r="G12" s="1209"/>
      <c r="H12" s="1209"/>
      <c r="I12" s="1209"/>
      <c r="J12" s="1209"/>
      <c r="K12" s="946"/>
      <c r="L12" s="797"/>
      <c r="M12" s="513"/>
      <c r="N12" s="27"/>
      <c r="O12" s="27"/>
      <c r="P12" s="27"/>
      <c r="Q12" s="27"/>
      <c r="R12" s="100"/>
      <c r="S12" s="100"/>
      <c r="T12" s="99">
        <f t="shared" si="0"/>
        <v>0</v>
      </c>
      <c r="U12" s="272">
        <f t="shared" si="1"/>
        <v>0</v>
      </c>
      <c r="V12" s="1073"/>
      <c r="W12" s="1073"/>
      <c r="X12" s="1074"/>
      <c r="Y12" s="1074"/>
      <c r="Z12" s="45"/>
      <c r="AA12" s="166"/>
      <c r="AB12" s="169"/>
      <c r="AC12" s="169"/>
      <c r="AD12" s="169"/>
      <c r="AE12" s="100"/>
      <c r="AF12" s="99">
        <f t="shared" si="2"/>
        <v>0</v>
      </c>
      <c r="AG12" s="272">
        <f t="shared" si="3"/>
        <v>0</v>
      </c>
      <c r="AH12" s="11"/>
    </row>
    <row r="13" spans="1:34" ht="20.100000000000001" customHeight="1" x14ac:dyDescent="0.25">
      <c r="A13" s="26" t="s">
        <v>11</v>
      </c>
      <c r="B13" s="75" t="s">
        <v>247</v>
      </c>
      <c r="C13" s="110" t="s">
        <v>248</v>
      </c>
      <c r="D13" s="1209"/>
      <c r="E13" s="1209"/>
      <c r="F13" s="1209"/>
      <c r="G13" s="1209"/>
      <c r="H13" s="1209"/>
      <c r="I13" s="1209"/>
      <c r="J13" s="1209"/>
      <c r="K13" s="946"/>
      <c r="L13" s="512"/>
      <c r="M13" s="513"/>
      <c r="N13" s="27"/>
      <c r="O13" s="27"/>
      <c r="P13" s="27"/>
      <c r="Q13" s="27"/>
      <c r="R13" s="100"/>
      <c r="S13" s="100"/>
      <c r="T13" s="99">
        <f t="shared" si="0"/>
        <v>0</v>
      </c>
      <c r="U13" s="272">
        <f t="shared" si="1"/>
        <v>0</v>
      </c>
      <c r="V13" s="1073"/>
      <c r="W13" s="1073"/>
      <c r="X13" s="1074"/>
      <c r="Y13" s="1074"/>
      <c r="Z13" s="45"/>
      <c r="AA13" s="166"/>
      <c r="AB13" s="169"/>
      <c r="AC13" s="169"/>
      <c r="AD13" s="169"/>
      <c r="AE13" s="100"/>
      <c r="AF13" s="99">
        <f t="shared" si="2"/>
        <v>0</v>
      </c>
      <c r="AG13" s="272">
        <f t="shared" si="3"/>
        <v>0</v>
      </c>
      <c r="AH13" s="11"/>
    </row>
    <row r="14" spans="1:34" ht="20.100000000000001" customHeight="1" x14ac:dyDescent="0.25">
      <c r="A14" s="26" t="s">
        <v>12</v>
      </c>
      <c r="B14" s="75" t="s">
        <v>249</v>
      </c>
      <c r="C14" s="110" t="s">
        <v>250</v>
      </c>
      <c r="D14" s="1209"/>
      <c r="E14" s="1209"/>
      <c r="F14" s="1209"/>
      <c r="G14" s="1209"/>
      <c r="H14" s="1209"/>
      <c r="I14" s="1209"/>
      <c r="J14" s="1209"/>
      <c r="K14" s="946"/>
      <c r="L14" s="512"/>
      <c r="M14" s="513"/>
      <c r="N14" s="27"/>
      <c r="O14" s="27"/>
      <c r="P14" s="27"/>
      <c r="Q14" s="27"/>
      <c r="R14" s="100"/>
      <c r="S14" s="100"/>
      <c r="T14" s="99">
        <f t="shared" si="0"/>
        <v>0</v>
      </c>
      <c r="U14" s="272">
        <f t="shared" si="1"/>
        <v>0</v>
      </c>
      <c r="V14" s="1073"/>
      <c r="W14" s="1073"/>
      <c r="X14" s="1074"/>
      <c r="Y14" s="1074"/>
      <c r="Z14" s="45"/>
      <c r="AA14" s="166"/>
      <c r="AB14" s="169"/>
      <c r="AC14" s="169"/>
      <c r="AD14" s="169"/>
      <c r="AE14" s="100"/>
      <c r="AF14" s="99">
        <f t="shared" si="2"/>
        <v>0</v>
      </c>
      <c r="AG14" s="272">
        <f t="shared" si="3"/>
        <v>0</v>
      </c>
      <c r="AH14" s="11"/>
    </row>
    <row r="15" spans="1:34" ht="24" customHeight="1" x14ac:dyDescent="0.25">
      <c r="A15" s="26" t="s">
        <v>13</v>
      </c>
      <c r="B15" s="75" t="s">
        <v>255</v>
      </c>
      <c r="C15" s="110" t="s">
        <v>256</v>
      </c>
      <c r="D15" s="1209"/>
      <c r="E15" s="1209"/>
      <c r="F15" s="1209"/>
      <c r="G15" s="1209"/>
      <c r="H15" s="1209"/>
      <c r="I15" s="1209"/>
      <c r="J15" s="1209"/>
      <c r="K15" s="946"/>
      <c r="L15" s="512"/>
      <c r="M15" s="513"/>
      <c r="N15" s="27"/>
      <c r="O15" s="27"/>
      <c r="P15" s="27"/>
      <c r="Q15" s="27"/>
      <c r="R15" s="100"/>
      <c r="S15" s="100"/>
      <c r="T15" s="99">
        <f t="shared" si="0"/>
        <v>0</v>
      </c>
      <c r="U15" s="272">
        <f t="shared" si="1"/>
        <v>0</v>
      </c>
      <c r="V15" s="1073"/>
      <c r="W15" s="1073"/>
      <c r="X15" s="1074"/>
      <c r="Y15" s="1074"/>
      <c r="Z15" s="45"/>
      <c r="AA15" s="166"/>
      <c r="AB15" s="169"/>
      <c r="AC15" s="169"/>
      <c r="AD15" s="169"/>
      <c r="AE15" s="100"/>
      <c r="AF15" s="99">
        <f t="shared" si="2"/>
        <v>0</v>
      </c>
      <c r="AG15" s="272">
        <f t="shared" si="3"/>
        <v>0</v>
      </c>
      <c r="AH15" s="566"/>
    </row>
    <row r="16" spans="1:34" ht="20.100000000000001" customHeight="1" x14ac:dyDescent="0.25">
      <c r="A16" s="26" t="s">
        <v>14</v>
      </c>
      <c r="B16" s="75" t="s">
        <v>257</v>
      </c>
      <c r="C16" s="110" t="s">
        <v>258</v>
      </c>
      <c r="D16" s="1209"/>
      <c r="E16" s="1209"/>
      <c r="F16" s="1209"/>
      <c r="G16" s="1209"/>
      <c r="H16" s="1209"/>
      <c r="I16" s="1209"/>
      <c r="J16" s="1209"/>
      <c r="K16" s="946"/>
      <c r="L16" s="512"/>
      <c r="M16" s="513"/>
      <c r="N16" s="27"/>
      <c r="O16" s="27"/>
      <c r="P16" s="27"/>
      <c r="Q16" s="27"/>
      <c r="R16" s="100"/>
      <c r="S16" s="100"/>
      <c r="T16" s="99">
        <f t="shared" si="0"/>
        <v>0</v>
      </c>
      <c r="U16" s="272">
        <f t="shared" si="1"/>
        <v>0</v>
      </c>
      <c r="V16" s="1073"/>
      <c r="W16" s="1073"/>
      <c r="X16" s="1074"/>
      <c r="Y16" s="1074"/>
      <c r="Z16" s="45"/>
      <c r="AA16" s="166"/>
      <c r="AB16" s="169"/>
      <c r="AC16" s="169"/>
      <c r="AD16" s="169"/>
      <c r="AE16" s="100"/>
      <c r="AF16" s="99">
        <f t="shared" si="2"/>
        <v>0</v>
      </c>
      <c r="AG16" s="272">
        <f t="shared" si="3"/>
        <v>0</v>
      </c>
      <c r="AH16" s="11"/>
    </row>
    <row r="17" spans="1:34" ht="20.100000000000001" customHeight="1" x14ac:dyDescent="0.25">
      <c r="A17" s="26" t="s">
        <v>15</v>
      </c>
      <c r="B17" s="75" t="s">
        <v>220</v>
      </c>
      <c r="C17" s="110" t="s">
        <v>221</v>
      </c>
      <c r="D17" s="1209"/>
      <c r="E17" s="1209"/>
      <c r="F17" s="1209"/>
      <c r="G17" s="1209"/>
      <c r="H17" s="1209"/>
      <c r="I17" s="1209"/>
      <c r="J17" s="1209"/>
      <c r="K17" s="946"/>
      <c r="L17" s="512"/>
      <c r="M17" s="513"/>
      <c r="N17" s="27"/>
      <c r="O17" s="27"/>
      <c r="P17" s="27"/>
      <c r="Q17" s="27"/>
      <c r="R17" s="100"/>
      <c r="S17" s="100"/>
      <c r="T17" s="99">
        <f t="shared" si="0"/>
        <v>0</v>
      </c>
      <c r="U17" s="272">
        <f t="shared" si="1"/>
        <v>0</v>
      </c>
      <c r="V17" s="1073"/>
      <c r="W17" s="1073"/>
      <c r="X17" s="1074"/>
      <c r="Y17" s="1074"/>
      <c r="Z17" s="45"/>
      <c r="AA17" s="166"/>
      <c r="AB17" s="169"/>
      <c r="AC17" s="169"/>
      <c r="AD17" s="169"/>
      <c r="AE17" s="100"/>
      <c r="AF17" s="99">
        <f t="shared" si="2"/>
        <v>0</v>
      </c>
      <c r="AG17" s="272">
        <f t="shared" si="3"/>
        <v>0</v>
      </c>
      <c r="AH17" s="11"/>
    </row>
    <row r="18" spans="1:34" ht="20.100000000000001" customHeight="1" x14ac:dyDescent="0.25">
      <c r="A18" s="26" t="s">
        <v>16</v>
      </c>
      <c r="B18" s="75" t="s">
        <v>626</v>
      </c>
      <c r="C18" s="110" t="s">
        <v>213</v>
      </c>
      <c r="D18" s="1209" t="s">
        <v>581</v>
      </c>
      <c r="E18" s="1209"/>
      <c r="F18" s="1209"/>
      <c r="G18" s="1209"/>
      <c r="H18" s="1209"/>
      <c r="I18" s="1209"/>
      <c r="J18" s="1209"/>
      <c r="K18" s="946"/>
      <c r="L18" s="512"/>
      <c r="M18" s="513"/>
      <c r="N18" s="27"/>
      <c r="O18" s="27"/>
      <c r="P18" s="27"/>
      <c r="Q18" s="27"/>
      <c r="R18" s="100"/>
      <c r="S18" s="100"/>
      <c r="T18" s="99">
        <f t="shared" si="0"/>
        <v>1</v>
      </c>
      <c r="U18" s="272">
        <f t="shared" si="1"/>
        <v>1</v>
      </c>
      <c r="V18" s="1073"/>
      <c r="W18" s="1073"/>
      <c r="X18" s="1074"/>
      <c r="Y18" s="1074"/>
      <c r="Z18" s="45"/>
      <c r="AA18" s="166"/>
      <c r="AB18" s="169"/>
      <c r="AC18" s="169"/>
      <c r="AD18" s="169"/>
      <c r="AE18" s="100"/>
      <c r="AF18" s="99">
        <f t="shared" si="2"/>
        <v>0</v>
      </c>
      <c r="AG18" s="272">
        <f t="shared" si="3"/>
        <v>0</v>
      </c>
      <c r="AH18" s="11"/>
    </row>
    <row r="19" spans="1:34" ht="20.100000000000001" customHeight="1" x14ac:dyDescent="0.25">
      <c r="A19" s="26" t="s">
        <v>17</v>
      </c>
      <c r="B19" s="75" t="s">
        <v>630</v>
      </c>
      <c r="C19" s="110" t="s">
        <v>217</v>
      </c>
      <c r="D19" s="1209"/>
      <c r="E19" s="1209"/>
      <c r="F19" s="1209"/>
      <c r="G19" s="1209"/>
      <c r="H19" s="1209"/>
      <c r="I19" s="1209"/>
      <c r="J19" s="1209"/>
      <c r="K19" s="946"/>
      <c r="L19" s="516"/>
      <c r="M19" s="513"/>
      <c r="N19" s="27"/>
      <c r="O19" s="27"/>
      <c r="P19" s="27"/>
      <c r="Q19" s="27"/>
      <c r="R19" s="100"/>
      <c r="S19" s="100"/>
      <c r="T19" s="99">
        <f t="shared" si="0"/>
        <v>0</v>
      </c>
      <c r="U19" s="272">
        <f t="shared" si="1"/>
        <v>0</v>
      </c>
      <c r="V19" s="1073"/>
      <c r="W19" s="1073"/>
      <c r="X19" s="1074"/>
      <c r="Y19" s="1074"/>
      <c r="Z19" s="45"/>
      <c r="AA19" s="166"/>
      <c r="AB19" s="169"/>
      <c r="AC19" s="169"/>
      <c r="AD19" s="169"/>
      <c r="AE19" s="100"/>
      <c r="AF19" s="99">
        <f t="shared" si="2"/>
        <v>0</v>
      </c>
      <c r="AG19" s="272">
        <f t="shared" si="3"/>
        <v>0</v>
      </c>
      <c r="AH19" s="11" t="s">
        <v>1083</v>
      </c>
    </row>
    <row r="20" spans="1:34" ht="20.100000000000001" customHeight="1" x14ac:dyDescent="0.25">
      <c r="A20" s="26" t="s">
        <v>18</v>
      </c>
      <c r="B20" s="75" t="s">
        <v>218</v>
      </c>
      <c r="C20" s="110" t="s">
        <v>219</v>
      </c>
      <c r="D20" s="1209"/>
      <c r="E20" s="1209"/>
      <c r="F20" s="1209"/>
      <c r="G20" s="1209"/>
      <c r="H20" s="1209"/>
      <c r="I20" s="1209"/>
      <c r="J20" s="1209"/>
      <c r="K20" s="946"/>
      <c r="L20" s="512"/>
      <c r="M20" s="513"/>
      <c r="N20" s="27"/>
      <c r="O20" s="27"/>
      <c r="P20" s="27"/>
      <c r="Q20" s="27"/>
      <c r="R20" s="100"/>
      <c r="S20" s="100"/>
      <c r="T20" s="99">
        <f t="shared" si="0"/>
        <v>0</v>
      </c>
      <c r="U20" s="272">
        <f t="shared" si="1"/>
        <v>0</v>
      </c>
      <c r="V20" s="1073"/>
      <c r="W20" s="1073"/>
      <c r="X20" s="1074"/>
      <c r="Y20" s="1074"/>
      <c r="Z20" s="45"/>
      <c r="AA20" s="166"/>
      <c r="AB20" s="169"/>
      <c r="AC20" s="169"/>
      <c r="AD20" s="169"/>
      <c r="AE20" s="100"/>
      <c r="AF20" s="99">
        <f t="shared" si="2"/>
        <v>0</v>
      </c>
      <c r="AG20" s="272">
        <f t="shared" si="3"/>
        <v>0</v>
      </c>
      <c r="AH20" s="11"/>
    </row>
    <row r="21" spans="1:34" ht="20.100000000000001" customHeight="1" x14ac:dyDescent="0.25">
      <c r="A21" s="26" t="s">
        <v>19</v>
      </c>
      <c r="B21" s="75" t="s">
        <v>628</v>
      </c>
      <c r="C21" s="109" t="s">
        <v>214</v>
      </c>
      <c r="D21" s="1209"/>
      <c r="E21" s="1209"/>
      <c r="F21" s="1209"/>
      <c r="G21" s="1209"/>
      <c r="H21" s="1209"/>
      <c r="I21" s="1209"/>
      <c r="J21" s="1209"/>
      <c r="K21" s="946"/>
      <c r="L21" s="512"/>
      <c r="M21" s="513"/>
      <c r="N21" s="27"/>
      <c r="O21" s="27"/>
      <c r="P21" s="27"/>
      <c r="Q21" s="27"/>
      <c r="R21" s="100"/>
      <c r="S21" s="100"/>
      <c r="T21" s="99">
        <f t="shared" si="0"/>
        <v>0</v>
      </c>
      <c r="U21" s="272">
        <f t="shared" si="1"/>
        <v>0</v>
      </c>
      <c r="V21" s="1073"/>
      <c r="W21" s="1073"/>
      <c r="X21" s="1074"/>
      <c r="Y21" s="1074"/>
      <c r="Z21" s="45"/>
      <c r="AA21" s="166"/>
      <c r="AB21" s="169"/>
      <c r="AC21" s="169"/>
      <c r="AD21" s="169"/>
      <c r="AE21" s="100"/>
      <c r="AF21" s="99">
        <f t="shared" si="2"/>
        <v>0</v>
      </c>
      <c r="AG21" s="272">
        <f t="shared" si="3"/>
        <v>0</v>
      </c>
      <c r="AH21" s="11"/>
    </row>
    <row r="22" spans="1:34" ht="20.100000000000001" customHeight="1" x14ac:dyDescent="0.25">
      <c r="A22" s="26" t="s">
        <v>21</v>
      </c>
      <c r="B22" s="75" t="s">
        <v>629</v>
      </c>
      <c r="C22" s="109" t="s">
        <v>216</v>
      </c>
      <c r="D22" s="1209"/>
      <c r="E22" s="1209"/>
      <c r="F22" s="1209"/>
      <c r="G22" s="1209"/>
      <c r="H22" s="1209"/>
      <c r="I22" s="1209"/>
      <c r="J22" s="1209"/>
      <c r="K22" s="946"/>
      <c r="L22" s="512"/>
      <c r="M22" s="513"/>
      <c r="N22" s="27"/>
      <c r="O22" s="27"/>
      <c r="P22" s="27"/>
      <c r="Q22" s="27"/>
      <c r="R22" s="100"/>
      <c r="S22" s="100"/>
      <c r="T22" s="99">
        <f t="shared" si="0"/>
        <v>0</v>
      </c>
      <c r="U22" s="272">
        <f t="shared" si="1"/>
        <v>0</v>
      </c>
      <c r="V22" s="1073"/>
      <c r="W22" s="1073"/>
      <c r="X22" s="1074"/>
      <c r="Y22" s="1074"/>
      <c r="Z22" s="45"/>
      <c r="AA22" s="166"/>
      <c r="AB22" s="169"/>
      <c r="AC22" s="169"/>
      <c r="AD22" s="169"/>
      <c r="AE22" s="100"/>
      <c r="AF22" s="99">
        <f t="shared" si="2"/>
        <v>0</v>
      </c>
      <c r="AG22" s="272">
        <f t="shared" si="3"/>
        <v>0</v>
      </c>
      <c r="AH22" s="11"/>
    </row>
    <row r="23" spans="1:34" ht="20.100000000000001" customHeight="1" x14ac:dyDescent="0.25">
      <c r="A23" s="26" t="s">
        <v>22</v>
      </c>
      <c r="B23" s="75" t="s">
        <v>222</v>
      </c>
      <c r="C23" s="109" t="s">
        <v>223</v>
      </c>
      <c r="D23" s="1209"/>
      <c r="E23" s="1209"/>
      <c r="F23" s="1209"/>
      <c r="G23" s="1209"/>
      <c r="H23" s="1209"/>
      <c r="I23" s="1209"/>
      <c r="J23" s="1209"/>
      <c r="K23" s="946"/>
      <c r="L23" s="798"/>
      <c r="M23" s="513"/>
      <c r="N23" s="27"/>
      <c r="O23" s="27"/>
      <c r="P23" s="27"/>
      <c r="Q23" s="27"/>
      <c r="R23" s="100"/>
      <c r="S23" s="100"/>
      <c r="T23" s="99">
        <f t="shared" si="0"/>
        <v>0</v>
      </c>
      <c r="U23" s="272">
        <f t="shared" si="1"/>
        <v>0</v>
      </c>
      <c r="V23" s="1073"/>
      <c r="W23" s="1073"/>
      <c r="X23" s="1074"/>
      <c r="Y23" s="1074"/>
      <c r="Z23" s="45"/>
      <c r="AA23" s="166"/>
      <c r="AB23" s="169"/>
      <c r="AC23" s="169"/>
      <c r="AD23" s="169"/>
      <c r="AE23" s="100"/>
      <c r="AF23" s="99">
        <f t="shared" si="2"/>
        <v>0</v>
      </c>
      <c r="AG23" s="272">
        <f t="shared" si="3"/>
        <v>0</v>
      </c>
      <c r="AH23" s="11"/>
    </row>
    <row r="24" spans="1:34" ht="20.100000000000001" customHeight="1" x14ac:dyDescent="0.25">
      <c r="A24" s="26" t="s">
        <v>23</v>
      </c>
      <c r="B24" s="75" t="s">
        <v>211</v>
      </c>
      <c r="C24" s="109" t="s">
        <v>212</v>
      </c>
      <c r="D24" s="1209"/>
      <c r="E24" s="1209"/>
      <c r="F24" s="1209"/>
      <c r="G24" s="1209"/>
      <c r="H24" s="1209"/>
      <c r="I24" s="1209"/>
      <c r="J24" s="1209"/>
      <c r="K24" s="946"/>
      <c r="L24" s="512"/>
      <c r="M24" s="799"/>
      <c r="N24" s="162"/>
      <c r="O24" s="27"/>
      <c r="P24" s="27"/>
      <c r="Q24" s="27"/>
      <c r="R24" s="100"/>
      <c r="S24" s="100"/>
      <c r="T24" s="99">
        <f t="shared" si="0"/>
        <v>0</v>
      </c>
      <c r="U24" s="272">
        <f t="shared" si="1"/>
        <v>0</v>
      </c>
      <c r="V24" s="1073"/>
      <c r="W24" s="1073"/>
      <c r="X24" s="1074"/>
      <c r="Y24" s="1074"/>
      <c r="Z24" s="45"/>
      <c r="AA24" s="167"/>
      <c r="AB24" s="169"/>
      <c r="AC24" s="169"/>
      <c r="AD24" s="169"/>
      <c r="AE24" s="100"/>
      <c r="AF24" s="99">
        <f t="shared" si="2"/>
        <v>0</v>
      </c>
      <c r="AG24" s="272">
        <f t="shared" si="3"/>
        <v>0</v>
      </c>
      <c r="AH24" s="11"/>
    </row>
    <row r="25" spans="1:34" ht="20.100000000000001" customHeight="1" x14ac:dyDescent="0.25">
      <c r="A25" s="26" t="s">
        <v>24</v>
      </c>
      <c r="B25" s="75" t="s">
        <v>627</v>
      </c>
      <c r="C25" s="109" t="s">
        <v>215</v>
      </c>
      <c r="D25" s="1209"/>
      <c r="E25" s="1209"/>
      <c r="F25" s="1209"/>
      <c r="G25" s="1209"/>
      <c r="H25" s="1209"/>
      <c r="I25" s="1209"/>
      <c r="J25" s="1209"/>
      <c r="K25" s="946"/>
      <c r="L25" s="512"/>
      <c r="M25" s="513"/>
      <c r="N25" s="27"/>
      <c r="O25" s="27"/>
      <c r="P25" s="27"/>
      <c r="Q25" s="27"/>
      <c r="R25" s="100"/>
      <c r="S25" s="100"/>
      <c r="T25" s="99">
        <f t="shared" si="0"/>
        <v>0</v>
      </c>
      <c r="U25" s="272">
        <f t="shared" si="1"/>
        <v>0</v>
      </c>
      <c r="V25" s="1073"/>
      <c r="W25" s="1073"/>
      <c r="X25" s="1074"/>
      <c r="Y25" s="1074"/>
      <c r="Z25" s="45"/>
      <c r="AA25" s="166"/>
      <c r="AB25" s="169"/>
      <c r="AC25" s="169"/>
      <c r="AD25" s="169"/>
      <c r="AE25" s="100"/>
      <c r="AF25" s="99">
        <f t="shared" si="2"/>
        <v>0</v>
      </c>
      <c r="AG25" s="272">
        <f t="shared" si="3"/>
        <v>0</v>
      </c>
      <c r="AH25" s="11"/>
    </row>
    <row r="26" spans="1:34" ht="20.100000000000001" customHeight="1" x14ac:dyDescent="0.25">
      <c r="A26" s="26" t="s">
        <v>25</v>
      </c>
      <c r="B26" s="71" t="s">
        <v>264</v>
      </c>
      <c r="C26" s="110" t="s">
        <v>265</v>
      </c>
      <c r="D26" s="1209"/>
      <c r="E26" s="1209"/>
      <c r="F26" s="1209" t="s">
        <v>581</v>
      </c>
      <c r="G26" s="1209" t="s">
        <v>581</v>
      </c>
      <c r="H26" s="1209"/>
      <c r="I26" s="1209"/>
      <c r="J26" s="1209" t="s">
        <v>581</v>
      </c>
      <c r="K26" s="946"/>
      <c r="L26" s="797"/>
      <c r="M26" s="513"/>
      <c r="N26" s="27"/>
      <c r="O26" s="27"/>
      <c r="P26" s="27"/>
      <c r="Q26" s="27"/>
      <c r="R26" s="100"/>
      <c r="S26" s="100"/>
      <c r="T26" s="99">
        <f t="shared" si="0"/>
        <v>3</v>
      </c>
      <c r="U26" s="272">
        <f t="shared" si="1"/>
        <v>3</v>
      </c>
      <c r="V26" s="1210" t="s">
        <v>581</v>
      </c>
      <c r="W26" s="1073"/>
      <c r="X26" s="1075"/>
      <c r="Y26" s="1074"/>
      <c r="Z26" s="45"/>
      <c r="AA26" s="166"/>
      <c r="AB26" s="169"/>
      <c r="AC26" s="169"/>
      <c r="AD26" s="169"/>
      <c r="AE26" s="100"/>
      <c r="AF26" s="99">
        <f t="shared" si="2"/>
        <v>1</v>
      </c>
      <c r="AG26" s="272">
        <f t="shared" si="3"/>
        <v>1</v>
      </c>
      <c r="AH26" s="11"/>
    </row>
    <row r="27" spans="1:34" ht="20.100000000000001" customHeight="1" x14ac:dyDescent="0.25">
      <c r="A27" s="26" t="s">
        <v>26</v>
      </c>
      <c r="B27" s="71" t="s">
        <v>261</v>
      </c>
      <c r="C27" s="110" t="s">
        <v>744</v>
      </c>
      <c r="D27" s="1209"/>
      <c r="E27" s="1209" t="s">
        <v>581</v>
      </c>
      <c r="F27" s="1209" t="s">
        <v>581</v>
      </c>
      <c r="G27" s="1209" t="s">
        <v>581</v>
      </c>
      <c r="H27" s="1209" t="s">
        <v>581</v>
      </c>
      <c r="I27" s="1209" t="s">
        <v>581</v>
      </c>
      <c r="J27" s="1209"/>
      <c r="K27" s="946"/>
      <c r="L27" s="512"/>
      <c r="M27" s="513"/>
      <c r="N27" s="27"/>
      <c r="O27" s="27"/>
      <c r="P27" s="27"/>
      <c r="Q27" s="27"/>
      <c r="R27" s="100"/>
      <c r="S27" s="100"/>
      <c r="T27" s="99">
        <f t="shared" si="0"/>
        <v>5</v>
      </c>
      <c r="U27" s="272">
        <f t="shared" si="1"/>
        <v>5</v>
      </c>
      <c r="V27" s="1210"/>
      <c r="W27" s="1073"/>
      <c r="X27" s="1074"/>
      <c r="Y27" s="1074"/>
      <c r="Z27" s="506"/>
      <c r="AA27" s="166"/>
      <c r="AB27" s="169"/>
      <c r="AC27" s="169"/>
      <c r="AD27" s="169"/>
      <c r="AE27" s="100"/>
      <c r="AF27" s="99">
        <f t="shared" si="2"/>
        <v>0</v>
      </c>
      <c r="AG27" s="272">
        <f t="shared" si="3"/>
        <v>0</v>
      </c>
      <c r="AH27" s="11"/>
    </row>
    <row r="28" spans="1:34" ht="20.100000000000001" customHeight="1" x14ac:dyDescent="0.25">
      <c r="A28" s="26" t="s">
        <v>27</v>
      </c>
      <c r="B28" s="71" t="s">
        <v>266</v>
      </c>
      <c r="C28" s="110" t="s">
        <v>267</v>
      </c>
      <c r="D28" s="1209"/>
      <c r="E28" s="1209"/>
      <c r="F28" s="1209" t="s">
        <v>581</v>
      </c>
      <c r="G28" s="1209" t="s">
        <v>581</v>
      </c>
      <c r="H28" s="1209" t="s">
        <v>581</v>
      </c>
      <c r="I28" s="1209"/>
      <c r="J28" s="1209"/>
      <c r="K28" s="946"/>
      <c r="L28" s="516"/>
      <c r="M28" s="513"/>
      <c r="N28" s="27"/>
      <c r="O28" s="27"/>
      <c r="P28" s="27"/>
      <c r="Q28" s="27"/>
      <c r="R28" s="100"/>
      <c r="S28" s="100"/>
      <c r="T28" s="99">
        <f t="shared" si="0"/>
        <v>3</v>
      </c>
      <c r="U28" s="272">
        <f t="shared" si="1"/>
        <v>3</v>
      </c>
      <c r="V28" s="1210" t="s">
        <v>581</v>
      </c>
      <c r="W28" s="1073"/>
      <c r="X28" s="1075"/>
      <c r="Y28" s="1075"/>
      <c r="Z28" s="506"/>
      <c r="AA28" s="166"/>
      <c r="AB28" s="169"/>
      <c r="AC28" s="169"/>
      <c r="AD28" s="169"/>
      <c r="AE28" s="100"/>
      <c r="AF28" s="99">
        <f t="shared" si="2"/>
        <v>1</v>
      </c>
      <c r="AG28" s="272">
        <f t="shared" si="3"/>
        <v>1</v>
      </c>
      <c r="AH28" s="11" t="s">
        <v>1086</v>
      </c>
    </row>
    <row r="29" spans="1:34" ht="20.100000000000001" customHeight="1" x14ac:dyDescent="0.25">
      <c r="A29" s="26" t="s">
        <v>28</v>
      </c>
      <c r="B29" s="71" t="s">
        <v>262</v>
      </c>
      <c r="C29" s="110" t="s">
        <v>263</v>
      </c>
      <c r="D29" s="1209"/>
      <c r="E29" s="1209"/>
      <c r="F29" s="1209" t="s">
        <v>581</v>
      </c>
      <c r="G29" s="1209" t="s">
        <v>581</v>
      </c>
      <c r="H29" s="1209" t="s">
        <v>581</v>
      </c>
      <c r="I29" s="1209"/>
      <c r="J29" s="1209"/>
      <c r="K29" s="946"/>
      <c r="L29" s="516"/>
      <c r="M29" s="513"/>
      <c r="N29" s="27"/>
      <c r="O29" s="27"/>
      <c r="P29" s="27"/>
      <c r="Q29" s="27"/>
      <c r="R29" s="100"/>
      <c r="S29" s="100"/>
      <c r="T29" s="99">
        <f t="shared" si="0"/>
        <v>3</v>
      </c>
      <c r="U29" s="272">
        <f t="shared" si="1"/>
        <v>3</v>
      </c>
      <c r="V29" s="1210"/>
      <c r="W29" s="1073"/>
      <c r="X29" s="1075"/>
      <c r="Y29" s="1074"/>
      <c r="Z29" s="506"/>
      <c r="AA29" s="166"/>
      <c r="AB29" s="169"/>
      <c r="AC29" s="169"/>
      <c r="AD29" s="169"/>
      <c r="AE29" s="100"/>
      <c r="AF29" s="99">
        <f t="shared" si="2"/>
        <v>0</v>
      </c>
      <c r="AG29" s="272">
        <f t="shared" si="3"/>
        <v>0</v>
      </c>
      <c r="AH29" s="11" t="s">
        <v>1086</v>
      </c>
    </row>
    <row r="30" spans="1:34" ht="20.100000000000001" customHeight="1" x14ac:dyDescent="0.25">
      <c r="A30" s="26" t="s">
        <v>29</v>
      </c>
      <c r="B30" s="71" t="s">
        <v>633</v>
      </c>
      <c r="C30" s="110" t="s">
        <v>260</v>
      </c>
      <c r="D30" s="1209" t="s">
        <v>581</v>
      </c>
      <c r="E30" s="1209"/>
      <c r="F30" s="1209"/>
      <c r="G30" s="1209"/>
      <c r="H30" s="1209" t="s">
        <v>581</v>
      </c>
      <c r="I30" s="1209"/>
      <c r="J30" s="1209"/>
      <c r="K30" s="946"/>
      <c r="L30" s="794"/>
      <c r="M30" s="513"/>
      <c r="N30" s="702"/>
      <c r="O30" s="702"/>
      <c r="P30" s="702"/>
      <c r="Q30" s="702"/>
      <c r="R30" s="703"/>
      <c r="S30" s="703"/>
      <c r="T30" s="99">
        <f t="shared" ref="T30" si="4">SUM(COUNTIF(D30:S30,"X"),COUNTIF(D30:S30,"A"))</f>
        <v>2</v>
      </c>
      <c r="U30" s="272">
        <f t="shared" ref="U30" si="5">SUM(COUNTIF(D30:S30,"X"),COUNTIF(D30:S30,"B"))</f>
        <v>2</v>
      </c>
      <c r="V30" s="1210" t="s">
        <v>581</v>
      </c>
      <c r="W30" s="1073"/>
      <c r="X30" s="1075"/>
      <c r="Y30" s="1074"/>
      <c r="Z30" s="697"/>
      <c r="AA30" s="704"/>
      <c r="AB30" s="705"/>
      <c r="AC30" s="705"/>
      <c r="AD30" s="705"/>
      <c r="AE30" s="703"/>
      <c r="AF30" s="99">
        <f t="shared" ref="AF30" si="6">SUM(COUNTIF(V30:AE30,"X"),COUNTIF(V30:AE30,"A"))</f>
        <v>1</v>
      </c>
      <c r="AG30" s="272">
        <f t="shared" ref="AG30" si="7">SUM(COUNTIF(V30:AE30,"X"),COUNTIF(V30:AE30,"B"))</f>
        <v>1</v>
      </c>
      <c r="AH30" s="706" t="s">
        <v>1087</v>
      </c>
    </row>
    <row r="31" spans="1:34" ht="20.25" customHeight="1" x14ac:dyDescent="0.25">
      <c r="A31" s="164"/>
      <c r="B31" s="164"/>
      <c r="C31" s="164"/>
      <c r="D31" s="164">
        <f t="shared" ref="D31:M31" si="8">COUNTIF(D10:D30,"x")</f>
        <v>3</v>
      </c>
      <c r="E31" s="164">
        <f t="shared" si="8"/>
        <v>1</v>
      </c>
      <c r="F31" s="164">
        <f t="shared" si="8"/>
        <v>4</v>
      </c>
      <c r="G31" s="164">
        <f t="shared" si="8"/>
        <v>4</v>
      </c>
      <c r="H31" s="164">
        <f t="shared" si="8"/>
        <v>4</v>
      </c>
      <c r="I31" s="164">
        <f t="shared" si="8"/>
        <v>1</v>
      </c>
      <c r="J31" s="164">
        <f t="shared" si="8"/>
        <v>1</v>
      </c>
      <c r="K31" s="164">
        <f t="shared" si="8"/>
        <v>0</v>
      </c>
      <c r="L31" s="164">
        <f t="shared" si="8"/>
        <v>0</v>
      </c>
      <c r="M31" s="164">
        <f t="shared" si="8"/>
        <v>0</v>
      </c>
      <c r="N31" s="164"/>
      <c r="O31" s="164"/>
      <c r="P31" s="164"/>
      <c r="Q31" s="164"/>
      <c r="R31" s="164"/>
      <c r="S31" s="164"/>
      <c r="T31" s="164"/>
      <c r="U31" s="164"/>
      <c r="V31" s="164">
        <f t="shared" ref="V31:AE31" si="9">COUNTIF(V10:V30,"x")</f>
        <v>3</v>
      </c>
      <c r="W31" s="164">
        <f t="shared" si="9"/>
        <v>0</v>
      </c>
      <c r="X31" s="164">
        <f t="shared" si="9"/>
        <v>0</v>
      </c>
      <c r="Y31" s="164">
        <f t="shared" si="9"/>
        <v>0</v>
      </c>
      <c r="Z31" s="164">
        <f t="shared" si="9"/>
        <v>0</v>
      </c>
      <c r="AA31" s="164">
        <f t="shared" si="9"/>
        <v>0</v>
      </c>
      <c r="AB31" s="164">
        <f t="shared" si="9"/>
        <v>0</v>
      </c>
      <c r="AC31" s="164">
        <f t="shared" si="9"/>
        <v>0</v>
      </c>
      <c r="AD31" s="164">
        <f t="shared" si="9"/>
        <v>0</v>
      </c>
      <c r="AE31" s="164">
        <f t="shared" si="9"/>
        <v>0</v>
      </c>
      <c r="AF31" s="164"/>
      <c r="AG31" s="164"/>
      <c r="AH31" s="164"/>
    </row>
    <row r="32" spans="1:34" ht="15.75" x14ac:dyDescent="0.25">
      <c r="A32" s="1425" t="s">
        <v>578</v>
      </c>
      <c r="B32" s="1425"/>
      <c r="C32" s="1425"/>
      <c r="D32" s="1425"/>
      <c r="E32" s="1425"/>
      <c r="F32" s="1425"/>
      <c r="G32" s="1425"/>
      <c r="H32" s="1425"/>
      <c r="I32" s="1425"/>
      <c r="J32" s="1425"/>
      <c r="K32" s="1425"/>
      <c r="L32" s="1425"/>
      <c r="M32" s="1425"/>
      <c r="N32" s="1425"/>
      <c r="O32" s="1425"/>
      <c r="P32" s="1425"/>
      <c r="Q32" s="1425"/>
      <c r="R32" s="1425"/>
      <c r="S32" s="1425"/>
      <c r="T32" s="1425"/>
      <c r="U32" s="1425"/>
      <c r="V32" s="1425"/>
      <c r="W32" s="1425"/>
      <c r="X32" s="1425"/>
      <c r="Y32" s="1425"/>
      <c r="Z32" s="1425"/>
      <c r="AA32" s="1425"/>
      <c r="AB32" s="1425"/>
      <c r="AC32" s="1425"/>
      <c r="AD32" s="1425"/>
      <c r="AE32" s="1425"/>
      <c r="AF32" s="1425"/>
      <c r="AG32" s="1425"/>
      <c r="AH32" s="1425"/>
    </row>
    <row r="33" spans="1:34" ht="17.25" x14ac:dyDescent="0.3">
      <c r="A33" s="33"/>
      <c r="B33" s="33"/>
      <c r="C33" s="111"/>
      <c r="D33" s="34"/>
      <c r="E33" s="35"/>
      <c r="F33" s="35"/>
      <c r="G33" s="35"/>
      <c r="H33" s="35"/>
      <c r="I33" s="35"/>
      <c r="J33" s="35"/>
      <c r="K33" s="35"/>
      <c r="L33" s="35"/>
      <c r="M33" s="35"/>
      <c r="N33" s="35"/>
      <c r="O33" s="35"/>
      <c r="P33" s="35"/>
      <c r="Q33" s="35"/>
      <c r="R33" s="35"/>
      <c r="S33" s="35"/>
      <c r="T33" s="130"/>
      <c r="U33" s="130"/>
      <c r="V33" s="113"/>
      <c r="W33" s="113"/>
      <c r="X33" s="113" t="str">
        <f>'P.KH-TC'!P22</f>
        <v>TP. HCM, ngày 2 tháng 11 năm 2023</v>
      </c>
      <c r="Y33" s="113"/>
      <c r="Z33" s="113"/>
      <c r="AA33" s="113"/>
      <c r="AB33" s="113"/>
      <c r="AC33" s="113"/>
      <c r="AD33" s="113"/>
      <c r="AE33" s="113"/>
      <c r="AF33" s="113"/>
      <c r="AG33" s="113"/>
      <c r="AH33" s="113"/>
    </row>
    <row r="34" spans="1:34" ht="17.25" x14ac:dyDescent="0.3">
      <c r="A34" s="33"/>
      <c r="B34" s="33"/>
      <c r="C34" s="111"/>
      <c r="D34" s="34"/>
      <c r="V34" s="1422" t="s">
        <v>579</v>
      </c>
      <c r="W34" s="1422"/>
      <c r="X34" s="1422"/>
      <c r="Y34" s="1422"/>
      <c r="Z34" s="1422"/>
      <c r="AA34" s="1422"/>
      <c r="AB34" s="1422"/>
      <c r="AC34" s="1422"/>
      <c r="AD34" s="1422"/>
      <c r="AE34" s="1422"/>
      <c r="AF34" s="1422"/>
      <c r="AG34" s="1422"/>
      <c r="AH34" s="1422"/>
    </row>
    <row r="35" spans="1:34" ht="18.75" x14ac:dyDescent="0.3">
      <c r="B35" s="344" t="s">
        <v>805</v>
      </c>
      <c r="C35" s="342" t="s">
        <v>802</v>
      </c>
    </row>
    <row r="36" spans="1:34" ht="18.75" x14ac:dyDescent="0.3">
      <c r="B36" s="343" t="s">
        <v>803</v>
      </c>
      <c r="C36" s="343" t="s">
        <v>804</v>
      </c>
      <c r="L36" s="20" t="s">
        <v>1099</v>
      </c>
    </row>
    <row r="40" spans="1:34" ht="16.5" x14ac:dyDescent="0.25">
      <c r="V40" s="1432" t="s">
        <v>431</v>
      </c>
      <c r="W40" s="1433"/>
      <c r="X40" s="1433"/>
      <c r="Y40" s="1433"/>
      <c r="Z40" s="1433"/>
      <c r="AA40" s="1433"/>
      <c r="AB40" s="1433"/>
      <c r="AC40" s="1433"/>
      <c r="AD40" s="1433"/>
      <c r="AE40" s="1433"/>
      <c r="AF40" s="1433"/>
      <c r="AG40" s="1433"/>
      <c r="AH40" s="1433"/>
    </row>
  </sheetData>
  <autoFilter ref="A8:AH30"/>
  <mergeCells count="13">
    <mergeCell ref="A1:C1"/>
    <mergeCell ref="A2:C2"/>
    <mergeCell ref="A3:C3"/>
    <mergeCell ref="V1:AH1"/>
    <mergeCell ref="V2:AH2"/>
    <mergeCell ref="A5:AH5"/>
    <mergeCell ref="V7:AF7"/>
    <mergeCell ref="A32:AH32"/>
    <mergeCell ref="V34:AH34"/>
    <mergeCell ref="V40:AH40"/>
    <mergeCell ref="A7:A8"/>
    <mergeCell ref="B7:C7"/>
    <mergeCell ref="D7:T7"/>
  </mergeCells>
  <pageMargins left="0.7" right="0.7" top="0.75" bottom="0.75" header="0.3" footer="0.3"/>
  <pageSetup orientation="portrait" horizontalDpi="30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H32"/>
  <sheetViews>
    <sheetView showZeros="0" topLeftCell="A9" zoomScale="80" zoomScaleNormal="80" workbookViewId="0">
      <selection activeCell="V10" sqref="V10:Y22"/>
    </sheetView>
  </sheetViews>
  <sheetFormatPr defaultRowHeight="15" x14ac:dyDescent="0.25"/>
  <cols>
    <col min="1" max="1" width="5.28515625" customWidth="1"/>
    <col min="2" max="2" width="27.28515625" customWidth="1"/>
    <col min="3" max="3" width="14.7109375" style="112" customWidth="1"/>
    <col min="4" max="19" width="6.7109375" style="203" customWidth="1"/>
    <col min="20" max="21" width="6.7109375" style="125" customWidth="1"/>
    <col min="22" max="31" width="6.7109375" style="203" customWidth="1"/>
    <col min="32" max="33" width="6.7109375" style="125" customWidth="1"/>
    <col min="34" max="34" width="15.7109375" style="203" customWidth="1"/>
  </cols>
  <sheetData>
    <row r="1" spans="1:34" ht="15" customHeight="1" x14ac:dyDescent="0.25">
      <c r="A1" s="1400" t="s">
        <v>559</v>
      </c>
      <c r="B1" s="1400"/>
      <c r="C1" s="1400"/>
      <c r="D1" s="16"/>
      <c r="E1" s="17"/>
      <c r="F1" s="17"/>
      <c r="G1" s="17"/>
      <c r="H1" s="17"/>
      <c r="I1" s="17"/>
      <c r="J1" s="17"/>
      <c r="K1" s="17"/>
      <c r="L1" s="17"/>
      <c r="M1" s="17"/>
      <c r="N1" s="17"/>
      <c r="O1" s="17"/>
      <c r="P1" s="17"/>
      <c r="Q1" s="17"/>
      <c r="R1" s="17"/>
      <c r="S1" s="17"/>
      <c r="T1" s="17"/>
      <c r="U1" s="17"/>
      <c r="V1" s="1401" t="s">
        <v>560</v>
      </c>
      <c r="W1" s="1402"/>
      <c r="X1" s="1402"/>
      <c r="Y1" s="1402"/>
      <c r="Z1" s="1402"/>
      <c r="AA1" s="1402"/>
      <c r="AB1" s="1402"/>
      <c r="AC1" s="1402"/>
      <c r="AD1" s="1402"/>
      <c r="AE1" s="1402"/>
      <c r="AF1" s="1402"/>
      <c r="AG1" s="1402"/>
      <c r="AH1" s="1402"/>
    </row>
    <row r="2" spans="1:34" ht="15" customHeight="1" x14ac:dyDescent="0.25">
      <c r="A2" s="1400" t="s">
        <v>561</v>
      </c>
      <c r="B2" s="1400"/>
      <c r="C2" s="1400"/>
      <c r="D2" s="16"/>
      <c r="E2" s="17"/>
      <c r="F2" s="17"/>
      <c r="G2" s="17"/>
      <c r="H2" s="17"/>
      <c r="I2" s="17"/>
      <c r="J2" s="17"/>
      <c r="K2" s="17"/>
      <c r="L2" s="17"/>
      <c r="M2" s="17"/>
      <c r="N2" s="17"/>
      <c r="O2" s="17"/>
      <c r="P2" s="17"/>
      <c r="Q2" s="17"/>
      <c r="R2" s="17"/>
      <c r="S2" s="17"/>
      <c r="T2" s="17"/>
      <c r="U2" s="17"/>
      <c r="V2" s="1401" t="s">
        <v>562</v>
      </c>
      <c r="W2" s="1401"/>
      <c r="X2" s="1401"/>
      <c r="Y2" s="1401"/>
      <c r="Z2" s="1401"/>
      <c r="AA2" s="1401"/>
      <c r="AB2" s="1401"/>
      <c r="AC2" s="1401"/>
      <c r="AD2" s="1401"/>
      <c r="AE2" s="1401"/>
      <c r="AF2" s="1401"/>
      <c r="AG2" s="1401"/>
      <c r="AH2" s="1401"/>
    </row>
    <row r="3" spans="1:34" ht="15" customHeight="1" x14ac:dyDescent="0.25">
      <c r="A3" s="1401" t="s">
        <v>587</v>
      </c>
      <c r="B3" s="1401"/>
      <c r="C3" s="1401"/>
      <c r="D3" s="16"/>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row>
    <row r="4" spans="1:34" ht="15" customHeight="1" x14ac:dyDescent="0.25">
      <c r="A4" s="876"/>
      <c r="B4" s="876"/>
      <c r="C4" s="47"/>
      <c r="D4" s="16"/>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9" t="s">
        <v>563</v>
      </c>
    </row>
    <row r="5" spans="1:34" ht="30.75" customHeight="1" x14ac:dyDescent="0.25">
      <c r="A5" s="1412" t="str">
        <f>'P.QT-DV'!A5:AI5</f>
        <v>THỐNG KÊ CHI TIẾT KHỐI LƯỢNG CÔNG VIỆC THỰC HIỆN THÁNG 10/2023</v>
      </c>
      <c r="B5" s="1412"/>
      <c r="C5" s="1412"/>
      <c r="D5" s="1412"/>
      <c r="E5" s="1412"/>
      <c r="F5" s="1412"/>
      <c r="G5" s="1412"/>
      <c r="H5" s="1412"/>
      <c r="I5" s="1412"/>
      <c r="J5" s="1412"/>
      <c r="K5" s="1412"/>
      <c r="L5" s="1412"/>
      <c r="M5" s="1412"/>
      <c r="N5" s="1412"/>
      <c r="O5" s="1412"/>
      <c r="P5" s="1412"/>
      <c r="Q5" s="1412"/>
      <c r="R5" s="1412"/>
      <c r="S5" s="1412"/>
      <c r="T5" s="1412"/>
      <c r="U5" s="1412"/>
      <c r="V5" s="1412"/>
      <c r="W5" s="1412"/>
      <c r="X5" s="1412"/>
      <c r="Y5" s="1412"/>
      <c r="Z5" s="1412"/>
      <c r="AA5" s="1412"/>
      <c r="AB5" s="1412"/>
      <c r="AC5" s="1412"/>
      <c r="AD5" s="1412"/>
      <c r="AE5" s="1412"/>
      <c r="AF5" s="1412"/>
      <c r="AG5" s="1412"/>
      <c r="AH5" s="1412"/>
    </row>
    <row r="7" spans="1:34" ht="33.75" customHeight="1" x14ac:dyDescent="0.25">
      <c r="A7" s="1423" t="s">
        <v>0</v>
      </c>
      <c r="B7" s="1420" t="s">
        <v>564</v>
      </c>
      <c r="C7" s="1420"/>
      <c r="D7" s="1426" t="s">
        <v>110</v>
      </c>
      <c r="E7" s="1427"/>
      <c r="F7" s="1427"/>
      <c r="G7" s="1427"/>
      <c r="H7" s="1427"/>
      <c r="I7" s="1427"/>
      <c r="J7" s="1427"/>
      <c r="K7" s="1427"/>
      <c r="L7" s="1427"/>
      <c r="M7" s="1427"/>
      <c r="N7" s="1427"/>
      <c r="O7" s="1427"/>
      <c r="P7" s="1427"/>
      <c r="Q7" s="1427"/>
      <c r="R7" s="1427"/>
      <c r="S7" s="1427"/>
      <c r="T7" s="1428"/>
      <c r="U7" s="878"/>
      <c r="V7" s="1426" t="s">
        <v>565</v>
      </c>
      <c r="W7" s="1427"/>
      <c r="X7" s="1427"/>
      <c r="Y7" s="1427"/>
      <c r="Z7" s="1427"/>
      <c r="AA7" s="1427"/>
      <c r="AB7" s="1427"/>
      <c r="AC7" s="1427"/>
      <c r="AD7" s="1427"/>
      <c r="AE7" s="1427"/>
      <c r="AF7" s="1428"/>
      <c r="AG7" s="879"/>
      <c r="AH7" s="23" t="s">
        <v>4</v>
      </c>
    </row>
    <row r="8" spans="1:34" ht="57.75" customHeight="1" x14ac:dyDescent="0.25">
      <c r="A8" s="1424"/>
      <c r="B8" s="877" t="s">
        <v>461</v>
      </c>
      <c r="C8" s="135" t="s">
        <v>566</v>
      </c>
      <c r="D8" s="212" t="s">
        <v>567</v>
      </c>
      <c r="E8" s="212" t="s">
        <v>568</v>
      </c>
      <c r="F8" s="212" t="s">
        <v>569</v>
      </c>
      <c r="G8" s="212" t="s">
        <v>570</v>
      </c>
      <c r="H8" s="212" t="s">
        <v>571</v>
      </c>
      <c r="I8" s="212" t="s">
        <v>572</v>
      </c>
      <c r="J8" s="212" t="s">
        <v>573</v>
      </c>
      <c r="K8" s="212" t="s">
        <v>703</v>
      </c>
      <c r="L8" s="212" t="s">
        <v>704</v>
      </c>
      <c r="M8" s="212" t="s">
        <v>748</v>
      </c>
      <c r="N8" s="131" t="s">
        <v>749</v>
      </c>
      <c r="O8" s="131" t="s">
        <v>750</v>
      </c>
      <c r="P8" s="131" t="s">
        <v>780</v>
      </c>
      <c r="Q8" s="131" t="s">
        <v>784</v>
      </c>
      <c r="R8" s="131" t="s">
        <v>796</v>
      </c>
      <c r="S8" s="131" t="s">
        <v>797</v>
      </c>
      <c r="T8" s="133" t="s">
        <v>588</v>
      </c>
      <c r="U8" s="267" t="s">
        <v>795</v>
      </c>
      <c r="V8" s="132" t="s">
        <v>567</v>
      </c>
      <c r="W8" s="132" t="s">
        <v>568</v>
      </c>
      <c r="X8" s="132" t="s">
        <v>569</v>
      </c>
      <c r="Y8" s="132" t="s">
        <v>570</v>
      </c>
      <c r="Z8" s="132" t="s">
        <v>571</v>
      </c>
      <c r="AA8" s="132" t="s">
        <v>572</v>
      </c>
      <c r="AB8" s="132" t="s">
        <v>573</v>
      </c>
      <c r="AC8" s="132" t="s">
        <v>703</v>
      </c>
      <c r="AD8" s="132" t="s">
        <v>704</v>
      </c>
      <c r="AE8" s="132" t="s">
        <v>748</v>
      </c>
      <c r="AF8" s="134" t="s">
        <v>588</v>
      </c>
      <c r="AG8" s="267" t="s">
        <v>795</v>
      </c>
      <c r="AH8" s="23"/>
    </row>
    <row r="9" spans="1:34" ht="24.75" customHeight="1" x14ac:dyDescent="0.25">
      <c r="A9" s="22" t="s">
        <v>574</v>
      </c>
      <c r="B9" s="23"/>
      <c r="C9" s="268">
        <v>-1</v>
      </c>
      <c r="D9" s="268">
        <v>-2</v>
      </c>
      <c r="E9" s="268">
        <v>-3</v>
      </c>
      <c r="F9" s="268">
        <v>-4</v>
      </c>
      <c r="G9" s="268">
        <v>-5</v>
      </c>
      <c r="H9" s="268">
        <v>-6</v>
      </c>
      <c r="I9" s="268">
        <v>-7</v>
      </c>
      <c r="J9" s="268">
        <v>-8</v>
      </c>
      <c r="K9" s="268">
        <v>-9</v>
      </c>
      <c r="L9" s="268">
        <v>-10</v>
      </c>
      <c r="M9" s="268">
        <v>-11</v>
      </c>
      <c r="N9" s="268">
        <v>-12</v>
      </c>
      <c r="O9" s="268">
        <v>-13</v>
      </c>
      <c r="P9" s="268">
        <v>-14</v>
      </c>
      <c r="Q9" s="268">
        <v>-15</v>
      </c>
      <c r="R9" s="268">
        <v>-16</v>
      </c>
      <c r="S9" s="268">
        <v>-17</v>
      </c>
      <c r="T9" s="268">
        <v>-18</v>
      </c>
      <c r="U9" s="269">
        <v>-19</v>
      </c>
      <c r="V9" s="268">
        <v>-20</v>
      </c>
      <c r="W9" s="268">
        <v>-21</v>
      </c>
      <c r="X9" s="268">
        <v>-22</v>
      </c>
      <c r="Y9" s="268">
        <v>-23</v>
      </c>
      <c r="Z9" s="268">
        <v>-24</v>
      </c>
      <c r="AA9" s="268">
        <v>-25</v>
      </c>
      <c r="AB9" s="268">
        <v>-26</v>
      </c>
      <c r="AC9" s="268">
        <v>-27</v>
      </c>
      <c r="AD9" s="268">
        <v>-28</v>
      </c>
      <c r="AE9" s="268">
        <v>-29</v>
      </c>
      <c r="AF9" s="268">
        <v>-30</v>
      </c>
      <c r="AG9" s="269">
        <v>-31</v>
      </c>
      <c r="AH9" s="268">
        <v>-32</v>
      </c>
    </row>
    <row r="10" spans="1:34" ht="20.100000000000001" customHeight="1" x14ac:dyDescent="0.25">
      <c r="A10" s="26">
        <v>1</v>
      </c>
      <c r="B10" s="75" t="s">
        <v>224</v>
      </c>
      <c r="C10" s="109" t="s">
        <v>225</v>
      </c>
      <c r="D10" s="1212"/>
      <c r="E10" s="1212" t="s">
        <v>581</v>
      </c>
      <c r="F10" s="1081"/>
      <c r="G10" s="1081"/>
      <c r="H10" s="883"/>
      <c r="I10" s="883"/>
      <c r="J10" s="794"/>
      <c r="K10" s="794"/>
      <c r="L10" s="516"/>
      <c r="M10" s="513"/>
      <c r="N10" s="27"/>
      <c r="O10" s="27"/>
      <c r="P10" s="27"/>
      <c r="Q10" s="27"/>
      <c r="R10" s="100"/>
      <c r="S10" s="100"/>
      <c r="T10" s="99">
        <f t="shared" ref="T10:T22" si="0">SUM(COUNTIF(D10:S10,"X"),COUNTIF(D10:S10,"A"))</f>
        <v>1</v>
      </c>
      <c r="U10" s="272">
        <f t="shared" ref="U10:U22" si="1">SUM(COUNTIF(D10:S10,"X"),COUNTIF(D10:S10,"B"))</f>
        <v>1</v>
      </c>
      <c r="V10" s="1212" t="s">
        <v>581</v>
      </c>
      <c r="W10" s="1183"/>
      <c r="X10" s="1213"/>
      <c r="Y10" s="1183"/>
      <c r="Z10" s="45"/>
      <c r="AA10" s="166"/>
      <c r="AB10" s="169"/>
      <c r="AC10" s="169"/>
      <c r="AD10" s="169"/>
      <c r="AE10" s="100"/>
      <c r="AF10" s="99">
        <f t="shared" ref="AF10:AF22" si="2">SUM(COUNTIF(V10:AE10,"X"),COUNTIF(V10:AE10,"A"))</f>
        <v>1</v>
      </c>
      <c r="AG10" s="272">
        <f t="shared" ref="AG10:AG22" si="3">SUM(COUNTIF(V10:AE10,"X"),COUNTIF(V10:AE10,"B"))</f>
        <v>1</v>
      </c>
      <c r="AH10" s="11"/>
    </row>
    <row r="11" spans="1:34" ht="20.100000000000001" customHeight="1" x14ac:dyDescent="0.25">
      <c r="A11" s="26">
        <v>2</v>
      </c>
      <c r="B11" s="75" t="s">
        <v>226</v>
      </c>
      <c r="C11" s="109" t="s">
        <v>227</v>
      </c>
      <c r="D11" s="1212" t="s">
        <v>581</v>
      </c>
      <c r="E11" s="1212" t="s">
        <v>581</v>
      </c>
      <c r="F11" s="1081"/>
      <c r="G11" s="1081"/>
      <c r="H11" s="883"/>
      <c r="I11" s="883"/>
      <c r="J11" s="794"/>
      <c r="K11" s="794"/>
      <c r="L11" s="512"/>
      <c r="M11" s="513"/>
      <c r="N11" s="27"/>
      <c r="O11" s="27"/>
      <c r="P11" s="27"/>
      <c r="Q11" s="27"/>
      <c r="R11" s="100"/>
      <c r="S11" s="100"/>
      <c r="T11" s="99">
        <f t="shared" si="0"/>
        <v>2</v>
      </c>
      <c r="U11" s="272">
        <f t="shared" si="1"/>
        <v>2</v>
      </c>
      <c r="V11" s="1182"/>
      <c r="W11" s="1183"/>
      <c r="X11" s="1212" t="s">
        <v>581</v>
      </c>
      <c r="Y11" s="1183"/>
      <c r="Z11" s="45"/>
      <c r="AA11" s="166"/>
      <c r="AB11" s="169"/>
      <c r="AC11" s="169"/>
      <c r="AD11" s="169"/>
      <c r="AE11" s="100"/>
      <c r="AF11" s="99">
        <f t="shared" si="2"/>
        <v>1</v>
      </c>
      <c r="AG11" s="272">
        <f t="shared" si="3"/>
        <v>1</v>
      </c>
      <c r="AH11" s="11"/>
    </row>
    <row r="12" spans="1:34" s="519" customFormat="1" ht="20.100000000000001" customHeight="1" x14ac:dyDescent="0.25">
      <c r="A12" s="26">
        <v>3</v>
      </c>
      <c r="B12" s="71" t="s">
        <v>228</v>
      </c>
      <c r="C12" s="511" t="s">
        <v>229</v>
      </c>
      <c r="D12" s="1212" t="s">
        <v>581</v>
      </c>
      <c r="E12" s="1212" t="s">
        <v>581</v>
      </c>
      <c r="F12" s="1081"/>
      <c r="G12" s="1081"/>
      <c r="H12" s="883"/>
      <c r="I12" s="883"/>
      <c r="J12" s="794"/>
      <c r="K12" s="794"/>
      <c r="L12" s="512"/>
      <c r="M12" s="513"/>
      <c r="N12" s="514"/>
      <c r="O12" s="514"/>
      <c r="P12" s="514"/>
      <c r="Q12" s="514"/>
      <c r="R12" s="515"/>
      <c r="S12" s="515"/>
      <c r="T12" s="99">
        <f t="shared" si="0"/>
        <v>2</v>
      </c>
      <c r="U12" s="272">
        <f t="shared" si="1"/>
        <v>2</v>
      </c>
      <c r="V12" s="1182"/>
      <c r="W12" s="1183"/>
      <c r="X12" s="1213"/>
      <c r="Y12" s="1212" t="s">
        <v>581</v>
      </c>
      <c r="Z12" s="45"/>
      <c r="AA12" s="516"/>
      <c r="AB12" s="517"/>
      <c r="AC12" s="517"/>
      <c r="AD12" s="517"/>
      <c r="AE12" s="515"/>
      <c r="AF12" s="99">
        <f t="shared" si="2"/>
        <v>1</v>
      </c>
      <c r="AG12" s="272">
        <f t="shared" si="3"/>
        <v>1</v>
      </c>
      <c r="AH12" s="518"/>
    </row>
    <row r="13" spans="1:34" ht="20.100000000000001" customHeight="1" x14ac:dyDescent="0.25">
      <c r="A13" s="26">
        <v>4</v>
      </c>
      <c r="B13" s="75" t="s">
        <v>230</v>
      </c>
      <c r="C13" s="109" t="s">
        <v>231</v>
      </c>
      <c r="D13" s="1212"/>
      <c r="E13" s="1212"/>
      <c r="F13" s="1081"/>
      <c r="G13" s="1081"/>
      <c r="H13" s="883"/>
      <c r="I13" s="883"/>
      <c r="J13" s="794"/>
      <c r="K13" s="794"/>
      <c r="L13" s="512"/>
      <c r="M13" s="513"/>
      <c r="N13" s="27"/>
      <c r="O13" s="27"/>
      <c r="P13" s="27"/>
      <c r="Q13" s="27"/>
      <c r="R13" s="100"/>
      <c r="S13" s="100"/>
      <c r="T13" s="99">
        <f t="shared" si="0"/>
        <v>0</v>
      </c>
      <c r="U13" s="272">
        <f t="shared" si="1"/>
        <v>0</v>
      </c>
      <c r="V13" s="1182"/>
      <c r="W13" s="1183"/>
      <c r="X13" s="1213"/>
      <c r="Y13" s="1183"/>
      <c r="Z13" s="45"/>
      <c r="AA13" s="166"/>
      <c r="AB13" s="169"/>
      <c r="AC13" s="169"/>
      <c r="AD13" s="169"/>
      <c r="AE13" s="100"/>
      <c r="AF13" s="99">
        <f t="shared" si="2"/>
        <v>0</v>
      </c>
      <c r="AG13" s="272">
        <f t="shared" si="3"/>
        <v>0</v>
      </c>
      <c r="AH13" s="11"/>
    </row>
    <row r="14" spans="1:34" ht="20.100000000000001" customHeight="1" x14ac:dyDescent="0.25">
      <c r="A14" s="26">
        <v>5</v>
      </c>
      <c r="B14" s="75" t="s">
        <v>232</v>
      </c>
      <c r="C14" s="109" t="s">
        <v>233</v>
      </c>
      <c r="D14" s="1212"/>
      <c r="E14" s="1212" t="s">
        <v>581</v>
      </c>
      <c r="F14" s="1081"/>
      <c r="G14" s="1081"/>
      <c r="H14" s="883"/>
      <c r="I14" s="883"/>
      <c r="J14" s="794"/>
      <c r="K14" s="794"/>
      <c r="L14" s="512"/>
      <c r="M14" s="513"/>
      <c r="N14" s="27"/>
      <c r="O14" s="27"/>
      <c r="P14" s="27"/>
      <c r="Q14" s="27"/>
      <c r="R14" s="100"/>
      <c r="S14" s="100"/>
      <c r="T14" s="99">
        <f t="shared" si="0"/>
        <v>1</v>
      </c>
      <c r="U14" s="272">
        <f t="shared" si="1"/>
        <v>1</v>
      </c>
      <c r="V14" s="1214"/>
      <c r="W14" s="1212" t="s">
        <v>581</v>
      </c>
      <c r="X14" s="1215"/>
      <c r="Y14" s="1192"/>
      <c r="Z14" s="45"/>
      <c r="AA14" s="166"/>
      <c r="AB14" s="169"/>
      <c r="AC14" s="169"/>
      <c r="AD14" s="169"/>
      <c r="AE14" s="100"/>
      <c r="AF14" s="99">
        <f t="shared" si="2"/>
        <v>1</v>
      </c>
      <c r="AG14" s="272">
        <f t="shared" si="3"/>
        <v>1</v>
      </c>
      <c r="AH14" s="11"/>
    </row>
    <row r="15" spans="1:34" ht="20.100000000000001" customHeight="1" x14ac:dyDescent="0.25">
      <c r="A15" s="26">
        <v>6</v>
      </c>
      <c r="B15" s="75" t="s">
        <v>234</v>
      </c>
      <c r="C15" s="109" t="s">
        <v>235</v>
      </c>
      <c r="D15" s="1212"/>
      <c r="E15" s="1212"/>
      <c r="F15" s="1081"/>
      <c r="G15" s="1081"/>
      <c r="H15" s="883"/>
      <c r="I15" s="883"/>
      <c r="J15" s="794"/>
      <c r="K15" s="794"/>
      <c r="L15" s="512"/>
      <c r="M15" s="513"/>
      <c r="N15" s="27"/>
      <c r="O15" s="27"/>
      <c r="P15" s="27"/>
      <c r="Q15" s="27"/>
      <c r="R15" s="100"/>
      <c r="S15" s="100"/>
      <c r="T15" s="99">
        <f t="shared" si="0"/>
        <v>0</v>
      </c>
      <c r="U15" s="272">
        <f t="shared" si="1"/>
        <v>0</v>
      </c>
      <c r="V15" s="1183"/>
      <c r="W15" s="1192"/>
      <c r="X15" s="1213"/>
      <c r="Y15" s="1183"/>
      <c r="Z15" s="45"/>
      <c r="AA15" s="166"/>
      <c r="AB15" s="169"/>
      <c r="AC15" s="169"/>
      <c r="AD15" s="169"/>
      <c r="AE15" s="100"/>
      <c r="AF15" s="99">
        <f t="shared" si="2"/>
        <v>0</v>
      </c>
      <c r="AG15" s="272">
        <f t="shared" si="3"/>
        <v>0</v>
      </c>
      <c r="AH15" s="11" t="s">
        <v>1084</v>
      </c>
    </row>
    <row r="16" spans="1:34" ht="20.100000000000001" customHeight="1" x14ac:dyDescent="0.25">
      <c r="A16" s="26">
        <v>7</v>
      </c>
      <c r="B16" s="75" t="s">
        <v>236</v>
      </c>
      <c r="C16" s="110" t="s">
        <v>237</v>
      </c>
      <c r="D16" s="1212"/>
      <c r="E16" s="1212" t="s">
        <v>581</v>
      </c>
      <c r="F16" s="1081"/>
      <c r="G16" s="1081"/>
      <c r="H16" s="883"/>
      <c r="I16" s="883"/>
      <c r="J16" s="794"/>
      <c r="K16" s="794"/>
      <c r="L16" s="516"/>
      <c r="M16" s="513"/>
      <c r="N16" s="27"/>
      <c r="O16" s="27"/>
      <c r="P16" s="27"/>
      <c r="Q16" s="27"/>
      <c r="R16" s="100"/>
      <c r="S16" s="100"/>
      <c r="T16" s="99">
        <f t="shared" si="0"/>
        <v>1</v>
      </c>
      <c r="U16" s="272">
        <f t="shared" si="1"/>
        <v>1</v>
      </c>
      <c r="V16" s="1216"/>
      <c r="W16" s="1192"/>
      <c r="X16" s="1217"/>
      <c r="Y16" s="1185"/>
      <c r="Z16" s="45"/>
      <c r="AA16" s="166"/>
      <c r="AB16" s="169"/>
      <c r="AC16" s="169"/>
      <c r="AD16" s="169"/>
      <c r="AE16" s="100"/>
      <c r="AF16" s="99">
        <f t="shared" si="2"/>
        <v>0</v>
      </c>
      <c r="AG16" s="272">
        <f t="shared" si="3"/>
        <v>0</v>
      </c>
      <c r="AH16" s="11"/>
    </row>
    <row r="17" spans="1:34" ht="20.100000000000001" customHeight="1" x14ac:dyDescent="0.25">
      <c r="A17" s="26">
        <v>8</v>
      </c>
      <c r="B17" s="75" t="s">
        <v>238</v>
      </c>
      <c r="C17" s="110" t="s">
        <v>239</v>
      </c>
      <c r="D17" s="1212"/>
      <c r="E17" s="1212" t="s">
        <v>581</v>
      </c>
      <c r="F17" s="1081"/>
      <c r="G17" s="1081"/>
      <c r="H17" s="883"/>
      <c r="I17" s="883"/>
      <c r="J17" s="794"/>
      <c r="K17" s="794"/>
      <c r="L17" s="512"/>
      <c r="M17" s="513"/>
      <c r="N17" s="27"/>
      <c r="O17" s="27"/>
      <c r="P17" s="27"/>
      <c r="Q17" s="27"/>
      <c r="R17" s="100"/>
      <c r="S17" s="100"/>
      <c r="T17" s="99">
        <f t="shared" si="0"/>
        <v>1</v>
      </c>
      <c r="U17" s="272">
        <f t="shared" si="1"/>
        <v>1</v>
      </c>
      <c r="V17" s="1182"/>
      <c r="W17" s="1212" t="s">
        <v>581</v>
      </c>
      <c r="X17" s="1213"/>
      <c r="Y17" s="1183"/>
      <c r="Z17" s="45"/>
      <c r="AA17" s="166"/>
      <c r="AB17" s="169"/>
      <c r="AC17" s="169"/>
      <c r="AD17" s="169"/>
      <c r="AE17" s="100"/>
      <c r="AF17" s="99">
        <f t="shared" si="2"/>
        <v>1</v>
      </c>
      <c r="AG17" s="272">
        <f t="shared" si="3"/>
        <v>1</v>
      </c>
      <c r="AH17" s="11" t="s">
        <v>1085</v>
      </c>
    </row>
    <row r="18" spans="1:34" ht="20.100000000000001" customHeight="1" x14ac:dyDescent="0.25">
      <c r="A18" s="26">
        <v>9</v>
      </c>
      <c r="B18" s="75" t="s">
        <v>240</v>
      </c>
      <c r="C18" s="110" t="s">
        <v>241</v>
      </c>
      <c r="D18" s="1212"/>
      <c r="E18" s="1212"/>
      <c r="F18" s="1081"/>
      <c r="G18" s="1081"/>
      <c r="H18" s="883"/>
      <c r="I18" s="883"/>
      <c r="J18" s="794"/>
      <c r="K18" s="794"/>
      <c r="L18" s="512"/>
      <c r="M18" s="513"/>
      <c r="N18" s="27"/>
      <c r="O18" s="27"/>
      <c r="P18" s="27"/>
      <c r="Q18" s="27"/>
      <c r="R18" s="100"/>
      <c r="S18" s="100"/>
      <c r="T18" s="99">
        <f t="shared" si="0"/>
        <v>0</v>
      </c>
      <c r="U18" s="272">
        <f t="shared" si="1"/>
        <v>0</v>
      </c>
      <c r="V18" s="1212" t="s">
        <v>581</v>
      </c>
      <c r="W18" s="1192"/>
      <c r="X18" s="1213"/>
      <c r="Y18" s="1183"/>
      <c r="Z18" s="45"/>
      <c r="AA18" s="166"/>
      <c r="AB18" s="169"/>
      <c r="AC18" s="169"/>
      <c r="AD18" s="169"/>
      <c r="AE18" s="100"/>
      <c r="AF18" s="99">
        <f t="shared" si="2"/>
        <v>1</v>
      </c>
      <c r="AG18" s="272">
        <f t="shared" si="3"/>
        <v>1</v>
      </c>
      <c r="AH18" s="11"/>
    </row>
    <row r="19" spans="1:34" ht="20.100000000000001" customHeight="1" x14ac:dyDescent="0.25">
      <c r="A19" s="26">
        <v>10</v>
      </c>
      <c r="B19" s="71" t="s">
        <v>790</v>
      </c>
      <c r="C19" s="110" t="s">
        <v>242</v>
      </c>
      <c r="D19" s="1212"/>
      <c r="E19" s="1212"/>
      <c r="F19" s="1081"/>
      <c r="G19" s="1081"/>
      <c r="H19" s="883"/>
      <c r="I19" s="883"/>
      <c r="J19" s="794"/>
      <c r="K19" s="794"/>
      <c r="L19" s="512"/>
      <c r="M19" s="513"/>
      <c r="N19" s="27"/>
      <c r="O19" s="27"/>
      <c r="P19" s="27"/>
      <c r="Q19" s="27"/>
      <c r="R19" s="100"/>
      <c r="S19" s="100"/>
      <c r="T19" s="99">
        <f t="shared" si="0"/>
        <v>0</v>
      </c>
      <c r="U19" s="272">
        <f t="shared" si="1"/>
        <v>0</v>
      </c>
      <c r="V19" s="1182"/>
      <c r="W19" s="1192"/>
      <c r="X19" s="1213"/>
      <c r="Y19" s="1183"/>
      <c r="Z19" s="45"/>
      <c r="AA19" s="166"/>
      <c r="AB19" s="169"/>
      <c r="AC19" s="169"/>
      <c r="AD19" s="169"/>
      <c r="AE19" s="100"/>
      <c r="AF19" s="99">
        <f t="shared" si="2"/>
        <v>0</v>
      </c>
      <c r="AG19" s="272">
        <f t="shared" si="3"/>
        <v>0</v>
      </c>
      <c r="AH19" s="11"/>
    </row>
    <row r="20" spans="1:34" ht="29.25" customHeight="1" x14ac:dyDescent="0.25">
      <c r="A20" s="26">
        <v>11</v>
      </c>
      <c r="B20" s="71" t="s">
        <v>243</v>
      </c>
      <c r="C20" s="110" t="s">
        <v>244</v>
      </c>
      <c r="D20" s="1212"/>
      <c r="E20" s="1212" t="s">
        <v>581</v>
      </c>
      <c r="F20" s="1081"/>
      <c r="G20" s="1081"/>
      <c r="H20" s="883"/>
      <c r="I20" s="883"/>
      <c r="J20" s="794"/>
      <c r="K20" s="794"/>
      <c r="L20" s="512"/>
      <c r="M20" s="513"/>
      <c r="N20" s="27"/>
      <c r="O20" s="27"/>
      <c r="P20" s="27"/>
      <c r="Q20" s="27"/>
      <c r="R20" s="100"/>
      <c r="S20" s="100"/>
      <c r="T20" s="99">
        <f t="shared" si="0"/>
        <v>1</v>
      </c>
      <c r="U20" s="272">
        <f t="shared" si="1"/>
        <v>1</v>
      </c>
      <c r="V20" s="1182"/>
      <c r="W20" s="1192"/>
      <c r="X20" s="1213"/>
      <c r="Y20" s="1183"/>
      <c r="Z20" s="45"/>
      <c r="AA20" s="166"/>
      <c r="AB20" s="169"/>
      <c r="AC20" s="169"/>
      <c r="AD20" s="169"/>
      <c r="AE20" s="100"/>
      <c r="AF20" s="99">
        <f t="shared" si="2"/>
        <v>0</v>
      </c>
      <c r="AG20" s="272">
        <f t="shared" si="3"/>
        <v>0</v>
      </c>
      <c r="AH20" s="566"/>
    </row>
    <row r="21" spans="1:34" ht="20.100000000000001" customHeight="1" x14ac:dyDescent="0.25">
      <c r="A21" s="26">
        <v>12</v>
      </c>
      <c r="B21" s="932" t="s">
        <v>947</v>
      </c>
      <c r="C21" s="947" t="s">
        <v>948</v>
      </c>
      <c r="D21" s="1212"/>
      <c r="E21" s="1212"/>
      <c r="F21" s="1081"/>
      <c r="G21" s="1081"/>
      <c r="H21" s="883"/>
      <c r="I21" s="883"/>
      <c r="J21" s="794"/>
      <c r="K21" s="794"/>
      <c r="L21" s="800"/>
      <c r="M21" s="801"/>
      <c r="N21" s="32"/>
      <c r="O21" s="32"/>
      <c r="P21" s="32"/>
      <c r="Q21" s="32"/>
      <c r="R21" s="102"/>
      <c r="S21" s="102"/>
      <c r="T21" s="99">
        <f t="shared" ref="T21" si="4">SUM(COUNTIF(D21:S21,"X"),COUNTIF(D21:S21,"A"))</f>
        <v>0</v>
      </c>
      <c r="U21" s="272">
        <f t="shared" ref="U21" si="5">SUM(COUNTIF(D21:S21,"X"),COUNTIF(D21:S21,"B"))</f>
        <v>0</v>
      </c>
      <c r="V21" s="1182"/>
      <c r="W21" s="1192"/>
      <c r="X21" s="1213"/>
      <c r="Y21" s="1183"/>
      <c r="Z21" s="506"/>
      <c r="AA21" s="168"/>
      <c r="AB21" s="169"/>
      <c r="AC21" s="169"/>
      <c r="AD21" s="169"/>
      <c r="AE21" s="102"/>
      <c r="AF21" s="99">
        <f t="shared" ref="AF21" si="6">SUM(COUNTIF(V21:AE21,"X"),COUNTIF(V21:AE21,"A"))</f>
        <v>0</v>
      </c>
      <c r="AG21" s="272">
        <f t="shared" ref="AG21" si="7">SUM(COUNTIF(V21:AE21,"X"),COUNTIF(V21:AE21,"B"))</f>
        <v>0</v>
      </c>
      <c r="AH21" s="11"/>
    </row>
    <row r="22" spans="1:34" ht="20.100000000000001" customHeight="1" x14ac:dyDescent="0.25">
      <c r="A22" s="26">
        <v>12</v>
      </c>
      <c r="B22" s="932" t="s">
        <v>1119</v>
      </c>
      <c r="C22" s="947" t="s">
        <v>1120</v>
      </c>
      <c r="D22" s="1212"/>
      <c r="E22" s="1212"/>
      <c r="F22" s="1081"/>
      <c r="G22" s="1081"/>
      <c r="H22" s="883"/>
      <c r="I22" s="883"/>
      <c r="J22" s="794"/>
      <c r="K22" s="794"/>
      <c r="L22" s="800"/>
      <c r="M22" s="801"/>
      <c r="N22" s="32"/>
      <c r="O22" s="32"/>
      <c r="P22" s="32"/>
      <c r="Q22" s="32"/>
      <c r="R22" s="102"/>
      <c r="S22" s="102"/>
      <c r="T22" s="99">
        <f t="shared" si="0"/>
        <v>0</v>
      </c>
      <c r="U22" s="272">
        <f t="shared" si="1"/>
        <v>0</v>
      </c>
      <c r="V22" s="1212" t="s">
        <v>581</v>
      </c>
      <c r="W22" s="1192"/>
      <c r="X22" s="1213"/>
      <c r="Y22" s="1183"/>
      <c r="Z22" s="506"/>
      <c r="AA22" s="168"/>
      <c r="AB22" s="169"/>
      <c r="AC22" s="169"/>
      <c r="AD22" s="169"/>
      <c r="AE22" s="102"/>
      <c r="AF22" s="99">
        <f t="shared" si="2"/>
        <v>1</v>
      </c>
      <c r="AG22" s="272">
        <f t="shared" si="3"/>
        <v>1</v>
      </c>
      <c r="AH22" s="11"/>
    </row>
    <row r="23" spans="1:34" ht="20.25" customHeight="1" x14ac:dyDescent="0.25">
      <c r="A23" s="164"/>
      <c r="B23" s="164"/>
      <c r="C23" s="164"/>
      <c r="D23" s="164">
        <f t="shared" ref="D23:M23" si="8">COUNTIF(D10:D22,"x")</f>
        <v>2</v>
      </c>
      <c r="E23" s="164">
        <f t="shared" si="8"/>
        <v>7</v>
      </c>
      <c r="F23" s="164">
        <f t="shared" si="8"/>
        <v>0</v>
      </c>
      <c r="G23" s="164">
        <f t="shared" si="8"/>
        <v>0</v>
      </c>
      <c r="H23" s="164">
        <f t="shared" si="8"/>
        <v>0</v>
      </c>
      <c r="I23" s="164">
        <f t="shared" si="8"/>
        <v>0</v>
      </c>
      <c r="J23" s="164">
        <f t="shared" si="8"/>
        <v>0</v>
      </c>
      <c r="K23" s="164">
        <f t="shared" si="8"/>
        <v>0</v>
      </c>
      <c r="L23" s="164">
        <f t="shared" si="8"/>
        <v>0</v>
      </c>
      <c r="M23" s="164">
        <f t="shared" si="8"/>
        <v>0</v>
      </c>
      <c r="N23" s="164"/>
      <c r="O23" s="164"/>
      <c r="P23" s="164"/>
      <c r="Q23" s="164"/>
      <c r="R23" s="164"/>
      <c r="S23" s="164"/>
      <c r="T23" s="164"/>
      <c r="U23" s="164"/>
      <c r="V23" s="164">
        <f t="shared" ref="V23:AE23" si="9">COUNTIF(V10:V22,"x")</f>
        <v>3</v>
      </c>
      <c r="W23" s="164">
        <f t="shared" si="9"/>
        <v>2</v>
      </c>
      <c r="X23" s="164">
        <f t="shared" si="9"/>
        <v>1</v>
      </c>
      <c r="Y23" s="164">
        <f t="shared" si="9"/>
        <v>1</v>
      </c>
      <c r="Z23" s="164">
        <f t="shared" si="9"/>
        <v>0</v>
      </c>
      <c r="AA23" s="164">
        <f t="shared" si="9"/>
        <v>0</v>
      </c>
      <c r="AB23" s="164">
        <f t="shared" si="9"/>
        <v>0</v>
      </c>
      <c r="AC23" s="164">
        <f t="shared" si="9"/>
        <v>0</v>
      </c>
      <c r="AD23" s="164">
        <f t="shared" si="9"/>
        <v>0</v>
      </c>
      <c r="AE23" s="164">
        <f t="shared" si="9"/>
        <v>0</v>
      </c>
      <c r="AF23" s="164"/>
      <c r="AG23" s="164"/>
      <c r="AH23" s="164"/>
    </row>
    <row r="24" spans="1:34" ht="15.75" x14ac:dyDescent="0.25">
      <c r="A24" s="1425" t="s">
        <v>578</v>
      </c>
      <c r="B24" s="1425"/>
      <c r="C24" s="1425"/>
      <c r="D24" s="1425"/>
      <c r="E24" s="1425"/>
      <c r="F24" s="1425"/>
      <c r="G24" s="1425"/>
      <c r="H24" s="1425"/>
      <c r="I24" s="1425"/>
      <c r="J24" s="1425"/>
      <c r="K24" s="1425"/>
      <c r="L24" s="1425"/>
      <c r="M24" s="1425"/>
      <c r="N24" s="1425"/>
      <c r="O24" s="1425"/>
      <c r="P24" s="1425"/>
      <c r="Q24" s="1425"/>
      <c r="R24" s="1425"/>
      <c r="S24" s="1425"/>
      <c r="T24" s="1425"/>
      <c r="U24" s="1425"/>
      <c r="V24" s="1425"/>
      <c r="W24" s="1425"/>
      <c r="X24" s="1425"/>
      <c r="Y24" s="1425"/>
      <c r="Z24" s="1425"/>
      <c r="AA24" s="1425"/>
      <c r="AB24" s="1425"/>
      <c r="AC24" s="1425"/>
      <c r="AD24" s="1425"/>
      <c r="AE24" s="1425"/>
      <c r="AF24" s="1425"/>
      <c r="AG24" s="1425"/>
      <c r="AH24" s="1425"/>
    </row>
    <row r="25" spans="1:34" ht="17.25" x14ac:dyDescent="0.3">
      <c r="A25" s="33"/>
      <c r="B25" s="33"/>
      <c r="C25" s="111"/>
      <c r="D25" s="34"/>
      <c r="E25" s="35"/>
      <c r="F25" s="35"/>
      <c r="G25" s="35"/>
      <c r="H25" s="35"/>
      <c r="I25" s="35"/>
      <c r="J25" s="35"/>
      <c r="K25" s="35"/>
      <c r="L25" s="35"/>
      <c r="M25" s="35"/>
      <c r="N25" s="35"/>
      <c r="O25" s="35"/>
      <c r="P25" s="35"/>
      <c r="Q25" s="35"/>
      <c r="R25" s="35"/>
      <c r="S25" s="35"/>
      <c r="T25" s="130"/>
      <c r="U25" s="130"/>
      <c r="V25" s="113"/>
      <c r="W25" s="113"/>
      <c r="X25" s="113" t="str">
        <f>'P.KH-TC'!P22</f>
        <v>TP. HCM, ngày 2 tháng 11 năm 2023</v>
      </c>
      <c r="Y25" s="113"/>
      <c r="Z25" s="113"/>
      <c r="AA25" s="113"/>
      <c r="AB25" s="113"/>
      <c r="AC25" s="113"/>
      <c r="AD25" s="113"/>
      <c r="AE25" s="113"/>
      <c r="AF25" s="113"/>
      <c r="AG25" s="113"/>
      <c r="AH25" s="113"/>
    </row>
    <row r="26" spans="1:34" ht="17.25" x14ac:dyDescent="0.3">
      <c r="A26" s="33"/>
      <c r="B26" s="33"/>
      <c r="C26" s="111"/>
      <c r="D26" s="34"/>
      <c r="V26" s="1422" t="s">
        <v>579</v>
      </c>
      <c r="W26" s="1422"/>
      <c r="X26" s="1422"/>
      <c r="Y26" s="1422"/>
      <c r="Z26" s="1422"/>
      <c r="AA26" s="1422"/>
      <c r="AB26" s="1422"/>
      <c r="AC26" s="1422"/>
      <c r="AD26" s="1422"/>
      <c r="AE26" s="1422"/>
      <c r="AF26" s="1422"/>
      <c r="AG26" s="1422"/>
      <c r="AH26" s="1422"/>
    </row>
    <row r="27" spans="1:34" ht="18.75" x14ac:dyDescent="0.3">
      <c r="B27" s="344" t="s">
        <v>805</v>
      </c>
      <c r="C27" s="342" t="s">
        <v>802</v>
      </c>
    </row>
    <row r="28" spans="1:34" ht="18.75" x14ac:dyDescent="0.3">
      <c r="B28" s="343" t="s">
        <v>803</v>
      </c>
      <c r="C28" s="343" t="s">
        <v>804</v>
      </c>
    </row>
    <row r="32" spans="1:34" ht="16.5" x14ac:dyDescent="0.25">
      <c r="V32" s="1432" t="s">
        <v>1089</v>
      </c>
      <c r="W32" s="1433"/>
      <c r="X32" s="1433"/>
      <c r="Y32" s="1433"/>
      <c r="Z32" s="1433"/>
      <c r="AA32" s="1433"/>
      <c r="AB32" s="1433"/>
      <c r="AC32" s="1433"/>
      <c r="AD32" s="1433"/>
      <c r="AE32" s="1433"/>
      <c r="AF32" s="1433"/>
      <c r="AG32" s="1433"/>
      <c r="AH32" s="1433"/>
    </row>
  </sheetData>
  <autoFilter ref="A8:AH22"/>
  <mergeCells count="13">
    <mergeCell ref="V32:AH32"/>
    <mergeCell ref="A7:A8"/>
    <mergeCell ref="B7:C7"/>
    <mergeCell ref="D7:T7"/>
    <mergeCell ref="V7:AF7"/>
    <mergeCell ref="A24:AH24"/>
    <mergeCell ref="V26:AH26"/>
    <mergeCell ref="A5:AH5"/>
    <mergeCell ref="A1:C1"/>
    <mergeCell ref="V1:AH1"/>
    <mergeCell ref="A2:C2"/>
    <mergeCell ref="V2:AH2"/>
    <mergeCell ref="A3:C3"/>
  </mergeCells>
  <pageMargins left="0.7" right="0.7" top="0.75" bottom="0.75" header="0.3" footer="0.3"/>
  <pageSetup orientation="portrait" horizontalDpi="30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B33"/>
  <sheetViews>
    <sheetView showZeros="0" topLeftCell="A13" workbookViewId="0">
      <selection activeCell="K22" sqref="K22"/>
    </sheetView>
  </sheetViews>
  <sheetFormatPr defaultRowHeight="15" x14ac:dyDescent="0.25"/>
  <cols>
    <col min="1" max="1" width="5.28515625" style="356" customWidth="1"/>
    <col min="2" max="2" width="21.5703125" style="356" customWidth="1"/>
    <col min="3" max="3" width="14.7109375" style="356" customWidth="1"/>
    <col min="4" max="13" width="5.7109375" style="388" customWidth="1"/>
    <col min="14" max="27" width="6.7109375" style="388" customWidth="1"/>
    <col min="28" max="28" width="18.140625" style="388" customWidth="1"/>
    <col min="29" max="16384" width="9.140625" style="356"/>
  </cols>
  <sheetData>
    <row r="1" spans="1:28" ht="15" customHeight="1" x14ac:dyDescent="0.25">
      <c r="A1" s="1400" t="s">
        <v>559</v>
      </c>
      <c r="B1" s="1400"/>
      <c r="C1" s="1400"/>
      <c r="D1" s="16"/>
      <c r="E1" s="17"/>
      <c r="F1" s="17"/>
      <c r="G1" s="17"/>
      <c r="H1" s="17"/>
      <c r="I1" s="17"/>
      <c r="J1" s="17"/>
      <c r="K1" s="17"/>
      <c r="L1" s="17"/>
      <c r="M1" s="17"/>
      <c r="N1" s="17"/>
      <c r="O1" s="17"/>
      <c r="P1" s="1401" t="s">
        <v>560</v>
      </c>
      <c r="Q1" s="1401"/>
      <c r="R1" s="1401"/>
      <c r="S1" s="1401"/>
      <c r="T1" s="1401"/>
      <c r="U1" s="1401"/>
      <c r="V1" s="1401"/>
      <c r="W1" s="1401"/>
      <c r="X1" s="1402"/>
      <c r="Y1" s="1402"/>
      <c r="Z1" s="1402"/>
      <c r="AA1" s="1402"/>
      <c r="AB1" s="1402"/>
    </row>
    <row r="2" spans="1:28" ht="15" customHeight="1" x14ac:dyDescent="0.25">
      <c r="A2" s="1400" t="s">
        <v>561</v>
      </c>
      <c r="B2" s="1400"/>
      <c r="C2" s="1400"/>
      <c r="D2" s="16"/>
      <c r="E2" s="17"/>
      <c r="F2" s="17"/>
      <c r="G2" s="17"/>
      <c r="H2" s="17"/>
      <c r="I2" s="17"/>
      <c r="J2" s="17"/>
      <c r="K2" s="17"/>
      <c r="L2" s="17"/>
      <c r="M2" s="17"/>
      <c r="N2" s="17"/>
      <c r="O2" s="17"/>
      <c r="P2" s="1401" t="s">
        <v>562</v>
      </c>
      <c r="Q2" s="1401"/>
      <c r="R2" s="1401"/>
      <c r="S2" s="1401"/>
      <c r="T2" s="1401"/>
      <c r="U2" s="1401"/>
      <c r="V2" s="1401"/>
      <c r="W2" s="1401"/>
      <c r="X2" s="1401"/>
      <c r="Y2" s="1401"/>
      <c r="Z2" s="1401"/>
      <c r="AA2" s="1401"/>
      <c r="AB2" s="1401"/>
    </row>
    <row r="3" spans="1:28" ht="15" customHeight="1" x14ac:dyDescent="0.25">
      <c r="A3" s="1401" t="s">
        <v>589</v>
      </c>
      <c r="B3" s="1401"/>
      <c r="C3" s="1401"/>
      <c r="D3" s="16"/>
      <c r="E3" s="17"/>
      <c r="F3" s="17"/>
      <c r="G3" s="17"/>
      <c r="H3" s="17"/>
      <c r="I3" s="17"/>
      <c r="J3" s="17"/>
      <c r="K3" s="17"/>
      <c r="L3" s="17"/>
      <c r="M3" s="17"/>
      <c r="N3" s="17"/>
      <c r="O3" s="17"/>
      <c r="P3" s="17"/>
      <c r="Q3" s="17"/>
      <c r="R3" s="17"/>
      <c r="S3" s="17"/>
      <c r="T3" s="17"/>
      <c r="U3" s="17"/>
      <c r="V3" s="17"/>
      <c r="W3" s="17"/>
      <c r="X3" s="17"/>
      <c r="Y3" s="17"/>
      <c r="Z3" s="17"/>
      <c r="AA3" s="17"/>
      <c r="AB3" s="17"/>
    </row>
    <row r="4" spans="1:28" ht="15" customHeight="1" x14ac:dyDescent="0.25">
      <c r="A4" s="18"/>
      <c r="B4" s="18"/>
      <c r="C4" s="18"/>
      <c r="D4" s="16"/>
      <c r="E4" s="17"/>
      <c r="F4" s="17"/>
      <c r="G4" s="17"/>
      <c r="H4" s="17"/>
      <c r="I4" s="17"/>
      <c r="J4" s="17"/>
      <c r="K4" s="17"/>
      <c r="L4" s="17"/>
      <c r="M4" s="17"/>
      <c r="N4" s="17"/>
      <c r="O4" s="17"/>
      <c r="P4" s="17"/>
      <c r="Q4" s="17"/>
      <c r="R4" s="17"/>
      <c r="S4" s="17"/>
      <c r="T4" s="17"/>
      <c r="U4" s="17"/>
      <c r="V4" s="17"/>
      <c r="W4" s="17"/>
      <c r="X4" s="17"/>
      <c r="Y4" s="17"/>
      <c r="Z4" s="17"/>
      <c r="AA4" s="17"/>
      <c r="AB4" s="19" t="s">
        <v>563</v>
      </c>
    </row>
    <row r="5" spans="1:28" ht="30.75" customHeight="1" x14ac:dyDescent="0.25">
      <c r="A5" s="1390" t="str">
        <f>K.KHCB!A5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row>
    <row r="7" spans="1:28" ht="33.75" customHeight="1" x14ac:dyDescent="0.25">
      <c r="A7" s="1396" t="s">
        <v>0</v>
      </c>
      <c r="B7" s="1398" t="s">
        <v>564</v>
      </c>
      <c r="C7" s="1398"/>
      <c r="D7" s="1391" t="s">
        <v>110</v>
      </c>
      <c r="E7" s="1392"/>
      <c r="F7" s="1392"/>
      <c r="G7" s="1392"/>
      <c r="H7" s="1392"/>
      <c r="I7" s="1392"/>
      <c r="J7" s="1392"/>
      <c r="K7" s="1392"/>
      <c r="L7" s="1392"/>
      <c r="M7" s="1392"/>
      <c r="N7" s="1393"/>
      <c r="O7" s="358"/>
      <c r="P7" s="1391" t="s">
        <v>565</v>
      </c>
      <c r="Q7" s="1392"/>
      <c r="R7" s="1392"/>
      <c r="S7" s="1392"/>
      <c r="T7" s="1392"/>
      <c r="U7" s="1392"/>
      <c r="V7" s="1392"/>
      <c r="W7" s="1392"/>
      <c r="X7" s="1392"/>
      <c r="Y7" s="1392"/>
      <c r="Z7" s="1393"/>
      <c r="AA7" s="359"/>
      <c r="AB7" s="360" t="s">
        <v>4</v>
      </c>
    </row>
    <row r="8" spans="1:28" ht="79.5" customHeight="1" x14ac:dyDescent="0.25">
      <c r="A8" s="1397"/>
      <c r="B8" s="120" t="s">
        <v>461</v>
      </c>
      <c r="C8" s="120" t="s">
        <v>566</v>
      </c>
      <c r="D8" s="212" t="s">
        <v>567</v>
      </c>
      <c r="E8" s="212" t="s">
        <v>568</v>
      </c>
      <c r="F8" s="212" t="s">
        <v>569</v>
      </c>
      <c r="G8" s="212" t="s">
        <v>570</v>
      </c>
      <c r="H8" s="212" t="s">
        <v>571</v>
      </c>
      <c r="I8" s="212" t="s">
        <v>572</v>
      </c>
      <c r="J8" s="212" t="s">
        <v>573</v>
      </c>
      <c r="K8" s="212" t="s">
        <v>703</v>
      </c>
      <c r="L8" s="212" t="s">
        <v>704</v>
      </c>
      <c r="M8" s="212" t="s">
        <v>748</v>
      </c>
      <c r="N8" s="134" t="s">
        <v>588</v>
      </c>
      <c r="O8" s="361" t="s">
        <v>795</v>
      </c>
      <c r="P8" s="212" t="s">
        <v>567</v>
      </c>
      <c r="Q8" s="212" t="s">
        <v>568</v>
      </c>
      <c r="R8" s="212" t="s">
        <v>569</v>
      </c>
      <c r="S8" s="212" t="s">
        <v>570</v>
      </c>
      <c r="T8" s="132" t="s">
        <v>571</v>
      </c>
      <c r="U8" s="132" t="s">
        <v>572</v>
      </c>
      <c r="V8" s="132" t="s">
        <v>573</v>
      </c>
      <c r="W8" s="132" t="s">
        <v>703</v>
      </c>
      <c r="X8" s="132" t="s">
        <v>704</v>
      </c>
      <c r="Y8" s="132" t="s">
        <v>748</v>
      </c>
      <c r="Z8" s="134" t="s">
        <v>588</v>
      </c>
      <c r="AA8" s="361" t="s">
        <v>795</v>
      </c>
      <c r="AB8" s="360"/>
    </row>
    <row r="9" spans="1:28" ht="24.75" customHeight="1" x14ac:dyDescent="0.25">
      <c r="A9" s="362" t="s">
        <v>574</v>
      </c>
      <c r="B9" s="352"/>
      <c r="C9" s="273">
        <v>-1</v>
      </c>
      <c r="D9" s="273">
        <v>-2</v>
      </c>
      <c r="E9" s="273">
        <v>-3</v>
      </c>
      <c r="F9" s="273">
        <v>-4</v>
      </c>
      <c r="G9" s="273">
        <v>-5</v>
      </c>
      <c r="H9" s="273">
        <v>-6</v>
      </c>
      <c r="I9" s="273">
        <v>-7</v>
      </c>
      <c r="J9" s="273">
        <v>-8</v>
      </c>
      <c r="K9" s="273">
        <v>-9</v>
      </c>
      <c r="L9" s="273">
        <v>-10</v>
      </c>
      <c r="M9" s="273">
        <v>-11</v>
      </c>
      <c r="N9" s="273">
        <v>-12</v>
      </c>
      <c r="O9" s="274">
        <v>-13</v>
      </c>
      <c r="P9" s="273">
        <v>-14</v>
      </c>
      <c r="Q9" s="273">
        <v>-15</v>
      </c>
      <c r="R9" s="273">
        <v>-16</v>
      </c>
      <c r="S9" s="273">
        <v>-17</v>
      </c>
      <c r="T9" s="273">
        <v>-18</v>
      </c>
      <c r="U9" s="273">
        <v>-19</v>
      </c>
      <c r="V9" s="273">
        <v>-20</v>
      </c>
      <c r="W9" s="273">
        <v>-21</v>
      </c>
      <c r="X9" s="273">
        <v>-22</v>
      </c>
      <c r="Y9" s="273">
        <v>-23</v>
      </c>
      <c r="Z9" s="273">
        <v>-24</v>
      </c>
      <c r="AA9" s="274">
        <v>-25</v>
      </c>
      <c r="AB9" s="273">
        <v>-26</v>
      </c>
    </row>
    <row r="10" spans="1:28" ht="20.100000000000001" customHeight="1" x14ac:dyDescent="0.25">
      <c r="A10" s="143">
        <v>1</v>
      </c>
      <c r="B10" s="49" t="s">
        <v>282</v>
      </c>
      <c r="C10" s="427" t="s">
        <v>647</v>
      </c>
      <c r="D10" s="1177"/>
      <c r="E10" s="1177"/>
      <c r="F10" s="1218" t="s">
        <v>581</v>
      </c>
      <c r="G10" s="1218"/>
      <c r="H10" s="1219"/>
      <c r="I10" s="1077"/>
      <c r="J10" s="1078"/>
      <c r="K10" s="366"/>
      <c r="L10" s="366"/>
      <c r="M10" s="366"/>
      <c r="N10" s="398">
        <f t="shared" ref="N10:N24" si="0">SUM(COUNTIF(D10:M10,"X"),COUNTIF(D10:M10,"A"))</f>
        <v>1</v>
      </c>
      <c r="O10" s="411">
        <f t="shared" ref="O10:O24" si="1">SUM(COUNTIF(D10:M10,"X"),COUNTIF(D10:M10,"B"))</f>
        <v>1</v>
      </c>
      <c r="P10" s="1071"/>
      <c r="Q10" s="1071"/>
      <c r="R10" s="770"/>
      <c r="S10" s="770"/>
      <c r="T10" s="770"/>
      <c r="U10" s="116"/>
      <c r="V10" s="29"/>
      <c r="W10" s="29"/>
      <c r="X10" s="29"/>
      <c r="Y10" s="29"/>
      <c r="Z10" s="398">
        <f t="shared" ref="Z10:Z24" si="2">SUM(COUNTIF(P10:Y10,"X"),COUNTIF(P10:Y10,"A"))</f>
        <v>0</v>
      </c>
      <c r="AA10" s="411">
        <f t="shared" ref="AA10:AA24" si="3">SUM(COUNTIF(P10:Y10,"X"),COUNTIF(P10:Y10,"B"))</f>
        <v>0</v>
      </c>
      <c r="AB10" s="369"/>
    </row>
    <row r="11" spans="1:28" ht="20.100000000000001" customHeight="1" x14ac:dyDescent="0.25">
      <c r="A11" s="143">
        <v>2</v>
      </c>
      <c r="B11" s="49" t="s">
        <v>276</v>
      </c>
      <c r="C11" s="427" t="s">
        <v>641</v>
      </c>
      <c r="D11" s="1177"/>
      <c r="E11" s="1177"/>
      <c r="F11" s="1220"/>
      <c r="G11" s="1218"/>
      <c r="H11" s="1219"/>
      <c r="I11" s="1077"/>
      <c r="J11" s="1078"/>
      <c r="K11" s="366"/>
      <c r="L11" s="366"/>
      <c r="M11" s="366"/>
      <c r="N11" s="398">
        <f>SUM(COUNTIF(D11:M11,"X"),COUNTIF(D11:M11,"A"))</f>
        <v>0</v>
      </c>
      <c r="O11" s="411">
        <f>SUM(COUNTIF(D11:M11,"X"),COUNTIF(D11:M11,"B"))</f>
        <v>0</v>
      </c>
      <c r="P11" s="1071"/>
      <c r="Q11" s="1071"/>
      <c r="R11" s="770"/>
      <c r="S11" s="770"/>
      <c r="T11" s="770"/>
      <c r="U11" s="116"/>
      <c r="V11" s="29"/>
      <c r="W11" s="29"/>
      <c r="X11" s="29"/>
      <c r="Y11" s="29"/>
      <c r="Z11" s="398">
        <f>SUM(COUNTIF(P11:Y11,"X"),COUNTIF(P11:Y11,"A"))</f>
        <v>0</v>
      </c>
      <c r="AA11" s="411">
        <f>SUM(COUNTIF(P11:Y11,"X"),COUNTIF(P11:Y11,"B"))</f>
        <v>0</v>
      </c>
      <c r="AB11" s="369"/>
    </row>
    <row r="12" spans="1:28" ht="20.100000000000001" customHeight="1" x14ac:dyDescent="0.25">
      <c r="A12" s="143">
        <v>3</v>
      </c>
      <c r="B12" s="49" t="s">
        <v>269</v>
      </c>
      <c r="C12" s="427" t="s">
        <v>634</v>
      </c>
      <c r="D12" s="1177"/>
      <c r="E12" s="1177"/>
      <c r="F12" s="1220"/>
      <c r="G12" s="1218"/>
      <c r="H12" s="1219"/>
      <c r="I12" s="1077"/>
      <c r="J12" s="1078"/>
      <c r="K12" s="366"/>
      <c r="L12" s="366"/>
      <c r="M12" s="366"/>
      <c r="N12" s="398">
        <f t="shared" si="0"/>
        <v>0</v>
      </c>
      <c r="O12" s="411">
        <f t="shared" si="1"/>
        <v>0</v>
      </c>
      <c r="P12" s="1071"/>
      <c r="Q12" s="1071"/>
      <c r="R12" s="770"/>
      <c r="S12" s="770"/>
      <c r="T12" s="770"/>
      <c r="U12" s="116"/>
      <c r="V12" s="29"/>
      <c r="W12" s="29"/>
      <c r="X12" s="29"/>
      <c r="Y12" s="29"/>
      <c r="Z12" s="398">
        <f t="shared" si="2"/>
        <v>0</v>
      </c>
      <c r="AA12" s="411">
        <f t="shared" si="3"/>
        <v>0</v>
      </c>
      <c r="AB12" s="369"/>
    </row>
    <row r="13" spans="1:28" ht="20.100000000000001" customHeight="1" x14ac:dyDescent="0.25">
      <c r="A13" s="143">
        <v>4</v>
      </c>
      <c r="B13" s="49" t="s">
        <v>270</v>
      </c>
      <c r="C13" s="427" t="s">
        <v>635</v>
      </c>
      <c r="D13" s="1177"/>
      <c r="E13" s="1177"/>
      <c r="F13" s="1220"/>
      <c r="G13" s="1218"/>
      <c r="H13" s="1219"/>
      <c r="I13" s="1077"/>
      <c r="J13" s="1078"/>
      <c r="K13" s="366"/>
      <c r="L13" s="366"/>
      <c r="M13" s="366"/>
      <c r="N13" s="398">
        <f t="shared" si="0"/>
        <v>0</v>
      </c>
      <c r="O13" s="411">
        <f t="shared" si="1"/>
        <v>0</v>
      </c>
      <c r="P13" s="1071"/>
      <c r="Q13" s="1071"/>
      <c r="R13" s="770"/>
      <c r="S13" s="770"/>
      <c r="T13" s="770"/>
      <c r="U13" s="116"/>
      <c r="V13" s="29"/>
      <c r="W13" s="29"/>
      <c r="X13" s="29"/>
      <c r="Y13" s="29"/>
      <c r="Z13" s="398">
        <f t="shared" si="2"/>
        <v>0</v>
      </c>
      <c r="AA13" s="411">
        <f t="shared" si="3"/>
        <v>0</v>
      </c>
      <c r="AB13" s="369"/>
    </row>
    <row r="14" spans="1:28" ht="20.100000000000001" customHeight="1" x14ac:dyDescent="0.25">
      <c r="A14" s="143">
        <v>5</v>
      </c>
      <c r="B14" s="49" t="s">
        <v>271</v>
      </c>
      <c r="C14" s="427" t="s">
        <v>636</v>
      </c>
      <c r="D14" s="1177" t="s">
        <v>581</v>
      </c>
      <c r="E14" s="1177"/>
      <c r="F14" s="1220"/>
      <c r="G14" s="1218"/>
      <c r="H14" s="1219"/>
      <c r="I14" s="1077"/>
      <c r="J14" s="1078"/>
      <c r="K14" s="366"/>
      <c r="L14" s="366"/>
      <c r="M14" s="366"/>
      <c r="N14" s="398">
        <f t="shared" si="0"/>
        <v>1</v>
      </c>
      <c r="O14" s="411">
        <f t="shared" si="1"/>
        <v>1</v>
      </c>
      <c r="P14" s="1071"/>
      <c r="Q14" s="1071"/>
      <c r="R14" s="770"/>
      <c r="S14" s="770"/>
      <c r="T14" s="770"/>
      <c r="U14" s="116"/>
      <c r="V14" s="29"/>
      <c r="W14" s="29"/>
      <c r="X14" s="29"/>
      <c r="Y14" s="29"/>
      <c r="Z14" s="398">
        <f t="shared" si="2"/>
        <v>0</v>
      </c>
      <c r="AA14" s="411">
        <f t="shared" si="3"/>
        <v>0</v>
      </c>
      <c r="AB14" s="369"/>
    </row>
    <row r="15" spans="1:28" ht="20.100000000000001" customHeight="1" x14ac:dyDescent="0.25">
      <c r="A15" s="143">
        <v>6</v>
      </c>
      <c r="B15" s="50" t="s">
        <v>272</v>
      </c>
      <c r="C15" s="427" t="s">
        <v>637</v>
      </c>
      <c r="D15" s="1177"/>
      <c r="E15" s="1177"/>
      <c r="F15" s="1220"/>
      <c r="G15" s="1218"/>
      <c r="H15" s="1218"/>
      <c r="I15" s="1076"/>
      <c r="J15" s="1079"/>
      <c r="K15" s="366"/>
      <c r="L15" s="366"/>
      <c r="M15" s="366"/>
      <c r="N15" s="398">
        <f t="shared" si="0"/>
        <v>0</v>
      </c>
      <c r="O15" s="411">
        <f t="shared" si="1"/>
        <v>0</v>
      </c>
      <c r="P15" s="1071"/>
      <c r="Q15" s="1071"/>
      <c r="R15" s="770"/>
      <c r="S15" s="770"/>
      <c r="T15" s="770"/>
      <c r="U15" s="116"/>
      <c r="V15" s="29"/>
      <c r="W15" s="29"/>
      <c r="X15" s="29"/>
      <c r="Y15" s="29"/>
      <c r="Z15" s="398">
        <f t="shared" si="2"/>
        <v>0</v>
      </c>
      <c r="AA15" s="411">
        <f t="shared" si="3"/>
        <v>0</v>
      </c>
      <c r="AB15" s="369"/>
    </row>
    <row r="16" spans="1:28" ht="20.100000000000001" customHeight="1" x14ac:dyDescent="0.25">
      <c r="A16" s="143">
        <v>7</v>
      </c>
      <c r="B16" s="49" t="s">
        <v>273</v>
      </c>
      <c r="C16" s="427" t="s">
        <v>638</v>
      </c>
      <c r="D16" s="1177"/>
      <c r="E16" s="1177"/>
      <c r="F16" s="1220"/>
      <c r="G16" s="1218"/>
      <c r="H16" s="1218"/>
      <c r="I16" s="1076"/>
      <c r="J16" s="1079"/>
      <c r="K16" s="366"/>
      <c r="L16" s="366"/>
      <c r="M16" s="366"/>
      <c r="N16" s="398">
        <f t="shared" si="0"/>
        <v>0</v>
      </c>
      <c r="O16" s="411">
        <f t="shared" si="1"/>
        <v>0</v>
      </c>
      <c r="P16" s="1071"/>
      <c r="Q16" s="1071"/>
      <c r="R16" s="770"/>
      <c r="S16" s="770"/>
      <c r="T16" s="770"/>
      <c r="U16" s="116"/>
      <c r="V16" s="29"/>
      <c r="W16" s="29"/>
      <c r="X16" s="29"/>
      <c r="Y16" s="29"/>
      <c r="Z16" s="398">
        <f t="shared" si="2"/>
        <v>0</v>
      </c>
      <c r="AA16" s="411">
        <f t="shared" si="3"/>
        <v>0</v>
      </c>
      <c r="AB16" s="369"/>
    </row>
    <row r="17" spans="1:28" ht="20.100000000000001" customHeight="1" x14ac:dyDescent="0.25">
      <c r="A17" s="143">
        <v>8</v>
      </c>
      <c r="B17" s="49" t="s">
        <v>274</v>
      </c>
      <c r="C17" s="427" t="s">
        <v>639</v>
      </c>
      <c r="D17" s="1177"/>
      <c r="E17" s="1177"/>
      <c r="F17" s="1220"/>
      <c r="G17" s="1218"/>
      <c r="H17" s="1218"/>
      <c r="I17" s="1076"/>
      <c r="J17" s="1079"/>
      <c r="K17" s="366"/>
      <c r="L17" s="366"/>
      <c r="M17" s="366"/>
      <c r="N17" s="398">
        <f t="shared" si="0"/>
        <v>0</v>
      </c>
      <c r="O17" s="411">
        <f t="shared" si="1"/>
        <v>0</v>
      </c>
      <c r="P17" s="1071"/>
      <c r="Q17" s="1071"/>
      <c r="R17" s="770"/>
      <c r="S17" s="770"/>
      <c r="T17" s="770"/>
      <c r="U17" s="116"/>
      <c r="V17" s="29"/>
      <c r="W17" s="29"/>
      <c r="X17" s="29"/>
      <c r="Y17" s="29"/>
      <c r="Z17" s="398">
        <f t="shared" si="2"/>
        <v>0</v>
      </c>
      <c r="AA17" s="411">
        <f t="shared" si="3"/>
        <v>0</v>
      </c>
      <c r="AB17" s="369"/>
    </row>
    <row r="18" spans="1:28" ht="20.100000000000001" customHeight="1" x14ac:dyDescent="0.25">
      <c r="A18" s="143">
        <v>9</v>
      </c>
      <c r="B18" s="50" t="s">
        <v>275</v>
      </c>
      <c r="C18" s="427" t="s">
        <v>640</v>
      </c>
      <c r="D18" s="1177"/>
      <c r="E18" s="1221"/>
      <c r="F18" s="1220"/>
      <c r="G18" s="1218"/>
      <c r="H18" s="1218"/>
      <c r="I18" s="1076"/>
      <c r="J18" s="1079"/>
      <c r="K18" s="366"/>
      <c r="L18" s="366"/>
      <c r="M18" s="366"/>
      <c r="N18" s="398">
        <f t="shared" si="0"/>
        <v>0</v>
      </c>
      <c r="O18" s="411">
        <f t="shared" si="1"/>
        <v>0</v>
      </c>
      <c r="P18" s="1071"/>
      <c r="Q18" s="1071"/>
      <c r="R18" s="770"/>
      <c r="S18" s="770"/>
      <c r="T18" s="770"/>
      <c r="U18" s="116"/>
      <c r="V18" s="29"/>
      <c r="W18" s="29"/>
      <c r="X18" s="29"/>
      <c r="Y18" s="29"/>
      <c r="Z18" s="398">
        <f t="shared" si="2"/>
        <v>0</v>
      </c>
      <c r="AA18" s="411">
        <f t="shared" si="3"/>
        <v>0</v>
      </c>
      <c r="AB18" s="369"/>
    </row>
    <row r="19" spans="1:28" ht="20.100000000000001" customHeight="1" x14ac:dyDescent="0.25">
      <c r="A19" s="143">
        <v>10</v>
      </c>
      <c r="B19" s="49" t="s">
        <v>277</v>
      </c>
      <c r="C19" s="427" t="s">
        <v>642</v>
      </c>
      <c r="D19" s="1177"/>
      <c r="E19" s="1221"/>
      <c r="F19" s="1220"/>
      <c r="G19" s="1218"/>
      <c r="H19" s="1218"/>
      <c r="I19" s="1076"/>
      <c r="J19" s="1079"/>
      <c r="K19" s="366"/>
      <c r="L19" s="366"/>
      <c r="M19" s="366"/>
      <c r="N19" s="398">
        <f t="shared" si="0"/>
        <v>0</v>
      </c>
      <c r="O19" s="411">
        <f t="shared" si="1"/>
        <v>0</v>
      </c>
      <c r="P19" s="1071"/>
      <c r="Q19" s="1071"/>
      <c r="R19" s="770"/>
      <c r="S19" s="770"/>
      <c r="T19" s="770"/>
      <c r="U19" s="116"/>
      <c r="V19" s="29"/>
      <c r="W19" s="29"/>
      <c r="X19" s="29"/>
      <c r="Y19" s="29"/>
      <c r="Z19" s="398">
        <f t="shared" si="2"/>
        <v>0</v>
      </c>
      <c r="AA19" s="411">
        <f t="shared" si="3"/>
        <v>0</v>
      </c>
      <c r="AB19" s="369"/>
    </row>
    <row r="20" spans="1:28" ht="20.100000000000001" customHeight="1" x14ac:dyDescent="0.25">
      <c r="A20" s="143">
        <v>11</v>
      </c>
      <c r="B20" s="49" t="s">
        <v>278</v>
      </c>
      <c r="C20" s="427" t="s">
        <v>643</v>
      </c>
      <c r="D20" s="1177"/>
      <c r="E20" s="1221" t="s">
        <v>581</v>
      </c>
      <c r="F20" s="1220"/>
      <c r="G20" s="1218"/>
      <c r="H20" s="1218" t="s">
        <v>581</v>
      </c>
      <c r="I20" s="1076"/>
      <c r="J20" s="1079"/>
      <c r="K20" s="366"/>
      <c r="L20" s="366"/>
      <c r="M20" s="366"/>
      <c r="N20" s="398">
        <f t="shared" si="0"/>
        <v>2</v>
      </c>
      <c r="O20" s="411">
        <f t="shared" si="1"/>
        <v>2</v>
      </c>
      <c r="P20" s="1071"/>
      <c r="Q20" s="1071"/>
      <c r="R20" s="770"/>
      <c r="S20" s="770"/>
      <c r="T20" s="770"/>
      <c r="U20" s="116"/>
      <c r="V20" s="29"/>
      <c r="W20" s="29"/>
      <c r="X20" s="29"/>
      <c r="Y20" s="29"/>
      <c r="Z20" s="398">
        <f t="shared" si="2"/>
        <v>0</v>
      </c>
      <c r="AA20" s="411">
        <f t="shared" si="3"/>
        <v>0</v>
      </c>
      <c r="AB20" s="408"/>
    </row>
    <row r="21" spans="1:28" ht="20.100000000000001" customHeight="1" x14ac:dyDescent="0.25">
      <c r="A21" s="143">
        <v>12</v>
      </c>
      <c r="B21" s="51" t="s">
        <v>279</v>
      </c>
      <c r="C21" s="427" t="s">
        <v>644</v>
      </c>
      <c r="D21" s="1177"/>
      <c r="E21" s="1222" t="s">
        <v>581</v>
      </c>
      <c r="F21" s="1222"/>
      <c r="G21" s="1177"/>
      <c r="H21" s="1177"/>
      <c r="I21" s="1068"/>
      <c r="J21" s="1068"/>
      <c r="K21" s="366"/>
      <c r="L21" s="366"/>
      <c r="M21" s="366"/>
      <c r="N21" s="398">
        <f t="shared" si="0"/>
        <v>1</v>
      </c>
      <c r="O21" s="411">
        <f t="shared" si="1"/>
        <v>1</v>
      </c>
      <c r="P21" s="1071"/>
      <c r="Q21" s="1071"/>
      <c r="R21" s="769"/>
      <c r="S21" s="769"/>
      <c r="T21" s="771"/>
      <c r="U21" s="116"/>
      <c r="V21" s="29"/>
      <c r="W21" s="29"/>
      <c r="X21" s="29"/>
      <c r="Y21" s="29"/>
      <c r="Z21" s="398">
        <f t="shared" si="2"/>
        <v>0</v>
      </c>
      <c r="AA21" s="411">
        <f t="shared" si="3"/>
        <v>0</v>
      </c>
      <c r="AB21" s="369"/>
    </row>
    <row r="22" spans="1:28" ht="20.100000000000001" customHeight="1" x14ac:dyDescent="0.25">
      <c r="A22" s="143">
        <v>13</v>
      </c>
      <c r="B22" s="49" t="s">
        <v>280</v>
      </c>
      <c r="C22" s="427" t="s">
        <v>645</v>
      </c>
      <c r="D22" s="1177"/>
      <c r="E22" s="1177"/>
      <c r="F22" s="1223"/>
      <c r="G22" s="1179"/>
      <c r="H22" s="1179"/>
      <c r="I22" s="1069"/>
      <c r="J22" s="1069"/>
      <c r="K22" s="366"/>
      <c r="L22" s="366"/>
      <c r="M22" s="366"/>
      <c r="N22" s="398">
        <f t="shared" si="0"/>
        <v>0</v>
      </c>
      <c r="O22" s="411">
        <f t="shared" si="1"/>
        <v>0</v>
      </c>
      <c r="P22" s="1071"/>
      <c r="Q22" s="1071"/>
      <c r="R22" s="769"/>
      <c r="S22" s="769"/>
      <c r="T22" s="769"/>
      <c r="U22" s="116"/>
      <c r="V22" s="29"/>
      <c r="W22" s="29"/>
      <c r="X22" s="29"/>
      <c r="Y22" s="29"/>
      <c r="Z22" s="398">
        <f t="shared" si="2"/>
        <v>0</v>
      </c>
      <c r="AA22" s="411">
        <f t="shared" si="3"/>
        <v>0</v>
      </c>
      <c r="AB22" s="369"/>
    </row>
    <row r="23" spans="1:28" ht="20.100000000000001" customHeight="1" x14ac:dyDescent="0.25">
      <c r="A23" s="143">
        <v>14</v>
      </c>
      <c r="B23" s="49" t="s">
        <v>281</v>
      </c>
      <c r="C23" s="427" t="s">
        <v>646</v>
      </c>
      <c r="D23" s="1177"/>
      <c r="E23" s="1177"/>
      <c r="F23" s="1223"/>
      <c r="G23" s="1179" t="s">
        <v>581</v>
      </c>
      <c r="H23" s="1179"/>
      <c r="I23" s="1069"/>
      <c r="J23" s="1069"/>
      <c r="K23" s="366"/>
      <c r="L23" s="366"/>
      <c r="M23" s="366"/>
      <c r="N23" s="398">
        <f t="shared" si="0"/>
        <v>1</v>
      </c>
      <c r="O23" s="411">
        <f t="shared" si="1"/>
        <v>1</v>
      </c>
      <c r="P23" s="1071"/>
      <c r="Q23" s="1071"/>
      <c r="R23" s="769"/>
      <c r="S23" s="769"/>
      <c r="T23" s="769"/>
      <c r="U23" s="116"/>
      <c r="V23" s="29"/>
      <c r="W23" s="29"/>
      <c r="X23" s="29"/>
      <c r="Y23" s="29"/>
      <c r="Z23" s="398">
        <f t="shared" si="2"/>
        <v>0</v>
      </c>
      <c r="AA23" s="411">
        <f t="shared" si="3"/>
        <v>0</v>
      </c>
      <c r="AB23" s="369"/>
    </row>
    <row r="24" spans="1:28" ht="20.100000000000001" customHeight="1" x14ac:dyDescent="0.25">
      <c r="A24" s="143">
        <v>15</v>
      </c>
      <c r="B24" s="49" t="s">
        <v>283</v>
      </c>
      <c r="C24" s="427" t="s">
        <v>648</v>
      </c>
      <c r="D24" s="1177"/>
      <c r="E24" s="1177"/>
      <c r="F24" s="1223"/>
      <c r="G24" s="1179"/>
      <c r="H24" s="1179" t="s">
        <v>581</v>
      </c>
      <c r="I24" s="1069"/>
      <c r="J24" s="1069"/>
      <c r="K24" s="366"/>
      <c r="L24" s="366"/>
      <c r="M24" s="366"/>
      <c r="N24" s="398">
        <f t="shared" si="0"/>
        <v>1</v>
      </c>
      <c r="O24" s="411">
        <f t="shared" si="1"/>
        <v>1</v>
      </c>
      <c r="P24" s="1071"/>
      <c r="Q24" s="1071"/>
      <c r="R24" s="769"/>
      <c r="S24" s="769"/>
      <c r="T24" s="769"/>
      <c r="U24" s="116"/>
      <c r="V24" s="29"/>
      <c r="W24" s="29"/>
      <c r="X24" s="29"/>
      <c r="Y24" s="29"/>
      <c r="Z24" s="398">
        <f t="shared" si="2"/>
        <v>0</v>
      </c>
      <c r="AA24" s="411">
        <f t="shared" si="3"/>
        <v>0</v>
      </c>
      <c r="AB24" s="369"/>
    </row>
    <row r="25" spans="1:28" ht="20.25" customHeight="1" x14ac:dyDescent="0.25">
      <c r="A25" s="374"/>
      <c r="B25" s="374"/>
      <c r="C25" s="374"/>
      <c r="D25" s="374">
        <f t="shared" ref="D25:M25" si="4">COUNTIF(D10:D24,"x")</f>
        <v>1</v>
      </c>
      <c r="E25" s="374">
        <f t="shared" si="4"/>
        <v>2</v>
      </c>
      <c r="F25" s="374">
        <f t="shared" si="4"/>
        <v>1</v>
      </c>
      <c r="G25" s="374">
        <f t="shared" si="4"/>
        <v>1</v>
      </c>
      <c r="H25" s="374">
        <f t="shared" si="4"/>
        <v>2</v>
      </c>
      <c r="I25" s="374">
        <f t="shared" si="4"/>
        <v>0</v>
      </c>
      <c r="J25" s="374">
        <f t="shared" si="4"/>
        <v>0</v>
      </c>
      <c r="K25" s="374">
        <f t="shared" si="4"/>
        <v>0</v>
      </c>
      <c r="L25" s="374">
        <f t="shared" si="4"/>
        <v>0</v>
      </c>
      <c r="M25" s="374">
        <f t="shared" si="4"/>
        <v>0</v>
      </c>
      <c r="N25" s="374"/>
      <c r="O25" s="374"/>
      <c r="P25" s="374">
        <f t="shared" ref="P25:Y25" si="5">COUNTIF(P10:P24,"x")</f>
        <v>0</v>
      </c>
      <c r="Q25" s="374">
        <f t="shared" si="5"/>
        <v>0</v>
      </c>
      <c r="R25" s="374">
        <f t="shared" si="5"/>
        <v>0</v>
      </c>
      <c r="S25" s="374">
        <f t="shared" si="5"/>
        <v>0</v>
      </c>
      <c r="T25" s="374">
        <f t="shared" si="5"/>
        <v>0</v>
      </c>
      <c r="U25" s="374">
        <f t="shared" si="5"/>
        <v>0</v>
      </c>
      <c r="V25" s="374">
        <f t="shared" si="5"/>
        <v>0</v>
      </c>
      <c r="W25" s="374">
        <f t="shared" si="5"/>
        <v>0</v>
      </c>
      <c r="X25" s="374">
        <f t="shared" si="5"/>
        <v>0</v>
      </c>
      <c r="Y25" s="374">
        <f t="shared" si="5"/>
        <v>0</v>
      </c>
      <c r="Z25" s="374"/>
      <c r="AA25" s="374"/>
      <c r="AB25" s="374"/>
    </row>
    <row r="26" spans="1:28" ht="15.75" x14ac:dyDescent="0.25">
      <c r="A26" s="1395" t="s">
        <v>578</v>
      </c>
      <c r="B26" s="1395"/>
      <c r="C26" s="1395"/>
      <c r="D26" s="1395"/>
      <c r="E26" s="1395"/>
      <c r="F26" s="1395"/>
      <c r="G26" s="1395"/>
      <c r="H26" s="1395"/>
      <c r="I26" s="1395"/>
      <c r="J26" s="1395"/>
      <c r="K26" s="1395"/>
      <c r="L26" s="1395"/>
      <c r="M26" s="1395"/>
      <c r="N26" s="1395"/>
      <c r="O26" s="1395"/>
      <c r="P26" s="1395"/>
      <c r="Q26" s="1395"/>
      <c r="R26" s="1395"/>
      <c r="S26" s="1395"/>
      <c r="T26" s="1395"/>
      <c r="U26" s="1395"/>
      <c r="V26" s="1395"/>
      <c r="W26" s="1395"/>
      <c r="X26" s="1395"/>
      <c r="Y26" s="1395"/>
      <c r="Z26" s="1395"/>
      <c r="AA26" s="1395"/>
      <c r="AB26" s="1395"/>
    </row>
    <row r="27" spans="1:28" ht="17.25" x14ac:dyDescent="0.3">
      <c r="A27" s="375"/>
      <c r="B27" s="375"/>
      <c r="C27" s="375"/>
      <c r="D27" s="376"/>
      <c r="E27" s="377"/>
      <c r="F27" s="377"/>
      <c r="G27" s="377"/>
      <c r="H27" s="377"/>
      <c r="I27" s="377"/>
      <c r="J27" s="377"/>
      <c r="K27" s="377"/>
      <c r="L27" s="377"/>
      <c r="M27" s="377"/>
      <c r="N27" s="377"/>
      <c r="O27" s="377"/>
      <c r="P27" s="224"/>
      <c r="Q27" s="224"/>
      <c r="R27" s="224"/>
      <c r="S27" s="224"/>
      <c r="T27" s="224"/>
      <c r="U27" s="224"/>
      <c r="V27" s="224" t="str">
        <f>'P.KH-TC'!P22</f>
        <v>TP. HCM, ngày 2 tháng 11 năm 2023</v>
      </c>
      <c r="W27" s="224"/>
      <c r="X27" s="224"/>
      <c r="Y27" s="224"/>
      <c r="Z27" s="224"/>
      <c r="AA27" s="224"/>
      <c r="AB27" s="224"/>
    </row>
    <row r="28" spans="1:28" ht="17.25" x14ac:dyDescent="0.3">
      <c r="A28" s="375"/>
      <c r="B28" s="375"/>
      <c r="C28" s="375"/>
      <c r="D28" s="376"/>
      <c r="P28" s="1403" t="s">
        <v>579</v>
      </c>
      <c r="Q28" s="1403"/>
      <c r="R28" s="1403"/>
      <c r="S28" s="1403"/>
      <c r="T28" s="1403"/>
      <c r="U28" s="1403"/>
      <c r="V28" s="1403"/>
      <c r="W28" s="1403"/>
      <c r="X28" s="1403"/>
      <c r="Y28" s="1403"/>
      <c r="Z28" s="1403"/>
      <c r="AA28" s="1403"/>
      <c r="AB28" s="1403"/>
    </row>
    <row r="29" spans="1:28" ht="18.75" x14ac:dyDescent="0.3">
      <c r="B29" s="381" t="s">
        <v>805</v>
      </c>
      <c r="C29" s="382" t="s">
        <v>802</v>
      </c>
    </row>
    <row r="30" spans="1:28" ht="18.75" x14ac:dyDescent="0.3">
      <c r="B30" s="382" t="s">
        <v>803</v>
      </c>
      <c r="C30" s="382" t="s">
        <v>804</v>
      </c>
    </row>
    <row r="33" spans="4:28" ht="23.1" customHeight="1" x14ac:dyDescent="0.25">
      <c r="D33" s="356"/>
      <c r="E33" s="356"/>
      <c r="F33" s="356"/>
      <c r="G33" s="356"/>
      <c r="H33" s="356"/>
      <c r="I33" s="356"/>
      <c r="J33" s="356"/>
      <c r="K33" s="356"/>
      <c r="L33" s="356"/>
      <c r="M33" s="356"/>
      <c r="N33" s="356"/>
      <c r="O33" s="356"/>
      <c r="P33" s="1403" t="s">
        <v>276</v>
      </c>
      <c r="Q33" s="1403"/>
      <c r="R33" s="1403"/>
      <c r="S33" s="1403"/>
      <c r="T33" s="1403"/>
      <c r="U33" s="1403"/>
      <c r="V33" s="1403"/>
      <c r="W33" s="1403"/>
      <c r="X33" s="1403" t="s">
        <v>276</v>
      </c>
      <c r="Y33" s="1403"/>
      <c r="Z33" s="1403"/>
      <c r="AA33" s="1403"/>
      <c r="AB33" s="1403"/>
    </row>
  </sheetData>
  <autoFilter ref="A8:AB28"/>
  <mergeCells count="13">
    <mergeCell ref="A1:C1"/>
    <mergeCell ref="P1:AB1"/>
    <mergeCell ref="A2:C2"/>
    <mergeCell ref="P2:AB2"/>
    <mergeCell ref="A3:C3"/>
    <mergeCell ref="A5:AB5"/>
    <mergeCell ref="P33:AB33"/>
    <mergeCell ref="P7:Z7"/>
    <mergeCell ref="P28:AB28"/>
    <mergeCell ref="A7:A8"/>
    <mergeCell ref="B7:C7"/>
    <mergeCell ref="A26:AB26"/>
    <mergeCell ref="D7:N7"/>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B48"/>
  <sheetViews>
    <sheetView showZeros="0" topLeftCell="A7" zoomScale="80" zoomScaleNormal="80" workbookViewId="0">
      <selection activeCell="P10" sqref="P10:T37"/>
    </sheetView>
  </sheetViews>
  <sheetFormatPr defaultRowHeight="15" x14ac:dyDescent="0.25"/>
  <cols>
    <col min="1" max="1" width="5.28515625" style="356" customWidth="1"/>
    <col min="2" max="2" width="30.42578125" style="356" customWidth="1"/>
    <col min="3" max="3" width="14.7109375" style="356" customWidth="1"/>
    <col min="4" max="27" width="6.7109375" style="388" customWidth="1"/>
    <col min="28" max="28" width="16" style="388" customWidth="1"/>
    <col min="29" max="16384" width="9.140625" style="356"/>
  </cols>
  <sheetData>
    <row r="1" spans="1:28" ht="15" customHeight="1" x14ac:dyDescent="0.25">
      <c r="A1" s="1400" t="s">
        <v>559</v>
      </c>
      <c r="B1" s="1400"/>
      <c r="C1" s="1400"/>
      <c r="D1" s="16"/>
      <c r="E1" s="16"/>
      <c r="F1" s="16"/>
      <c r="G1" s="16"/>
      <c r="H1" s="16"/>
      <c r="I1" s="16"/>
      <c r="J1" s="16"/>
      <c r="K1" s="16"/>
      <c r="L1" s="16"/>
      <c r="M1" s="17"/>
      <c r="N1" s="17"/>
      <c r="O1" s="17"/>
      <c r="P1" s="1401" t="s">
        <v>560</v>
      </c>
      <c r="Q1" s="1401"/>
      <c r="R1" s="1401"/>
      <c r="S1" s="1402"/>
      <c r="T1" s="1402"/>
      <c r="U1" s="1402"/>
      <c r="V1" s="1402"/>
      <c r="W1" s="1402"/>
      <c r="X1" s="1402"/>
      <c r="Y1" s="1402"/>
      <c r="Z1" s="1402"/>
      <c r="AA1" s="1402"/>
      <c r="AB1" s="1402"/>
    </row>
    <row r="2" spans="1:28" ht="15" customHeight="1" x14ac:dyDescent="0.25">
      <c r="A2" s="1400" t="s">
        <v>561</v>
      </c>
      <c r="B2" s="1400"/>
      <c r="C2" s="1400"/>
      <c r="D2" s="16"/>
      <c r="E2" s="16"/>
      <c r="F2" s="16"/>
      <c r="G2" s="16"/>
      <c r="H2" s="16"/>
      <c r="I2" s="16"/>
      <c r="J2" s="16"/>
      <c r="K2" s="16"/>
      <c r="L2" s="16"/>
      <c r="M2" s="17"/>
      <c r="N2" s="17"/>
      <c r="O2" s="17"/>
      <c r="P2" s="1401" t="s">
        <v>562</v>
      </c>
      <c r="Q2" s="1401"/>
      <c r="R2" s="1401"/>
      <c r="S2" s="1401"/>
      <c r="T2" s="1401"/>
      <c r="U2" s="1401"/>
      <c r="V2" s="1401"/>
      <c r="W2" s="1401"/>
      <c r="X2" s="1401"/>
      <c r="Y2" s="1401"/>
      <c r="Z2" s="1401"/>
      <c r="AA2" s="1401"/>
      <c r="AB2" s="1401"/>
    </row>
    <row r="3" spans="1:28" ht="15" customHeight="1" x14ac:dyDescent="0.25">
      <c r="A3" s="1401" t="s">
        <v>590</v>
      </c>
      <c r="B3" s="1401"/>
      <c r="C3" s="1401"/>
      <c r="D3" s="16"/>
      <c r="E3" s="16"/>
      <c r="F3" s="16"/>
      <c r="G3" s="16"/>
      <c r="H3" s="16"/>
      <c r="I3" s="16"/>
      <c r="J3" s="16"/>
      <c r="K3" s="16"/>
      <c r="L3" s="16"/>
      <c r="M3" s="17"/>
      <c r="N3" s="17"/>
      <c r="O3" s="17"/>
      <c r="P3" s="17"/>
      <c r="Q3" s="17"/>
      <c r="R3" s="17"/>
      <c r="S3" s="17"/>
      <c r="T3" s="17"/>
      <c r="U3" s="17"/>
      <c r="V3" s="17"/>
      <c r="W3" s="17"/>
      <c r="X3" s="17"/>
      <c r="Y3" s="17"/>
      <c r="Z3" s="17"/>
      <c r="AA3" s="17"/>
      <c r="AB3" s="17"/>
    </row>
    <row r="4" spans="1:28" ht="15" customHeight="1" x14ac:dyDescent="0.25">
      <c r="A4" s="18"/>
      <c r="B4" s="18"/>
      <c r="C4" s="18"/>
      <c r="D4" s="16"/>
      <c r="E4" s="16"/>
      <c r="F4" s="16"/>
      <c r="G4" s="16"/>
      <c r="H4" s="16"/>
      <c r="I4" s="16"/>
      <c r="J4" s="16"/>
      <c r="K4" s="16"/>
      <c r="L4" s="16"/>
      <c r="M4" s="17"/>
      <c r="N4" s="17"/>
      <c r="O4" s="17"/>
      <c r="P4" s="17"/>
      <c r="Q4" s="17"/>
      <c r="R4" s="17"/>
      <c r="S4" s="17"/>
      <c r="T4" s="17"/>
      <c r="U4" s="17"/>
      <c r="V4" s="17"/>
      <c r="W4" s="17"/>
      <c r="X4" s="17"/>
      <c r="Y4" s="17"/>
      <c r="Z4" s="17"/>
      <c r="AA4" s="17"/>
      <c r="AB4" s="19" t="s">
        <v>563</v>
      </c>
    </row>
    <row r="5" spans="1:28" ht="33" customHeight="1" x14ac:dyDescent="0.25">
      <c r="A5" s="1390" t="str">
        <f>K.LLCT!A5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row>
    <row r="7" spans="1:28" ht="33.75" customHeight="1" x14ac:dyDescent="0.25">
      <c r="A7" s="1396" t="s">
        <v>0</v>
      </c>
      <c r="B7" s="1434" t="s">
        <v>564</v>
      </c>
      <c r="C7" s="1435"/>
      <c r="D7" s="1391" t="s">
        <v>110</v>
      </c>
      <c r="E7" s="1392"/>
      <c r="F7" s="1392"/>
      <c r="G7" s="1392"/>
      <c r="H7" s="1392"/>
      <c r="I7" s="1392"/>
      <c r="J7" s="1392"/>
      <c r="K7" s="1392"/>
      <c r="L7" s="1392"/>
      <c r="M7" s="1392"/>
      <c r="N7" s="1393"/>
      <c r="O7" s="358"/>
      <c r="P7" s="1391" t="s">
        <v>565</v>
      </c>
      <c r="Q7" s="1392"/>
      <c r="R7" s="1392"/>
      <c r="S7" s="1392"/>
      <c r="T7" s="1392"/>
      <c r="U7" s="1392"/>
      <c r="V7" s="1392"/>
      <c r="W7" s="1392"/>
      <c r="X7" s="1392"/>
      <c r="Y7" s="1392"/>
      <c r="Z7" s="359"/>
      <c r="AA7" s="359"/>
      <c r="AB7" s="360" t="s">
        <v>4</v>
      </c>
    </row>
    <row r="8" spans="1:28" ht="111" customHeight="1" x14ac:dyDescent="0.25">
      <c r="A8" s="1397"/>
      <c r="B8" s="428" t="s">
        <v>461</v>
      </c>
      <c r="C8" s="429" t="s">
        <v>566</v>
      </c>
      <c r="D8" s="212" t="s">
        <v>567</v>
      </c>
      <c r="E8" s="212" t="s">
        <v>568</v>
      </c>
      <c r="F8" s="212" t="s">
        <v>569</v>
      </c>
      <c r="G8" s="212" t="s">
        <v>570</v>
      </c>
      <c r="H8" s="212" t="s">
        <v>571</v>
      </c>
      <c r="I8" s="212" t="s">
        <v>572</v>
      </c>
      <c r="J8" s="212" t="s">
        <v>573</v>
      </c>
      <c r="K8" s="212" t="s">
        <v>703</v>
      </c>
      <c r="L8" s="212" t="s">
        <v>704</v>
      </c>
      <c r="M8" s="212" t="s">
        <v>748</v>
      </c>
      <c r="N8" s="134" t="s">
        <v>588</v>
      </c>
      <c r="O8" s="361" t="s">
        <v>795</v>
      </c>
      <c r="P8" s="132" t="s">
        <v>567</v>
      </c>
      <c r="Q8" s="132" t="s">
        <v>568</v>
      </c>
      <c r="R8" s="132" t="s">
        <v>569</v>
      </c>
      <c r="S8" s="132" t="s">
        <v>570</v>
      </c>
      <c r="T8" s="132" t="s">
        <v>571</v>
      </c>
      <c r="U8" s="132" t="s">
        <v>572</v>
      </c>
      <c r="V8" s="132" t="s">
        <v>573</v>
      </c>
      <c r="W8" s="132" t="s">
        <v>703</v>
      </c>
      <c r="X8" s="132" t="s">
        <v>704</v>
      </c>
      <c r="Y8" s="132" t="s">
        <v>748</v>
      </c>
      <c r="Z8" s="134" t="s">
        <v>588</v>
      </c>
      <c r="AA8" s="361" t="s">
        <v>795</v>
      </c>
      <c r="AB8" s="360"/>
    </row>
    <row r="9" spans="1:28" ht="24.75" customHeight="1" x14ac:dyDescent="0.25">
      <c r="A9" s="362" t="s">
        <v>591</v>
      </c>
      <c r="B9" s="352"/>
      <c r="C9" s="273">
        <v>-1</v>
      </c>
      <c r="D9" s="273">
        <v>-2</v>
      </c>
      <c r="E9" s="273">
        <v>-3</v>
      </c>
      <c r="F9" s="273">
        <v>-4</v>
      </c>
      <c r="G9" s="273">
        <v>-5</v>
      </c>
      <c r="H9" s="273">
        <v>-6</v>
      </c>
      <c r="I9" s="273">
        <v>-7</v>
      </c>
      <c r="J9" s="273">
        <v>-8</v>
      </c>
      <c r="K9" s="273">
        <v>-9</v>
      </c>
      <c r="L9" s="273">
        <v>-10</v>
      </c>
      <c r="M9" s="273">
        <v>-11</v>
      </c>
      <c r="N9" s="363">
        <v>-12</v>
      </c>
      <c r="O9" s="273">
        <v>-13</v>
      </c>
      <c r="P9" s="273">
        <v>-14</v>
      </c>
      <c r="Q9" s="273">
        <v>-15</v>
      </c>
      <c r="R9" s="273">
        <v>-16</v>
      </c>
      <c r="S9" s="273">
        <v>-17</v>
      </c>
      <c r="T9" s="273">
        <v>-18</v>
      </c>
      <c r="U9" s="273">
        <v>-19</v>
      </c>
      <c r="V9" s="273">
        <v>-20</v>
      </c>
      <c r="W9" s="273">
        <v>-21</v>
      </c>
      <c r="X9" s="273">
        <v>-22</v>
      </c>
      <c r="Y9" s="273">
        <v>-23</v>
      </c>
      <c r="Z9" s="363">
        <v>-24</v>
      </c>
      <c r="AA9" s="273">
        <v>-25</v>
      </c>
      <c r="AB9" s="273">
        <v>-26</v>
      </c>
    </row>
    <row r="10" spans="1:28" ht="24.75" customHeight="1" x14ac:dyDescent="0.25">
      <c r="A10" s="353">
        <v>1</v>
      </c>
      <c r="B10" s="136" t="s">
        <v>284</v>
      </c>
      <c r="C10" s="143" t="s">
        <v>285</v>
      </c>
      <c r="D10" s="1177"/>
      <c r="E10" s="1177" t="s">
        <v>581</v>
      </c>
      <c r="F10" s="1177" t="s">
        <v>581</v>
      </c>
      <c r="G10" s="1177"/>
      <c r="H10" s="1177"/>
      <c r="I10" s="1177"/>
      <c r="J10" s="1177"/>
      <c r="K10" s="568"/>
      <c r="L10" s="359"/>
      <c r="M10" s="430"/>
      <c r="N10" s="398">
        <f>SUM(COUNTIF(D10:M10,"X"),COUNTIF(D10:M10,"A"))</f>
        <v>2</v>
      </c>
      <c r="O10" s="411">
        <f>SUM(COUNTIF(D10:M10,"X"),COUNTIF(D10:M10,"B"))</f>
        <v>2</v>
      </c>
      <c r="P10" s="1182"/>
      <c r="Q10" s="1183"/>
      <c r="R10" s="1183"/>
      <c r="S10" s="1183"/>
      <c r="T10" s="1183"/>
      <c r="U10" s="1155"/>
      <c r="V10" s="1016"/>
      <c r="W10" s="419"/>
      <c r="X10" s="431"/>
      <c r="Y10" s="419"/>
      <c r="Z10" s="398">
        <f>SUM(COUNTIF(P10:Y10,"X"),COUNTIF(P10:Y10,"A"))</f>
        <v>0</v>
      </c>
      <c r="AA10" s="411">
        <f>SUM(COUNTIF(P10:Y10,"X"),COUNTIF(P10:Y10,"B"))</f>
        <v>0</v>
      </c>
      <c r="AB10" s="408"/>
    </row>
    <row r="11" spans="1:28" ht="24.75" customHeight="1" x14ac:dyDescent="0.25">
      <c r="A11" s="353">
        <v>2</v>
      </c>
      <c r="B11" s="136" t="s">
        <v>286</v>
      </c>
      <c r="C11" s="143" t="s">
        <v>287</v>
      </c>
      <c r="D11" s="1177"/>
      <c r="E11" s="1177"/>
      <c r="F11" s="1177"/>
      <c r="G11" s="1177"/>
      <c r="H11" s="1177"/>
      <c r="I11" s="1177"/>
      <c r="J11" s="1177"/>
      <c r="K11" s="568"/>
      <c r="L11" s="359"/>
      <c r="M11" s="430"/>
      <c r="N11" s="398">
        <f t="shared" ref="N11:N35" si="0">SUM(COUNTIF(D11:M11,"X"),COUNTIF(D11:M11,"A"))</f>
        <v>0</v>
      </c>
      <c r="O11" s="411">
        <f t="shared" ref="O11:O35" si="1">SUM(COUNTIF(D11:M11,"X"),COUNTIF(D11:M11,"B"))</f>
        <v>0</v>
      </c>
      <c r="P11" s="1182"/>
      <c r="Q11" s="1183"/>
      <c r="R11" s="1183" t="s">
        <v>581</v>
      </c>
      <c r="S11" s="1183" t="s">
        <v>581</v>
      </c>
      <c r="T11" s="1183"/>
      <c r="U11" s="1155"/>
      <c r="V11" s="1016"/>
      <c r="W11" s="419"/>
      <c r="X11" s="431"/>
      <c r="Y11" s="419"/>
      <c r="Z11" s="398">
        <f t="shared" ref="Z11:Z34" si="2">SUM(COUNTIF(P11:Y11,"X"),COUNTIF(P11:Y11,"A"))</f>
        <v>2</v>
      </c>
      <c r="AA11" s="411">
        <f t="shared" ref="AA11:AA34" si="3">SUM(COUNTIF(P11:Y11,"X"),COUNTIF(P11:Y11,"B"))</f>
        <v>2</v>
      </c>
      <c r="AB11" s="408"/>
    </row>
    <row r="12" spans="1:28" ht="24.75" customHeight="1" x14ac:dyDescent="0.25">
      <c r="A12" s="353">
        <v>3</v>
      </c>
      <c r="B12" s="8" t="s">
        <v>288</v>
      </c>
      <c r="C12" s="143" t="s">
        <v>289</v>
      </c>
      <c r="D12" s="1177"/>
      <c r="E12" s="1177"/>
      <c r="F12" s="1177"/>
      <c r="G12" s="1177"/>
      <c r="H12" s="1177" t="s">
        <v>581</v>
      </c>
      <c r="I12" s="1177"/>
      <c r="J12" s="1177"/>
      <c r="K12" s="568"/>
      <c r="L12" s="359"/>
      <c r="M12" s="430"/>
      <c r="N12" s="398">
        <f t="shared" si="0"/>
        <v>1</v>
      </c>
      <c r="O12" s="411">
        <f t="shared" si="1"/>
        <v>1</v>
      </c>
      <c r="P12" s="1182"/>
      <c r="Q12" s="1183"/>
      <c r="R12" s="1183"/>
      <c r="S12" s="1183"/>
      <c r="T12" s="1183"/>
      <c r="U12" s="1155"/>
      <c r="V12" s="1016"/>
      <c r="W12" s="419"/>
      <c r="X12" s="431"/>
      <c r="Y12" s="419"/>
      <c r="Z12" s="398">
        <f t="shared" si="2"/>
        <v>0</v>
      </c>
      <c r="AA12" s="411">
        <f t="shared" si="3"/>
        <v>0</v>
      </c>
      <c r="AB12" s="408"/>
    </row>
    <row r="13" spans="1:28" ht="24.75" customHeight="1" x14ac:dyDescent="0.25">
      <c r="A13" s="353">
        <v>4</v>
      </c>
      <c r="B13" s="136" t="s">
        <v>290</v>
      </c>
      <c r="C13" s="143" t="s">
        <v>291</v>
      </c>
      <c r="D13" s="1177"/>
      <c r="E13" s="1177"/>
      <c r="F13" s="1177"/>
      <c r="G13" s="1177"/>
      <c r="H13" s="1177" t="s">
        <v>581</v>
      </c>
      <c r="I13" s="1177"/>
      <c r="J13" s="1177"/>
      <c r="K13" s="568"/>
      <c r="L13" s="359"/>
      <c r="M13" s="430"/>
      <c r="N13" s="398">
        <f t="shared" si="0"/>
        <v>1</v>
      </c>
      <c r="O13" s="411">
        <f t="shared" si="1"/>
        <v>1</v>
      </c>
      <c r="P13" s="1182"/>
      <c r="Q13" s="1183"/>
      <c r="R13" s="1183" t="s">
        <v>581</v>
      </c>
      <c r="S13" s="1183"/>
      <c r="T13" s="1183"/>
      <c r="U13" s="1155"/>
      <c r="V13" s="1016"/>
      <c r="W13" s="419"/>
      <c r="X13" s="431"/>
      <c r="Y13" s="419"/>
      <c r="Z13" s="398">
        <f t="shared" si="2"/>
        <v>1</v>
      </c>
      <c r="AA13" s="411">
        <f t="shared" si="3"/>
        <v>1</v>
      </c>
      <c r="AB13" s="408"/>
    </row>
    <row r="14" spans="1:28" ht="24.75" customHeight="1" x14ac:dyDescent="0.25">
      <c r="A14" s="353">
        <v>5</v>
      </c>
      <c r="B14" s="136" t="s">
        <v>292</v>
      </c>
      <c r="C14" s="143" t="s">
        <v>293</v>
      </c>
      <c r="D14" s="1177" t="s">
        <v>581</v>
      </c>
      <c r="E14" s="1177" t="s">
        <v>581</v>
      </c>
      <c r="F14" s="1177"/>
      <c r="G14" s="1177"/>
      <c r="H14" s="1177"/>
      <c r="I14" s="1177"/>
      <c r="J14" s="1177"/>
      <c r="K14" s="568"/>
      <c r="L14" s="359"/>
      <c r="M14" s="430"/>
      <c r="N14" s="398">
        <f t="shared" si="0"/>
        <v>2</v>
      </c>
      <c r="O14" s="411">
        <f t="shared" si="1"/>
        <v>2</v>
      </c>
      <c r="P14" s="1182"/>
      <c r="Q14" s="1183" t="s">
        <v>581</v>
      </c>
      <c r="R14" s="1183"/>
      <c r="S14" s="1183"/>
      <c r="T14" s="1183" t="s">
        <v>581</v>
      </c>
      <c r="U14" s="1155"/>
      <c r="V14" s="1016"/>
      <c r="W14" s="419"/>
      <c r="X14" s="431"/>
      <c r="Y14" s="419"/>
      <c r="Z14" s="398">
        <f t="shared" si="2"/>
        <v>2</v>
      </c>
      <c r="AA14" s="411">
        <f t="shared" si="3"/>
        <v>2</v>
      </c>
      <c r="AB14" s="408"/>
    </row>
    <row r="15" spans="1:28" ht="24.75" customHeight="1" x14ac:dyDescent="0.25">
      <c r="A15" s="353">
        <v>6</v>
      </c>
      <c r="B15" s="136" t="s">
        <v>294</v>
      </c>
      <c r="C15" s="143" t="s">
        <v>295</v>
      </c>
      <c r="D15" s="1177"/>
      <c r="E15" s="1177"/>
      <c r="F15" s="1177"/>
      <c r="G15" s="1177"/>
      <c r="H15" s="1177"/>
      <c r="I15" s="1177"/>
      <c r="J15" s="1177"/>
      <c r="K15" s="568"/>
      <c r="L15" s="359"/>
      <c r="M15" s="430"/>
      <c r="N15" s="398">
        <f t="shared" si="0"/>
        <v>0</v>
      </c>
      <c r="O15" s="411">
        <f t="shared" si="1"/>
        <v>0</v>
      </c>
      <c r="P15" s="1182"/>
      <c r="Q15" s="1183"/>
      <c r="R15" s="1183"/>
      <c r="S15" s="1183"/>
      <c r="T15" s="1183"/>
      <c r="U15" s="1155"/>
      <c r="V15" s="1016"/>
      <c r="W15" s="419"/>
      <c r="X15" s="431"/>
      <c r="Y15" s="419"/>
      <c r="Z15" s="398">
        <f t="shared" si="2"/>
        <v>0</v>
      </c>
      <c r="AA15" s="411">
        <f t="shared" si="3"/>
        <v>0</v>
      </c>
      <c r="AB15" s="408"/>
    </row>
    <row r="16" spans="1:28" ht="24.75" customHeight="1" x14ac:dyDescent="0.25">
      <c r="A16" s="353">
        <v>7</v>
      </c>
      <c r="B16" s="136" t="s">
        <v>296</v>
      </c>
      <c r="C16" s="143" t="s">
        <v>297</v>
      </c>
      <c r="D16" s="1177"/>
      <c r="E16" s="1177"/>
      <c r="F16" s="1177"/>
      <c r="G16" s="1177" t="s">
        <v>581</v>
      </c>
      <c r="H16" s="1177"/>
      <c r="I16" s="1177"/>
      <c r="J16" s="1177"/>
      <c r="K16" s="568"/>
      <c r="L16" s="359"/>
      <c r="M16" s="432"/>
      <c r="N16" s="398">
        <f t="shared" si="0"/>
        <v>1</v>
      </c>
      <c r="O16" s="411">
        <f t="shared" si="1"/>
        <v>1</v>
      </c>
      <c r="P16" s="1182"/>
      <c r="Q16" s="1183"/>
      <c r="R16" s="1183"/>
      <c r="S16" s="1183"/>
      <c r="T16" s="1183"/>
      <c r="U16" s="1155"/>
      <c r="V16" s="1016"/>
      <c r="W16" s="419"/>
      <c r="X16" s="431"/>
      <c r="Y16" s="419"/>
      <c r="Z16" s="398">
        <f t="shared" si="2"/>
        <v>0</v>
      </c>
      <c r="AA16" s="411">
        <f t="shared" si="3"/>
        <v>0</v>
      </c>
      <c r="AB16" s="408"/>
    </row>
    <row r="17" spans="1:28" ht="24.75" customHeight="1" x14ac:dyDescent="0.25">
      <c r="A17" s="353">
        <v>8</v>
      </c>
      <c r="B17" s="136" t="s">
        <v>298</v>
      </c>
      <c r="C17" s="143" t="s">
        <v>299</v>
      </c>
      <c r="D17" s="1177"/>
      <c r="E17" s="1177"/>
      <c r="F17" s="1177"/>
      <c r="G17" s="1177"/>
      <c r="H17" s="1177" t="s">
        <v>581</v>
      </c>
      <c r="I17" s="1177" t="s">
        <v>581</v>
      </c>
      <c r="J17" s="1177"/>
      <c r="K17" s="568"/>
      <c r="L17" s="359"/>
      <c r="M17" s="432"/>
      <c r="N17" s="398">
        <f t="shared" si="0"/>
        <v>2</v>
      </c>
      <c r="O17" s="411">
        <f t="shared" si="1"/>
        <v>2</v>
      </c>
      <c r="P17" s="1182" t="s">
        <v>581</v>
      </c>
      <c r="Q17" s="1183"/>
      <c r="R17" s="1183"/>
      <c r="S17" s="1183"/>
      <c r="T17" s="1183" t="s">
        <v>581</v>
      </c>
      <c r="U17" s="1155"/>
      <c r="V17" s="1016"/>
      <c r="W17" s="419"/>
      <c r="X17" s="431"/>
      <c r="Y17" s="419"/>
      <c r="Z17" s="398">
        <f t="shared" si="2"/>
        <v>2</v>
      </c>
      <c r="AA17" s="411">
        <f t="shared" si="3"/>
        <v>2</v>
      </c>
      <c r="AB17" s="352"/>
    </row>
    <row r="18" spans="1:28" ht="24.75" customHeight="1" x14ac:dyDescent="0.25">
      <c r="A18" s="353">
        <v>9</v>
      </c>
      <c r="B18" s="136" t="s">
        <v>300</v>
      </c>
      <c r="C18" s="143" t="s">
        <v>301</v>
      </c>
      <c r="D18" s="1177"/>
      <c r="E18" s="1177"/>
      <c r="F18" s="1177"/>
      <c r="G18" s="1177"/>
      <c r="H18" s="1177"/>
      <c r="I18" s="1177"/>
      <c r="J18" s="1177"/>
      <c r="K18" s="568"/>
      <c r="L18" s="359"/>
      <c r="M18" s="432"/>
      <c r="N18" s="398">
        <f t="shared" si="0"/>
        <v>0</v>
      </c>
      <c r="O18" s="411">
        <f t="shared" si="1"/>
        <v>0</v>
      </c>
      <c r="P18" s="1182"/>
      <c r="Q18" s="1183"/>
      <c r="R18" s="1183"/>
      <c r="S18" s="1183"/>
      <c r="T18" s="1183"/>
      <c r="U18" s="1155"/>
      <c r="V18" s="1016"/>
      <c r="W18" s="419"/>
      <c r="X18" s="431"/>
      <c r="Y18" s="419"/>
      <c r="Z18" s="398">
        <f t="shared" si="2"/>
        <v>0</v>
      </c>
      <c r="AA18" s="411">
        <f t="shared" si="3"/>
        <v>0</v>
      </c>
      <c r="AB18" s="352"/>
    </row>
    <row r="19" spans="1:28" ht="24.75" customHeight="1" x14ac:dyDescent="0.25">
      <c r="A19" s="353">
        <v>10</v>
      </c>
      <c r="B19" s="136" t="s">
        <v>302</v>
      </c>
      <c r="C19" s="143" t="s">
        <v>303</v>
      </c>
      <c r="D19" s="1177"/>
      <c r="E19" s="1177"/>
      <c r="F19" s="1177"/>
      <c r="G19" s="1177" t="s">
        <v>581</v>
      </c>
      <c r="H19" s="1177"/>
      <c r="I19" s="1177"/>
      <c r="J19" s="1177"/>
      <c r="K19" s="568"/>
      <c r="L19" s="359"/>
      <c r="M19" s="432"/>
      <c r="N19" s="398">
        <f t="shared" si="0"/>
        <v>1</v>
      </c>
      <c r="O19" s="411">
        <f t="shared" si="1"/>
        <v>1</v>
      </c>
      <c r="P19" s="1182"/>
      <c r="Q19" s="1183"/>
      <c r="R19" s="1183"/>
      <c r="S19" s="1183"/>
      <c r="T19" s="1183"/>
      <c r="U19" s="1155"/>
      <c r="V19" s="1016"/>
      <c r="W19" s="419"/>
      <c r="X19" s="431"/>
      <c r="Y19" s="419"/>
      <c r="Z19" s="398">
        <f t="shared" si="2"/>
        <v>0</v>
      </c>
      <c r="AA19" s="411">
        <f t="shared" si="3"/>
        <v>0</v>
      </c>
      <c r="AB19" s="352"/>
    </row>
    <row r="20" spans="1:28" ht="24.75" customHeight="1" x14ac:dyDescent="0.25">
      <c r="A20" s="353">
        <v>11</v>
      </c>
      <c r="B20" s="137" t="s">
        <v>304</v>
      </c>
      <c r="C20" s="143" t="s">
        <v>305</v>
      </c>
      <c r="D20" s="1177"/>
      <c r="E20" s="1177"/>
      <c r="F20" s="1177"/>
      <c r="G20" s="1177"/>
      <c r="H20" s="1177"/>
      <c r="I20" s="1177"/>
      <c r="J20" s="1177"/>
      <c r="K20" s="568"/>
      <c r="L20" s="359"/>
      <c r="M20" s="432"/>
      <c r="N20" s="398">
        <f t="shared" si="0"/>
        <v>0</v>
      </c>
      <c r="O20" s="411">
        <f t="shared" si="1"/>
        <v>0</v>
      </c>
      <c r="P20" s="1182"/>
      <c r="Q20" s="1183"/>
      <c r="R20" s="1183"/>
      <c r="S20" s="1183"/>
      <c r="T20" s="1183"/>
      <c r="U20" s="1155"/>
      <c r="V20" s="1016"/>
      <c r="W20" s="419"/>
      <c r="X20" s="431"/>
      <c r="Y20" s="419"/>
      <c r="Z20" s="398">
        <f t="shared" si="2"/>
        <v>0</v>
      </c>
      <c r="AA20" s="411">
        <f t="shared" si="3"/>
        <v>0</v>
      </c>
      <c r="AB20" s="352"/>
    </row>
    <row r="21" spans="1:28" ht="24.75" customHeight="1" x14ac:dyDescent="0.25">
      <c r="A21" s="353">
        <v>12</v>
      </c>
      <c r="B21" s="136" t="s">
        <v>306</v>
      </c>
      <c r="C21" s="143" t="s">
        <v>307</v>
      </c>
      <c r="D21" s="1177"/>
      <c r="E21" s="1177"/>
      <c r="F21" s="1177"/>
      <c r="G21" s="1177"/>
      <c r="H21" s="1177"/>
      <c r="I21" s="1177"/>
      <c r="J21" s="1177"/>
      <c r="K21" s="568"/>
      <c r="L21" s="359"/>
      <c r="M21" s="432"/>
      <c r="N21" s="398">
        <f t="shared" si="0"/>
        <v>0</v>
      </c>
      <c r="O21" s="411">
        <f t="shared" si="1"/>
        <v>0</v>
      </c>
      <c r="P21" s="1182"/>
      <c r="Q21" s="1183"/>
      <c r="R21" s="1183"/>
      <c r="S21" s="1183"/>
      <c r="T21" s="1183"/>
      <c r="U21" s="1155"/>
      <c r="V21" s="1016"/>
      <c r="W21" s="419"/>
      <c r="X21" s="431"/>
      <c r="Y21" s="419"/>
      <c r="Z21" s="398">
        <f t="shared" si="2"/>
        <v>0</v>
      </c>
      <c r="AA21" s="411">
        <f t="shared" si="3"/>
        <v>0</v>
      </c>
      <c r="AB21" s="352"/>
    </row>
    <row r="22" spans="1:28" ht="24.75" customHeight="1" x14ac:dyDescent="0.25">
      <c r="A22" s="353">
        <v>13</v>
      </c>
      <c r="B22" s="136" t="s">
        <v>308</v>
      </c>
      <c r="C22" s="143" t="s">
        <v>309</v>
      </c>
      <c r="D22" s="1177"/>
      <c r="E22" s="1177"/>
      <c r="F22" s="1177"/>
      <c r="G22" s="1177"/>
      <c r="H22" s="1177"/>
      <c r="I22" s="1177"/>
      <c r="J22" s="1177"/>
      <c r="K22" s="568"/>
      <c r="L22" s="359"/>
      <c r="M22" s="432"/>
      <c r="N22" s="398">
        <f t="shared" si="0"/>
        <v>0</v>
      </c>
      <c r="O22" s="411">
        <f t="shared" si="1"/>
        <v>0</v>
      </c>
      <c r="P22" s="1182"/>
      <c r="Q22" s="1183"/>
      <c r="R22" s="1183"/>
      <c r="S22" s="1183"/>
      <c r="T22" s="1183"/>
      <c r="U22" s="1155"/>
      <c r="V22" s="1016"/>
      <c r="W22" s="419"/>
      <c r="X22" s="431"/>
      <c r="Y22" s="419"/>
      <c r="Z22" s="398">
        <f t="shared" si="2"/>
        <v>0</v>
      </c>
      <c r="AA22" s="411">
        <f t="shared" si="3"/>
        <v>0</v>
      </c>
      <c r="AB22" s="352"/>
    </row>
    <row r="23" spans="1:28" ht="24.75" customHeight="1" x14ac:dyDescent="0.25">
      <c r="A23" s="353">
        <v>14</v>
      </c>
      <c r="B23" s="136" t="s">
        <v>310</v>
      </c>
      <c r="C23" s="143" t="s">
        <v>311</v>
      </c>
      <c r="D23" s="1177"/>
      <c r="E23" s="1177"/>
      <c r="F23" s="1177"/>
      <c r="G23" s="1177"/>
      <c r="H23" s="1177"/>
      <c r="I23" s="1177"/>
      <c r="J23" s="1177"/>
      <c r="K23" s="568"/>
      <c r="L23" s="359"/>
      <c r="M23" s="432"/>
      <c r="N23" s="398">
        <f t="shared" si="0"/>
        <v>0</v>
      </c>
      <c r="O23" s="411">
        <f t="shared" si="1"/>
        <v>0</v>
      </c>
      <c r="P23" s="1182"/>
      <c r="Q23" s="1183"/>
      <c r="R23" s="1183"/>
      <c r="S23" s="1183"/>
      <c r="T23" s="1183"/>
      <c r="U23" s="1155"/>
      <c r="V23" s="1016"/>
      <c r="W23" s="419"/>
      <c r="X23" s="431"/>
      <c r="Y23" s="419"/>
      <c r="Z23" s="398">
        <f t="shared" si="2"/>
        <v>0</v>
      </c>
      <c r="AA23" s="411">
        <f t="shared" si="3"/>
        <v>0</v>
      </c>
      <c r="AB23" s="352"/>
    </row>
    <row r="24" spans="1:28" ht="24.75" customHeight="1" x14ac:dyDescent="0.25">
      <c r="A24" s="353">
        <v>15</v>
      </c>
      <c r="B24" s="136" t="s">
        <v>276</v>
      </c>
      <c r="C24" s="143" t="s">
        <v>313</v>
      </c>
      <c r="D24" s="1177"/>
      <c r="E24" s="1177"/>
      <c r="F24" s="1177"/>
      <c r="G24" s="1177"/>
      <c r="H24" s="1177"/>
      <c r="I24" s="1177"/>
      <c r="J24" s="1177"/>
      <c r="K24" s="568"/>
      <c r="L24" s="359"/>
      <c r="M24" s="432"/>
      <c r="N24" s="398">
        <f t="shared" si="0"/>
        <v>0</v>
      </c>
      <c r="O24" s="411">
        <f t="shared" si="1"/>
        <v>0</v>
      </c>
      <c r="P24" s="1182"/>
      <c r="Q24" s="1183"/>
      <c r="R24" s="1183"/>
      <c r="S24" s="1183"/>
      <c r="T24" s="1192"/>
      <c r="U24" s="1156"/>
      <c r="V24" s="1016"/>
      <c r="W24" s="419"/>
      <c r="X24" s="431"/>
      <c r="Y24" s="419"/>
      <c r="Z24" s="398">
        <f t="shared" si="2"/>
        <v>0</v>
      </c>
      <c r="AA24" s="411">
        <f t="shared" si="3"/>
        <v>0</v>
      </c>
      <c r="AB24" s="352"/>
    </row>
    <row r="25" spans="1:28" ht="24.75" customHeight="1" x14ac:dyDescent="0.25">
      <c r="A25" s="353">
        <v>16</v>
      </c>
      <c r="B25" s="136" t="s">
        <v>314</v>
      </c>
      <c r="C25" s="143" t="s">
        <v>315</v>
      </c>
      <c r="D25" s="1177"/>
      <c r="E25" s="1177"/>
      <c r="F25" s="1177"/>
      <c r="G25" s="1177"/>
      <c r="H25" s="1177"/>
      <c r="I25" s="1177"/>
      <c r="J25" s="1177"/>
      <c r="K25" s="568"/>
      <c r="L25" s="359"/>
      <c r="M25" s="432"/>
      <c r="N25" s="398">
        <f t="shared" si="0"/>
        <v>0</v>
      </c>
      <c r="O25" s="411">
        <f t="shared" si="1"/>
        <v>0</v>
      </c>
      <c r="P25" s="1182"/>
      <c r="Q25" s="1183"/>
      <c r="R25" s="1183"/>
      <c r="S25" s="1183"/>
      <c r="T25" s="1183"/>
      <c r="U25" s="1155"/>
      <c r="V25" s="1016"/>
      <c r="W25" s="419"/>
      <c r="X25" s="431"/>
      <c r="Y25" s="419"/>
      <c r="Z25" s="398">
        <f t="shared" si="2"/>
        <v>0</v>
      </c>
      <c r="AA25" s="411">
        <f t="shared" si="3"/>
        <v>0</v>
      </c>
      <c r="AB25" s="352"/>
    </row>
    <row r="26" spans="1:28" ht="24.75" customHeight="1" x14ac:dyDescent="0.25">
      <c r="A26" s="353">
        <v>17</v>
      </c>
      <c r="B26" s="136" t="s">
        <v>316</v>
      </c>
      <c r="C26" s="143" t="s">
        <v>317</v>
      </c>
      <c r="D26" s="1177"/>
      <c r="E26" s="1177"/>
      <c r="F26" s="1177"/>
      <c r="G26" s="1177"/>
      <c r="H26" s="1177"/>
      <c r="I26" s="1177"/>
      <c r="J26" s="1177"/>
      <c r="K26" s="568"/>
      <c r="L26" s="359"/>
      <c r="M26" s="432"/>
      <c r="N26" s="398">
        <f t="shared" si="0"/>
        <v>0</v>
      </c>
      <c r="O26" s="411">
        <f t="shared" si="1"/>
        <v>0</v>
      </c>
      <c r="P26" s="1182" t="s">
        <v>581</v>
      </c>
      <c r="Q26" s="1183"/>
      <c r="R26" s="1183" t="s">
        <v>581</v>
      </c>
      <c r="S26" s="1183" t="s">
        <v>581</v>
      </c>
      <c r="T26" s="1183"/>
      <c r="U26" s="1155"/>
      <c r="V26" s="1016"/>
      <c r="W26" s="419"/>
      <c r="X26" s="431"/>
      <c r="Y26" s="419"/>
      <c r="Z26" s="398">
        <f t="shared" si="2"/>
        <v>3</v>
      </c>
      <c r="AA26" s="411">
        <f t="shared" si="3"/>
        <v>3</v>
      </c>
      <c r="AB26" s="352"/>
    </row>
    <row r="27" spans="1:28" ht="24.75" customHeight="1" x14ac:dyDescent="0.25">
      <c r="A27" s="353">
        <v>18</v>
      </c>
      <c r="B27" s="136" t="s">
        <v>318</v>
      </c>
      <c r="C27" s="143" t="s">
        <v>319</v>
      </c>
      <c r="D27" s="1177"/>
      <c r="E27" s="1177"/>
      <c r="F27" s="1177"/>
      <c r="G27" s="1177"/>
      <c r="H27" s="1177"/>
      <c r="I27" s="1177"/>
      <c r="J27" s="1177"/>
      <c r="K27" s="568"/>
      <c r="L27" s="359"/>
      <c r="M27" s="432"/>
      <c r="N27" s="398">
        <f t="shared" si="0"/>
        <v>0</v>
      </c>
      <c r="O27" s="411">
        <f t="shared" si="1"/>
        <v>0</v>
      </c>
      <c r="P27" s="1182"/>
      <c r="Q27" s="1183"/>
      <c r="R27" s="1183"/>
      <c r="S27" s="1183"/>
      <c r="T27" s="1183"/>
      <c r="U27" s="1155"/>
      <c r="V27" s="1016"/>
      <c r="W27" s="419"/>
      <c r="X27" s="431"/>
      <c r="Y27" s="419"/>
      <c r="Z27" s="398">
        <f t="shared" si="2"/>
        <v>0</v>
      </c>
      <c r="AA27" s="411">
        <f t="shared" si="3"/>
        <v>0</v>
      </c>
      <c r="AB27" s="352"/>
    </row>
    <row r="28" spans="1:28" ht="24.75" customHeight="1" x14ac:dyDescent="0.25">
      <c r="A28" s="353">
        <v>19</v>
      </c>
      <c r="B28" s="136" t="s">
        <v>320</v>
      </c>
      <c r="C28" s="143" t="s">
        <v>321</v>
      </c>
      <c r="D28" s="1177"/>
      <c r="E28" s="1177"/>
      <c r="F28" s="1177"/>
      <c r="G28" s="1177"/>
      <c r="H28" s="1177"/>
      <c r="I28" s="1177"/>
      <c r="J28" s="1177" t="s">
        <v>581</v>
      </c>
      <c r="K28" s="568"/>
      <c r="L28" s="359"/>
      <c r="M28" s="432"/>
      <c r="N28" s="398">
        <f t="shared" si="0"/>
        <v>1</v>
      </c>
      <c r="O28" s="411">
        <f t="shared" si="1"/>
        <v>1</v>
      </c>
      <c r="P28" s="1182"/>
      <c r="Q28" s="1183"/>
      <c r="R28" s="1183"/>
      <c r="S28" s="1183"/>
      <c r="T28" s="1183"/>
      <c r="U28" s="1155"/>
      <c r="V28" s="1016"/>
      <c r="W28" s="419"/>
      <c r="X28" s="431"/>
      <c r="Y28" s="419"/>
      <c r="Z28" s="398">
        <f t="shared" si="2"/>
        <v>0</v>
      </c>
      <c r="AA28" s="411">
        <f t="shared" si="3"/>
        <v>0</v>
      </c>
      <c r="AB28" s="352"/>
    </row>
    <row r="29" spans="1:28" ht="24.75" customHeight="1" x14ac:dyDescent="0.25">
      <c r="A29" s="353">
        <v>20</v>
      </c>
      <c r="B29" s="136" t="s">
        <v>322</v>
      </c>
      <c r="C29" s="143" t="s">
        <v>323</v>
      </c>
      <c r="D29" s="1177"/>
      <c r="E29" s="1177"/>
      <c r="F29" s="1177"/>
      <c r="G29" s="1177"/>
      <c r="H29" s="1177"/>
      <c r="I29" s="1177"/>
      <c r="J29" s="1177"/>
      <c r="K29" s="568"/>
      <c r="L29" s="359"/>
      <c r="M29" s="432"/>
      <c r="N29" s="398">
        <f t="shared" si="0"/>
        <v>0</v>
      </c>
      <c r="O29" s="411">
        <f t="shared" si="1"/>
        <v>0</v>
      </c>
      <c r="P29" s="1182"/>
      <c r="Q29" s="1183"/>
      <c r="R29" s="1183"/>
      <c r="S29" s="1183"/>
      <c r="T29" s="1183"/>
      <c r="U29" s="1155"/>
      <c r="V29" s="1016"/>
      <c r="W29" s="142"/>
      <c r="X29" s="431"/>
      <c r="Y29" s="419"/>
      <c r="Z29" s="398">
        <f t="shared" si="2"/>
        <v>0</v>
      </c>
      <c r="AA29" s="411">
        <f t="shared" si="3"/>
        <v>0</v>
      </c>
      <c r="AB29" s="352"/>
    </row>
    <row r="30" spans="1:28" ht="24" customHeight="1" x14ac:dyDescent="0.25">
      <c r="A30" s="353">
        <v>21</v>
      </c>
      <c r="B30" s="138" t="s">
        <v>324</v>
      </c>
      <c r="C30" s="143" t="s">
        <v>325</v>
      </c>
      <c r="D30" s="1177"/>
      <c r="E30" s="1177"/>
      <c r="F30" s="1177"/>
      <c r="G30" s="1177"/>
      <c r="H30" s="1177"/>
      <c r="I30" s="1177"/>
      <c r="J30" s="1177"/>
      <c r="K30" s="568"/>
      <c r="L30" s="433"/>
      <c r="M30" s="434"/>
      <c r="N30" s="398">
        <f t="shared" si="0"/>
        <v>0</v>
      </c>
      <c r="O30" s="411">
        <f t="shared" si="1"/>
        <v>0</v>
      </c>
      <c r="P30" s="1182"/>
      <c r="Q30" s="1183"/>
      <c r="R30" s="1183"/>
      <c r="S30" s="1183"/>
      <c r="T30" s="1183"/>
      <c r="U30" s="1155"/>
      <c r="V30" s="1016"/>
      <c r="W30" s="142"/>
      <c r="X30" s="431"/>
      <c r="Y30" s="142"/>
      <c r="Z30" s="398">
        <f t="shared" si="2"/>
        <v>0</v>
      </c>
      <c r="AA30" s="411">
        <f t="shared" si="3"/>
        <v>0</v>
      </c>
      <c r="AB30" s="352"/>
    </row>
    <row r="31" spans="1:28" ht="24" customHeight="1" x14ac:dyDescent="0.25">
      <c r="A31" s="353">
        <v>22</v>
      </c>
      <c r="B31" s="435" t="s">
        <v>326</v>
      </c>
      <c r="C31" s="143" t="s">
        <v>327</v>
      </c>
      <c r="D31" s="1177"/>
      <c r="E31" s="1177"/>
      <c r="F31" s="1177"/>
      <c r="G31" s="1177"/>
      <c r="H31" s="1177"/>
      <c r="I31" s="1177"/>
      <c r="J31" s="1177"/>
      <c r="K31" s="568"/>
      <c r="L31" s="436"/>
      <c r="M31" s="437"/>
      <c r="N31" s="398">
        <f t="shared" si="0"/>
        <v>0</v>
      </c>
      <c r="O31" s="411">
        <f t="shared" si="1"/>
        <v>0</v>
      </c>
      <c r="P31" s="1182"/>
      <c r="Q31" s="1183"/>
      <c r="R31" s="1183"/>
      <c r="S31" s="1183"/>
      <c r="T31" s="1183"/>
      <c r="U31" s="1155"/>
      <c r="V31" s="1016"/>
      <c r="W31" s="142"/>
      <c r="X31" s="431"/>
      <c r="Y31" s="142"/>
      <c r="Z31" s="398">
        <f t="shared" si="2"/>
        <v>0</v>
      </c>
      <c r="AA31" s="411">
        <f t="shared" si="3"/>
        <v>0</v>
      </c>
      <c r="AB31" s="352"/>
    </row>
    <row r="32" spans="1:28" ht="27" customHeight="1" x14ac:dyDescent="0.25">
      <c r="A32" s="353">
        <v>23</v>
      </c>
      <c r="B32" s="435" t="s">
        <v>328</v>
      </c>
      <c r="C32" s="143" t="s">
        <v>329</v>
      </c>
      <c r="D32" s="1177"/>
      <c r="E32" s="1177" t="s">
        <v>581</v>
      </c>
      <c r="F32" s="1177"/>
      <c r="G32" s="1177"/>
      <c r="H32" s="1177" t="s">
        <v>581</v>
      </c>
      <c r="I32" s="1177"/>
      <c r="J32" s="1177"/>
      <c r="K32" s="568"/>
      <c r="L32" s="436"/>
      <c r="M32" s="424"/>
      <c r="N32" s="398">
        <f t="shared" si="0"/>
        <v>2</v>
      </c>
      <c r="O32" s="411">
        <f t="shared" si="1"/>
        <v>2</v>
      </c>
      <c r="P32" s="1182" t="s">
        <v>581</v>
      </c>
      <c r="Q32" s="1183" t="s">
        <v>581</v>
      </c>
      <c r="R32" s="1183"/>
      <c r="S32" s="1183"/>
      <c r="T32" s="1183"/>
      <c r="U32" s="1155"/>
      <c r="V32" s="1016"/>
      <c r="W32" s="142"/>
      <c r="X32" s="431"/>
      <c r="Y32" s="29"/>
      <c r="Z32" s="398">
        <f t="shared" si="2"/>
        <v>2</v>
      </c>
      <c r="AA32" s="411">
        <f t="shared" si="3"/>
        <v>2</v>
      </c>
      <c r="AB32" s="352"/>
    </row>
    <row r="33" spans="1:28" ht="27" customHeight="1" x14ac:dyDescent="0.25">
      <c r="A33" s="353">
        <v>24</v>
      </c>
      <c r="B33" s="435" t="s">
        <v>330</v>
      </c>
      <c r="C33" s="143" t="s">
        <v>331</v>
      </c>
      <c r="D33" s="1177"/>
      <c r="E33" s="1177"/>
      <c r="F33" s="1177"/>
      <c r="G33" s="1177"/>
      <c r="H33" s="1177"/>
      <c r="I33" s="1177"/>
      <c r="J33" s="1177"/>
      <c r="K33" s="568"/>
      <c r="L33" s="436"/>
      <c r="M33" s="424"/>
      <c r="N33" s="398">
        <f t="shared" si="0"/>
        <v>0</v>
      </c>
      <c r="O33" s="411">
        <f t="shared" si="1"/>
        <v>0</v>
      </c>
      <c r="P33" s="1182"/>
      <c r="Q33" s="1183"/>
      <c r="R33" s="1183"/>
      <c r="S33" s="1183"/>
      <c r="T33" s="1183"/>
      <c r="U33" s="1155"/>
      <c r="V33" s="1016"/>
      <c r="W33" s="142"/>
      <c r="X33" s="431"/>
      <c r="Y33" s="29"/>
      <c r="Z33" s="398">
        <f t="shared" si="2"/>
        <v>0</v>
      </c>
      <c r="AA33" s="411">
        <f t="shared" si="3"/>
        <v>0</v>
      </c>
      <c r="AB33" s="352"/>
    </row>
    <row r="34" spans="1:28" ht="27" customHeight="1" x14ac:dyDescent="0.25">
      <c r="A34" s="353">
        <v>25</v>
      </c>
      <c r="B34" s="435" t="s">
        <v>332</v>
      </c>
      <c r="C34" s="143" t="s">
        <v>333</v>
      </c>
      <c r="D34" s="1177"/>
      <c r="E34" s="1177" t="s">
        <v>581</v>
      </c>
      <c r="F34" s="1177"/>
      <c r="G34" s="1177"/>
      <c r="H34" s="1177"/>
      <c r="I34" s="1177" t="s">
        <v>581</v>
      </c>
      <c r="J34" s="1177"/>
      <c r="K34" s="568"/>
      <c r="L34" s="436"/>
      <c r="M34" s="424"/>
      <c r="N34" s="398">
        <f t="shared" si="0"/>
        <v>2</v>
      </c>
      <c r="O34" s="411">
        <f t="shared" si="1"/>
        <v>2</v>
      </c>
      <c r="P34" s="1182" t="s">
        <v>581</v>
      </c>
      <c r="Q34" s="1183" t="s">
        <v>581</v>
      </c>
      <c r="R34" s="1183"/>
      <c r="S34" s="1183"/>
      <c r="T34" s="1183"/>
      <c r="U34" s="1155"/>
      <c r="V34" s="1016"/>
      <c r="W34" s="142"/>
      <c r="X34" s="431"/>
      <c r="Y34" s="29"/>
      <c r="Z34" s="398">
        <f t="shared" si="2"/>
        <v>2</v>
      </c>
      <c r="AA34" s="411">
        <f t="shared" si="3"/>
        <v>2</v>
      </c>
      <c r="AB34" s="352"/>
    </row>
    <row r="35" spans="1:28" ht="27" customHeight="1" x14ac:dyDescent="0.25">
      <c r="A35" s="353">
        <v>26</v>
      </c>
      <c r="B35" s="71" t="s">
        <v>762</v>
      </c>
      <c r="C35" s="92" t="s">
        <v>761</v>
      </c>
      <c r="D35" s="1178"/>
      <c r="E35" s="1179"/>
      <c r="F35" s="1179"/>
      <c r="G35" s="1179"/>
      <c r="H35" s="1179"/>
      <c r="I35" s="1179"/>
      <c r="J35" s="1179"/>
      <c r="K35" s="436"/>
      <c r="L35" s="436"/>
      <c r="M35" s="424"/>
      <c r="N35" s="398">
        <f t="shared" si="0"/>
        <v>0</v>
      </c>
      <c r="O35" s="411">
        <f t="shared" si="1"/>
        <v>0</v>
      </c>
      <c r="P35" s="1182"/>
      <c r="Q35" s="1183"/>
      <c r="R35" s="1183"/>
      <c r="S35" s="1183"/>
      <c r="T35" s="1183"/>
      <c r="U35" s="1155"/>
      <c r="V35" s="1016"/>
      <c r="W35" s="142"/>
      <c r="X35" s="431"/>
      <c r="Y35" s="29"/>
      <c r="Z35" s="398">
        <f t="shared" ref="Z35:Z37" si="4">SUM(COUNTIF(P35:Y35,"X"),COUNTIF(P35:Y35,"A"))</f>
        <v>0</v>
      </c>
      <c r="AA35" s="411">
        <f t="shared" ref="AA35:AA37" si="5">SUM(COUNTIF(P35:Y35,"X"),COUNTIF(P35:Y35,"B"))</f>
        <v>0</v>
      </c>
      <c r="AB35" s="352"/>
    </row>
    <row r="36" spans="1:28" ht="27" customHeight="1" x14ac:dyDescent="0.25">
      <c r="A36" s="353">
        <v>27</v>
      </c>
      <c r="B36" s="188" t="s">
        <v>776</v>
      </c>
      <c r="C36" s="92" t="s">
        <v>777</v>
      </c>
      <c r="D36" s="1178"/>
      <c r="E36" s="1179"/>
      <c r="F36" s="1179"/>
      <c r="G36" s="1179"/>
      <c r="H36" s="1179"/>
      <c r="I36" s="1179"/>
      <c r="J36" s="1179"/>
      <c r="K36" s="436"/>
      <c r="L36" s="436"/>
      <c r="M36" s="424"/>
      <c r="N36" s="398">
        <f t="shared" ref="N36:N37" si="6">SUM(COUNTIF(D36:M36,"X"),COUNTIF(D36:M36,"A"))</f>
        <v>0</v>
      </c>
      <c r="O36" s="411">
        <f t="shared" ref="O36:O37" si="7">SUM(COUNTIF(D36:M36,"X"),COUNTIF(D36:M36,"B"))</f>
        <v>0</v>
      </c>
      <c r="P36" s="1182"/>
      <c r="Q36" s="1183"/>
      <c r="R36" s="1183"/>
      <c r="S36" s="1183"/>
      <c r="T36" s="1183"/>
      <c r="U36" s="1155"/>
      <c r="V36" s="1016"/>
      <c r="W36" s="582"/>
      <c r="X36" s="431"/>
      <c r="Y36" s="29"/>
      <c r="Z36" s="398">
        <f t="shared" si="4"/>
        <v>0</v>
      </c>
      <c r="AA36" s="411">
        <f t="shared" si="5"/>
        <v>0</v>
      </c>
      <c r="AB36" s="574"/>
    </row>
    <row r="37" spans="1:28" ht="27" customHeight="1" x14ac:dyDescent="0.25">
      <c r="A37" s="353">
        <v>28</v>
      </c>
      <c r="B37" s="580" t="s">
        <v>852</v>
      </c>
      <c r="C37" s="92" t="s">
        <v>857</v>
      </c>
      <c r="D37" s="1178"/>
      <c r="E37" s="1179"/>
      <c r="F37" s="1179"/>
      <c r="G37" s="1179"/>
      <c r="H37" s="1179"/>
      <c r="I37" s="1179"/>
      <c r="J37" s="1179"/>
      <c r="K37" s="436"/>
      <c r="L37" s="436"/>
      <c r="M37" s="424"/>
      <c r="N37" s="398">
        <f t="shared" si="6"/>
        <v>0</v>
      </c>
      <c r="O37" s="411">
        <f t="shared" si="7"/>
        <v>0</v>
      </c>
      <c r="P37" s="1182"/>
      <c r="Q37" s="1183"/>
      <c r="R37" s="1183"/>
      <c r="S37" s="1183"/>
      <c r="T37" s="1183"/>
      <c r="U37" s="1155"/>
      <c r="V37" s="1016"/>
      <c r="W37" s="204"/>
      <c r="X37" s="431"/>
      <c r="Y37" s="29"/>
      <c r="Z37" s="398">
        <f t="shared" si="4"/>
        <v>0</v>
      </c>
      <c r="AA37" s="411">
        <f t="shared" si="5"/>
        <v>0</v>
      </c>
      <c r="AB37" s="352"/>
    </row>
    <row r="38" spans="1:28" ht="20.25" customHeight="1" x14ac:dyDescent="0.25">
      <c r="A38" s="374"/>
      <c r="B38" s="374"/>
      <c r="C38" s="374"/>
      <c r="D38" s="374">
        <f>COUNTIF(D10:D37,"X")</f>
        <v>1</v>
      </c>
      <c r="E38" s="374">
        <f t="shared" ref="E38:P38" si="8">COUNTIF(E10:E37,"X")</f>
        <v>4</v>
      </c>
      <c r="F38" s="374">
        <f t="shared" si="8"/>
        <v>1</v>
      </c>
      <c r="G38" s="374">
        <f t="shared" si="8"/>
        <v>2</v>
      </c>
      <c r="H38" s="374">
        <f t="shared" si="8"/>
        <v>4</v>
      </c>
      <c r="I38" s="374">
        <f t="shared" si="8"/>
        <v>2</v>
      </c>
      <c r="J38" s="374">
        <f t="shared" si="8"/>
        <v>1</v>
      </c>
      <c r="K38" s="374">
        <f t="shared" si="8"/>
        <v>0</v>
      </c>
      <c r="L38" s="374">
        <f t="shared" si="8"/>
        <v>0</v>
      </c>
      <c r="M38" s="374">
        <f t="shared" si="8"/>
        <v>0</v>
      </c>
      <c r="N38" s="374"/>
      <c r="O38" s="374"/>
      <c r="P38" s="374">
        <f t="shared" si="8"/>
        <v>4</v>
      </c>
      <c r="Q38" s="374">
        <f t="shared" ref="Q38:Y38" si="9">COUNTIF(Q10:Q37,"X")</f>
        <v>3</v>
      </c>
      <c r="R38" s="374">
        <f t="shared" si="9"/>
        <v>3</v>
      </c>
      <c r="S38" s="374">
        <f t="shared" si="9"/>
        <v>2</v>
      </c>
      <c r="T38" s="374">
        <f t="shared" si="9"/>
        <v>2</v>
      </c>
      <c r="U38" s="374">
        <f t="shared" si="9"/>
        <v>0</v>
      </c>
      <c r="V38" s="374">
        <f t="shared" si="9"/>
        <v>0</v>
      </c>
      <c r="W38" s="374">
        <f t="shared" si="9"/>
        <v>0</v>
      </c>
      <c r="X38" s="374">
        <f t="shared" si="9"/>
        <v>0</v>
      </c>
      <c r="Y38" s="374">
        <f t="shared" si="9"/>
        <v>0</v>
      </c>
      <c r="Z38" s="374"/>
      <c r="AA38" s="374"/>
      <c r="AB38" s="374"/>
    </row>
    <row r="39" spans="1:28" ht="15.75" x14ac:dyDescent="0.25">
      <c r="A39" s="1395" t="s">
        <v>578</v>
      </c>
      <c r="B39" s="1395"/>
      <c r="C39" s="1395"/>
      <c r="D39" s="1395"/>
      <c r="E39" s="1395"/>
      <c r="F39" s="1395"/>
      <c r="G39" s="1395"/>
      <c r="H39" s="1395"/>
      <c r="I39" s="1395"/>
      <c r="J39" s="1395"/>
      <c r="K39" s="1395"/>
      <c r="L39" s="1395"/>
      <c r="M39" s="1395"/>
      <c r="N39" s="1395"/>
      <c r="O39" s="1395"/>
      <c r="P39" s="1395"/>
      <c r="Q39" s="1395"/>
      <c r="R39" s="1395"/>
      <c r="S39" s="1395"/>
      <c r="T39" s="1395"/>
      <c r="U39" s="1395"/>
      <c r="V39" s="1395"/>
      <c r="W39" s="1395"/>
      <c r="X39" s="1395"/>
      <c r="Y39" s="1395"/>
      <c r="Z39" s="1395"/>
      <c r="AA39" s="1395"/>
      <c r="AB39" s="1395"/>
    </row>
    <row r="40" spans="1:28" ht="17.25" x14ac:dyDescent="0.3">
      <c r="A40" s="375"/>
      <c r="B40" s="375"/>
      <c r="C40" s="375"/>
      <c r="D40" s="376"/>
      <c r="E40" s="376"/>
      <c r="F40" s="376"/>
      <c r="G40" s="376"/>
      <c r="H40" s="376"/>
      <c r="I40" s="376"/>
      <c r="J40" s="376"/>
      <c r="K40" s="376"/>
      <c r="L40" s="376"/>
      <c r="M40" s="377"/>
      <c r="N40" s="377"/>
      <c r="O40" s="377"/>
      <c r="P40" s="224"/>
      <c r="Q40" s="224"/>
      <c r="R40" s="224" t="str">
        <f>'P.KH-TC'!P22</f>
        <v>TP. HCM, ngày 2 tháng 11 năm 2023</v>
      </c>
      <c r="S40" s="224"/>
      <c r="T40" s="224"/>
      <c r="U40" s="224"/>
      <c r="V40" s="224"/>
      <c r="W40" s="224"/>
      <c r="X40" s="224"/>
      <c r="Y40" s="224"/>
      <c r="Z40" s="224"/>
      <c r="AA40" s="224"/>
      <c r="AB40" s="224"/>
    </row>
    <row r="41" spans="1:28" ht="17.25" x14ac:dyDescent="0.3">
      <c r="A41" s="375"/>
      <c r="B41" s="375"/>
      <c r="C41" s="375"/>
      <c r="D41" s="376"/>
      <c r="E41" s="376"/>
      <c r="F41" s="376"/>
      <c r="G41" s="376"/>
      <c r="H41" s="376"/>
      <c r="I41" s="376"/>
      <c r="J41" s="376"/>
      <c r="K41" s="376"/>
      <c r="L41" s="376"/>
      <c r="P41" s="1403" t="s">
        <v>579</v>
      </c>
      <c r="Q41" s="1403"/>
      <c r="R41" s="1403"/>
      <c r="S41" s="1403"/>
      <c r="T41" s="1403"/>
      <c r="U41" s="1403"/>
      <c r="V41" s="1403"/>
      <c r="W41" s="1403"/>
      <c r="X41" s="1403"/>
      <c r="Y41" s="1403"/>
      <c r="Z41" s="1403"/>
      <c r="AA41" s="1403"/>
      <c r="AB41" s="1403"/>
    </row>
    <row r="42" spans="1:28" ht="16.5" x14ac:dyDescent="0.25">
      <c r="P42" s="1399"/>
      <c r="Q42" s="1399"/>
      <c r="R42" s="1399"/>
      <c r="S42" s="1399"/>
      <c r="T42" s="1399"/>
      <c r="U42" s="1399"/>
      <c r="V42" s="1399"/>
      <c r="W42" s="1399"/>
      <c r="X42" s="1399"/>
      <c r="Y42" s="1399"/>
      <c r="Z42" s="1399"/>
      <c r="AA42" s="379"/>
    </row>
    <row r="43" spans="1:28" ht="18.75" x14ac:dyDescent="0.3">
      <c r="B43" s="381" t="s">
        <v>805</v>
      </c>
      <c r="C43" s="382" t="s">
        <v>802</v>
      </c>
    </row>
    <row r="44" spans="1:28" ht="18.75" x14ac:dyDescent="0.3">
      <c r="B44" s="382" t="s">
        <v>803</v>
      </c>
      <c r="C44" s="382" t="s">
        <v>804</v>
      </c>
    </row>
    <row r="48" spans="1:28" ht="16.5" x14ac:dyDescent="0.25">
      <c r="P48" s="1403" t="s">
        <v>592</v>
      </c>
      <c r="Q48" s="1403"/>
      <c r="R48" s="1403"/>
      <c r="S48" s="1403"/>
      <c r="T48" s="1403"/>
      <c r="U48" s="1403"/>
      <c r="V48" s="1403"/>
      <c r="W48" s="1403"/>
      <c r="X48" s="1403"/>
      <c r="Y48" s="1403"/>
      <c r="Z48" s="1403"/>
      <c r="AA48" s="1403"/>
      <c r="AB48" s="1403"/>
    </row>
  </sheetData>
  <autoFilter ref="A8:AB35"/>
  <mergeCells count="14">
    <mergeCell ref="A1:C1"/>
    <mergeCell ref="P1:AB1"/>
    <mergeCell ref="A2:C2"/>
    <mergeCell ref="P2:AB2"/>
    <mergeCell ref="A3:C3"/>
    <mergeCell ref="A5:AB5"/>
    <mergeCell ref="P41:AB41"/>
    <mergeCell ref="P48:AB48"/>
    <mergeCell ref="A7:A8"/>
    <mergeCell ref="B7:C7"/>
    <mergeCell ref="P7:Y7"/>
    <mergeCell ref="A39:AB39"/>
    <mergeCell ref="D7:N7"/>
    <mergeCell ref="P42:Z42"/>
  </mergeCell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E39"/>
  <sheetViews>
    <sheetView showZeros="0" topLeftCell="A7" zoomScale="70" zoomScaleNormal="70" workbookViewId="0">
      <pane xSplit="2" ySplit="3" topLeftCell="C25" activePane="bottomRight" state="frozen"/>
      <selection activeCell="A7" sqref="A7"/>
      <selection pane="topRight" activeCell="C7" sqref="C7"/>
      <selection pane="bottomLeft" activeCell="A10" sqref="A10"/>
      <selection pane="bottomRight" activeCell="C31" sqref="C31"/>
    </sheetView>
  </sheetViews>
  <sheetFormatPr defaultRowHeight="15" x14ac:dyDescent="0.25"/>
  <cols>
    <col min="1" max="1" width="5.28515625" customWidth="1"/>
    <col min="2" max="2" width="30.42578125" customWidth="1"/>
    <col min="3" max="3" width="14.7109375" customWidth="1"/>
    <col min="4" max="5" width="6.7109375" style="20" customWidth="1"/>
    <col min="6" max="8" width="6.7109375" style="207" customWidth="1"/>
    <col min="9" max="9" width="6.7109375" style="20" customWidth="1"/>
    <col min="10" max="10" width="6.7109375" style="207" customWidth="1"/>
    <col min="11" max="16" width="6.7109375" style="20" customWidth="1"/>
    <col min="17" max="17" width="6.7109375" style="203" customWidth="1"/>
    <col min="18" max="19" width="6.7109375" style="207" customWidth="1"/>
    <col min="20" max="20" width="6.7109375" style="20" customWidth="1"/>
    <col min="21" max="22" width="6.7109375" style="203" customWidth="1"/>
    <col min="23" max="29" width="6.7109375" style="20" customWidth="1"/>
    <col min="30" max="30" width="6.7109375" style="203" customWidth="1"/>
    <col min="31" max="31" width="15.7109375" style="20" customWidth="1"/>
  </cols>
  <sheetData>
    <row r="1" spans="1:31" ht="15" customHeight="1" x14ac:dyDescent="0.25">
      <c r="A1" s="1400" t="s">
        <v>559</v>
      </c>
      <c r="B1" s="1400"/>
      <c r="C1" s="1400"/>
      <c r="D1" s="16"/>
      <c r="E1" s="17"/>
      <c r="F1" s="205"/>
      <c r="G1" s="205"/>
      <c r="H1" s="205"/>
      <c r="I1" s="17"/>
      <c r="J1" s="205"/>
      <c r="K1" s="17"/>
      <c r="L1" s="17"/>
      <c r="M1" s="17"/>
      <c r="N1" s="17"/>
      <c r="O1" s="17"/>
      <c r="P1" s="17"/>
      <c r="Q1" s="17"/>
      <c r="R1" s="1401" t="s">
        <v>560</v>
      </c>
      <c r="S1" s="1401"/>
      <c r="T1" s="1401"/>
      <c r="U1" s="1401"/>
      <c r="V1" s="1401"/>
      <c r="W1" s="1401"/>
      <c r="X1" s="1401"/>
      <c r="Y1" s="1401"/>
      <c r="Z1" s="1401"/>
      <c r="AA1" s="1402"/>
      <c r="AB1" s="1402"/>
      <c r="AC1" s="1402"/>
      <c r="AD1" s="1402"/>
      <c r="AE1" s="1402"/>
    </row>
    <row r="2" spans="1:31" ht="15" customHeight="1" x14ac:dyDescent="0.25">
      <c r="A2" s="1400" t="s">
        <v>561</v>
      </c>
      <c r="B2" s="1400"/>
      <c r="C2" s="1400"/>
      <c r="D2" s="16"/>
      <c r="E2" s="17"/>
      <c r="F2" s="205"/>
      <c r="G2" s="205"/>
      <c r="H2" s="205"/>
      <c r="I2" s="17"/>
      <c r="J2" s="205"/>
      <c r="K2" s="17"/>
      <c r="L2" s="17"/>
      <c r="M2" s="17"/>
      <c r="N2" s="17"/>
      <c r="O2" s="17"/>
      <c r="P2" s="17"/>
      <c r="Q2" s="17"/>
      <c r="R2" s="1401" t="s">
        <v>562</v>
      </c>
      <c r="S2" s="1401"/>
      <c r="T2" s="1401"/>
      <c r="U2" s="1401"/>
      <c r="V2" s="1401"/>
      <c r="W2" s="1401"/>
      <c r="X2" s="1401"/>
      <c r="Y2" s="1401"/>
      <c r="Z2" s="1401"/>
      <c r="AA2" s="1401"/>
      <c r="AB2" s="1401"/>
      <c r="AC2" s="1401"/>
      <c r="AD2" s="1401"/>
      <c r="AE2" s="1401"/>
    </row>
    <row r="3" spans="1:31" ht="15" customHeight="1" x14ac:dyDescent="0.25">
      <c r="A3" s="1401" t="s">
        <v>593</v>
      </c>
      <c r="B3" s="1401"/>
      <c r="C3" s="1401"/>
      <c r="D3" s="16"/>
      <c r="E3" s="17"/>
      <c r="F3" s="205"/>
      <c r="G3" s="205"/>
      <c r="H3" s="205"/>
      <c r="I3" s="17"/>
      <c r="J3" s="205"/>
      <c r="K3" s="17"/>
      <c r="L3" s="17"/>
      <c r="M3" s="17"/>
      <c r="N3" s="17"/>
      <c r="O3" s="17"/>
      <c r="P3" s="17"/>
      <c r="Q3" s="17"/>
      <c r="R3" s="205"/>
      <c r="S3" s="205"/>
      <c r="T3" s="17"/>
      <c r="U3" s="17"/>
      <c r="V3" s="17"/>
      <c r="W3" s="17"/>
      <c r="X3" s="17"/>
      <c r="Y3" s="17"/>
      <c r="Z3" s="17"/>
      <c r="AA3" s="17"/>
      <c r="AB3" s="17"/>
      <c r="AC3" s="17"/>
      <c r="AD3" s="17"/>
      <c r="AE3" s="17"/>
    </row>
    <row r="4" spans="1:31" ht="15" customHeight="1" x14ac:dyDescent="0.25">
      <c r="A4" s="18"/>
      <c r="B4" s="18"/>
      <c r="C4" s="18"/>
      <c r="D4" s="16"/>
      <c r="E4" s="17"/>
      <c r="F4" s="205"/>
      <c r="G4" s="205"/>
      <c r="H4" s="205"/>
      <c r="I4" s="17"/>
      <c r="J4" s="205"/>
      <c r="K4" s="17"/>
      <c r="L4" s="17"/>
      <c r="M4" s="17"/>
      <c r="N4" s="17"/>
      <c r="O4" s="17"/>
      <c r="P4" s="17"/>
      <c r="Q4" s="17"/>
      <c r="R4" s="205"/>
      <c r="S4" s="205"/>
      <c r="T4" s="17"/>
      <c r="U4" s="17"/>
      <c r="V4" s="17"/>
      <c r="W4" s="17"/>
      <c r="X4" s="17"/>
      <c r="Y4" s="17"/>
      <c r="Z4" s="17"/>
      <c r="AA4" s="17"/>
      <c r="AB4" s="17"/>
      <c r="AC4" s="17"/>
      <c r="AD4" s="17"/>
      <c r="AE4" s="19" t="s">
        <v>563</v>
      </c>
    </row>
    <row r="5" spans="1:31" ht="20.25" x14ac:dyDescent="0.25">
      <c r="A5" s="1412" t="str">
        <f>'K.CƠ KHÍ'!A5:AB5</f>
        <v>THỐNG KÊ CHI TIẾT KHỐI LƯỢNG CÔNG VIỆC THỰC HIỆN THÁNG 10/2023</v>
      </c>
      <c r="B5" s="1412"/>
      <c r="C5" s="1412"/>
      <c r="D5" s="1412"/>
      <c r="E5" s="1412"/>
      <c r="F5" s="1412"/>
      <c r="G5" s="1412"/>
      <c r="H5" s="1412"/>
      <c r="I5" s="1412"/>
      <c r="J5" s="1412"/>
      <c r="K5" s="1412"/>
      <c r="L5" s="1412"/>
      <c r="M5" s="1412"/>
      <c r="N5" s="1412"/>
      <c r="O5" s="1412"/>
      <c r="P5" s="1412"/>
      <c r="Q5" s="1412"/>
      <c r="R5" s="1412"/>
      <c r="S5" s="1412"/>
      <c r="T5" s="1412"/>
      <c r="U5" s="1412"/>
      <c r="V5" s="1412"/>
      <c r="W5" s="1412"/>
      <c r="X5" s="1412"/>
      <c r="Y5" s="1412"/>
      <c r="Z5" s="1412"/>
      <c r="AA5" s="1412"/>
      <c r="AB5" s="1412"/>
      <c r="AC5" s="1412"/>
      <c r="AD5" s="1412"/>
      <c r="AE5" s="1412"/>
    </row>
    <row r="7" spans="1:31" ht="33.75" customHeight="1" x14ac:dyDescent="0.25">
      <c r="A7" s="1416" t="s">
        <v>0</v>
      </c>
      <c r="B7" s="1436" t="s">
        <v>564</v>
      </c>
      <c r="C7" s="1436"/>
      <c r="D7" s="1437" t="s">
        <v>110</v>
      </c>
      <c r="E7" s="1438"/>
      <c r="F7" s="1438"/>
      <c r="G7" s="1438"/>
      <c r="H7" s="1438"/>
      <c r="I7" s="1438"/>
      <c r="J7" s="1438"/>
      <c r="K7" s="1438"/>
      <c r="L7" s="1438"/>
      <c r="M7" s="1438"/>
      <c r="N7" s="1438"/>
      <c r="O7" s="1438"/>
      <c r="P7" s="1439"/>
      <c r="Q7" s="39"/>
      <c r="R7" s="1437" t="s">
        <v>565</v>
      </c>
      <c r="S7" s="1438"/>
      <c r="T7" s="1438"/>
      <c r="U7" s="1438"/>
      <c r="V7" s="1438"/>
      <c r="W7" s="1438"/>
      <c r="X7" s="1438"/>
      <c r="Y7" s="1438"/>
      <c r="Z7" s="1438"/>
      <c r="AA7" s="1438"/>
      <c r="AB7" s="1439"/>
      <c r="AC7" s="40"/>
      <c r="AD7" s="40"/>
      <c r="AE7" s="21" t="s">
        <v>4</v>
      </c>
    </row>
    <row r="8" spans="1:31" ht="90" customHeight="1" x14ac:dyDescent="0.25">
      <c r="A8" s="1417"/>
      <c r="B8" s="24" t="s">
        <v>461</v>
      </c>
      <c r="C8" s="129" t="s">
        <v>566</v>
      </c>
      <c r="D8" s="128" t="s">
        <v>567</v>
      </c>
      <c r="E8" s="128" t="s">
        <v>568</v>
      </c>
      <c r="F8" s="128" t="s">
        <v>569</v>
      </c>
      <c r="G8" s="128" t="s">
        <v>570</v>
      </c>
      <c r="H8" s="128" t="s">
        <v>571</v>
      </c>
      <c r="I8" s="128" t="s">
        <v>572</v>
      </c>
      <c r="J8" s="128" t="s">
        <v>573</v>
      </c>
      <c r="K8" s="128" t="s">
        <v>703</v>
      </c>
      <c r="L8" s="128" t="s">
        <v>704</v>
      </c>
      <c r="M8" s="128" t="s">
        <v>748</v>
      </c>
      <c r="N8" s="128" t="s">
        <v>749</v>
      </c>
      <c r="O8" s="128" t="s">
        <v>750</v>
      </c>
      <c r="P8" s="126" t="s">
        <v>588</v>
      </c>
      <c r="Q8" s="267" t="s">
        <v>795</v>
      </c>
      <c r="R8" s="132" t="s">
        <v>567</v>
      </c>
      <c r="S8" s="132" t="s">
        <v>568</v>
      </c>
      <c r="T8" s="132" t="s">
        <v>569</v>
      </c>
      <c r="U8" s="132" t="s">
        <v>570</v>
      </c>
      <c r="V8" s="132" t="s">
        <v>571</v>
      </c>
      <c r="W8" s="132" t="s">
        <v>572</v>
      </c>
      <c r="X8" s="132" t="s">
        <v>573</v>
      </c>
      <c r="Y8" s="132" t="s">
        <v>703</v>
      </c>
      <c r="Z8" s="132" t="s">
        <v>704</v>
      </c>
      <c r="AA8" s="132" t="s">
        <v>748</v>
      </c>
      <c r="AB8" s="132" t="s">
        <v>749</v>
      </c>
      <c r="AC8" s="126" t="s">
        <v>588</v>
      </c>
      <c r="AD8" s="267" t="s">
        <v>795</v>
      </c>
      <c r="AE8" s="21"/>
    </row>
    <row r="9" spans="1:31" ht="24.75" customHeight="1" x14ac:dyDescent="0.25">
      <c r="A9" s="22" t="s">
        <v>574</v>
      </c>
      <c r="B9" s="23"/>
      <c r="C9" s="273">
        <v>-1</v>
      </c>
      <c r="D9" s="273">
        <v>-2</v>
      </c>
      <c r="E9" s="273">
        <v>-3</v>
      </c>
      <c r="F9" s="273">
        <v>-4</v>
      </c>
      <c r="G9" s="273">
        <v>-5</v>
      </c>
      <c r="H9" s="273">
        <v>-6</v>
      </c>
      <c r="I9" s="273">
        <v>-7</v>
      </c>
      <c r="J9" s="273">
        <v>-8</v>
      </c>
      <c r="K9" s="273">
        <v>-9</v>
      </c>
      <c r="L9" s="273">
        <v>-10</v>
      </c>
      <c r="M9" s="273">
        <v>-11</v>
      </c>
      <c r="N9" s="273">
        <v>-12</v>
      </c>
      <c r="O9" s="273">
        <v>-13</v>
      </c>
      <c r="P9" s="273">
        <v>-14</v>
      </c>
      <c r="Q9" s="274">
        <v>-15</v>
      </c>
      <c r="R9" s="273">
        <v>-16</v>
      </c>
      <c r="S9" s="273">
        <v>-17</v>
      </c>
      <c r="T9" s="273">
        <v>-18</v>
      </c>
      <c r="U9" s="273">
        <v>-19</v>
      </c>
      <c r="V9" s="273">
        <v>-20</v>
      </c>
      <c r="W9" s="273">
        <v>-21</v>
      </c>
      <c r="X9" s="273">
        <v>-22</v>
      </c>
      <c r="Y9" s="273">
        <v>-23</v>
      </c>
      <c r="Z9" s="273">
        <v>-24</v>
      </c>
      <c r="AA9" s="273">
        <v>-25</v>
      </c>
      <c r="AB9" s="273">
        <v>-26</v>
      </c>
      <c r="AC9" s="273">
        <v>-27</v>
      </c>
      <c r="AD9" s="274">
        <v>-28</v>
      </c>
      <c r="AE9" s="273">
        <v>-29</v>
      </c>
    </row>
    <row r="10" spans="1:31" ht="24" customHeight="1" x14ac:dyDescent="0.25">
      <c r="A10" s="26">
        <v>1</v>
      </c>
      <c r="B10" s="9" t="s">
        <v>474</v>
      </c>
      <c r="C10" s="14" t="s">
        <v>475</v>
      </c>
      <c r="D10" s="1225"/>
      <c r="E10" s="1225" t="s">
        <v>581</v>
      </c>
      <c r="F10" s="1226" t="s">
        <v>581</v>
      </c>
      <c r="G10" s="1084"/>
      <c r="H10" s="1085"/>
      <c r="I10" s="1086"/>
      <c r="J10" s="1086"/>
      <c r="K10" s="1086"/>
      <c r="L10" s="537"/>
      <c r="M10" s="24"/>
      <c r="N10" s="24"/>
      <c r="O10" s="27"/>
      <c r="P10" s="48">
        <f>SUM(COUNTIF(D10:O10,"x"),COUNTIF(D10:O10,"A"))</f>
        <v>2</v>
      </c>
      <c r="Q10" s="270">
        <f>SUM(COUNTIF(D10:O10,"x"),COUNTIF(D10:O10,"b"))</f>
        <v>2</v>
      </c>
      <c r="R10" s="1226" t="s">
        <v>581</v>
      </c>
      <c r="S10" s="1226" t="s">
        <v>581</v>
      </c>
      <c r="T10" s="1180" t="s">
        <v>581</v>
      </c>
      <c r="U10" s="1225"/>
      <c r="V10" s="1232"/>
      <c r="W10" s="1232"/>
      <c r="X10" s="45"/>
      <c r="Y10" s="45"/>
      <c r="Z10" s="223"/>
      <c r="AA10" s="223"/>
      <c r="AB10" s="223"/>
      <c r="AC10" s="48">
        <f>SUM(COUNTIF(R10:AB10,"x"),COUNTIF(R10:AB10,"A"))</f>
        <v>3</v>
      </c>
      <c r="AD10" s="270">
        <f>SUM(COUNTIF(R10:AB10,"x"),COUNTIF(R10:AB10,"b"))</f>
        <v>3</v>
      </c>
      <c r="AE10" s="25"/>
    </row>
    <row r="11" spans="1:31" ht="24" customHeight="1" x14ac:dyDescent="0.25">
      <c r="A11" s="26">
        <v>4</v>
      </c>
      <c r="B11" s="9" t="s">
        <v>468</v>
      </c>
      <c r="C11" s="14" t="s">
        <v>469</v>
      </c>
      <c r="D11" s="1226" t="s">
        <v>581</v>
      </c>
      <c r="E11" s="1226" t="s">
        <v>581</v>
      </c>
      <c r="F11" s="1225"/>
      <c r="G11" s="1083"/>
      <c r="H11" s="1083"/>
      <c r="I11" s="1083"/>
      <c r="J11" s="1087"/>
      <c r="K11" s="1085"/>
      <c r="L11" s="537"/>
      <c r="M11" s="24"/>
      <c r="N11" s="24"/>
      <c r="O11" s="27"/>
      <c r="P11" s="48">
        <f>SUM(COUNTIF(D11:O11,"x"),COUNTIF(D11:O11,"A"))</f>
        <v>2</v>
      </c>
      <c r="Q11" s="270">
        <f>SUM(COUNTIF(D11:O11,"x"),COUNTIF(D11:O11,"b"))</f>
        <v>2</v>
      </c>
      <c r="R11" s="1226" t="s">
        <v>581</v>
      </c>
      <c r="S11" s="1226" t="s">
        <v>581</v>
      </c>
      <c r="T11" s="1180" t="s">
        <v>581</v>
      </c>
      <c r="U11" s="1225"/>
      <c r="V11" s="1232"/>
      <c r="W11" s="1232"/>
      <c r="X11" s="45"/>
      <c r="Y11" s="45"/>
      <c r="Z11" s="223"/>
      <c r="AA11" s="223"/>
      <c r="AB11" s="223"/>
      <c r="AC11" s="48">
        <f>SUM(COUNTIF(R11:AB11,"x"),COUNTIF(R11:AB11,"A"))</f>
        <v>3</v>
      </c>
      <c r="AD11" s="270">
        <f>SUM(COUNTIF(R11:AB11,"x"),COUNTIF(R11:AB11,"b"))</f>
        <v>3</v>
      </c>
      <c r="AE11" s="25"/>
    </row>
    <row r="12" spans="1:31" ht="24" customHeight="1" x14ac:dyDescent="0.25">
      <c r="A12" s="26">
        <v>2</v>
      </c>
      <c r="B12" s="9" t="s">
        <v>464</v>
      </c>
      <c r="C12" s="14" t="s">
        <v>465</v>
      </c>
      <c r="D12" s="1225"/>
      <c r="E12" s="1225"/>
      <c r="F12" s="1226" t="s">
        <v>581</v>
      </c>
      <c r="G12" s="1083"/>
      <c r="H12" s="1083"/>
      <c r="I12" s="1083"/>
      <c r="J12" s="1087"/>
      <c r="K12" s="1083"/>
      <c r="L12" s="537"/>
      <c r="M12" s="24"/>
      <c r="N12" s="24"/>
      <c r="O12" s="27"/>
      <c r="P12" s="48">
        <f t="shared" ref="P12:P27" si="0">SUM(COUNTIF(D12:O12,"x"),COUNTIF(D12:O12,"A"))</f>
        <v>1</v>
      </c>
      <c r="Q12" s="270">
        <f t="shared" ref="Q12:Q27" si="1">SUM(COUNTIF(D12:O12,"x"),COUNTIF(D12:O12,"b"))</f>
        <v>1</v>
      </c>
      <c r="R12" s="1233" t="s">
        <v>581</v>
      </c>
      <c r="S12" s="1233"/>
      <c r="T12" s="1233"/>
      <c r="U12" s="1205"/>
      <c r="V12" s="1205"/>
      <c r="W12" s="1205"/>
      <c r="X12" s="45"/>
      <c r="Y12" s="45"/>
      <c r="Z12" s="223"/>
      <c r="AA12" s="223"/>
      <c r="AB12" s="223"/>
      <c r="AC12" s="48">
        <f t="shared" ref="AC12:AC27" si="2">SUM(COUNTIF(R12:AB12,"x"),COUNTIF(R12:AB12,"A"))</f>
        <v>1</v>
      </c>
      <c r="AD12" s="270">
        <f t="shared" ref="AD12:AD27" si="3">SUM(COUNTIF(R12:AB12,"x"),COUNTIF(R12:AB12,"b"))</f>
        <v>1</v>
      </c>
      <c r="AE12" s="25"/>
    </row>
    <row r="13" spans="1:31" ht="24" customHeight="1" x14ac:dyDescent="0.25">
      <c r="A13" s="26">
        <v>3</v>
      </c>
      <c r="B13" s="9" t="s">
        <v>466</v>
      </c>
      <c r="C13" s="14" t="s">
        <v>467</v>
      </c>
      <c r="D13" s="1225"/>
      <c r="E13" s="1225"/>
      <c r="F13" s="1226" t="s">
        <v>581</v>
      </c>
      <c r="G13" s="1083"/>
      <c r="H13" s="1083"/>
      <c r="I13" s="1083"/>
      <c r="J13" s="1087"/>
      <c r="K13" s="1083"/>
      <c r="L13" s="537"/>
      <c r="M13" s="24"/>
      <c r="N13" s="24"/>
      <c r="O13" s="27"/>
      <c r="P13" s="48">
        <f t="shared" si="0"/>
        <v>1</v>
      </c>
      <c r="Q13" s="270">
        <f t="shared" si="1"/>
        <v>1</v>
      </c>
      <c r="R13" s="1233" t="s">
        <v>581</v>
      </c>
      <c r="S13" s="1233"/>
      <c r="T13" s="1233"/>
      <c r="U13" s="1205"/>
      <c r="V13" s="1205"/>
      <c r="W13" s="1205"/>
      <c r="X13" s="45"/>
      <c r="Y13" s="45"/>
      <c r="Z13" s="223"/>
      <c r="AA13" s="223"/>
      <c r="AB13" s="223"/>
      <c r="AC13" s="48">
        <f t="shared" si="2"/>
        <v>1</v>
      </c>
      <c r="AD13" s="270">
        <f t="shared" si="3"/>
        <v>1</v>
      </c>
      <c r="AE13" s="25"/>
    </row>
    <row r="14" spans="1:31" ht="24" customHeight="1" x14ac:dyDescent="0.25">
      <c r="A14" s="26">
        <v>5</v>
      </c>
      <c r="B14" s="9" t="s">
        <v>470</v>
      </c>
      <c r="C14" s="14" t="s">
        <v>471</v>
      </c>
      <c r="D14" s="1225"/>
      <c r="E14" s="1225"/>
      <c r="F14" s="1226"/>
      <c r="G14" s="1083"/>
      <c r="H14" s="1083"/>
      <c r="I14" s="1083"/>
      <c r="J14" s="1087"/>
      <c r="K14" s="1083"/>
      <c r="L14" s="537"/>
      <c r="M14" s="24"/>
      <c r="N14" s="24"/>
      <c r="O14" s="27"/>
      <c r="P14" s="48">
        <f t="shared" si="0"/>
        <v>0</v>
      </c>
      <c r="Q14" s="270">
        <f t="shared" si="1"/>
        <v>0</v>
      </c>
      <c r="R14" s="1233" t="s">
        <v>581</v>
      </c>
      <c r="S14" s="1233"/>
      <c r="T14" s="1233"/>
      <c r="U14" s="1205"/>
      <c r="V14" s="1205"/>
      <c r="W14" s="1205"/>
      <c r="X14" s="45"/>
      <c r="Y14" s="45"/>
      <c r="Z14" s="223"/>
      <c r="AA14" s="223"/>
      <c r="AB14" s="223"/>
      <c r="AC14" s="48">
        <f t="shared" si="2"/>
        <v>1</v>
      </c>
      <c r="AD14" s="270">
        <f t="shared" si="3"/>
        <v>1</v>
      </c>
      <c r="AE14" s="25"/>
    </row>
    <row r="15" spans="1:31" ht="24" customHeight="1" x14ac:dyDescent="0.25">
      <c r="A15" s="26">
        <v>6</v>
      </c>
      <c r="B15" s="9" t="s">
        <v>472</v>
      </c>
      <c r="C15" s="14" t="s">
        <v>473</v>
      </c>
      <c r="D15" s="1225"/>
      <c r="E15" s="1225"/>
      <c r="F15" s="1226"/>
      <c r="G15" s="1083"/>
      <c r="H15" s="1083"/>
      <c r="I15" s="1083"/>
      <c r="J15" s="1087"/>
      <c r="K15" s="1085"/>
      <c r="L15" s="537"/>
      <c r="M15" s="24"/>
      <c r="N15" s="24"/>
      <c r="O15" s="27"/>
      <c r="P15" s="48">
        <f t="shared" si="0"/>
        <v>0</v>
      </c>
      <c r="Q15" s="270">
        <f t="shared" si="1"/>
        <v>0</v>
      </c>
      <c r="R15" s="1233" t="s">
        <v>581</v>
      </c>
      <c r="S15" s="1233" t="s">
        <v>581</v>
      </c>
      <c r="T15" s="1233"/>
      <c r="U15" s="1205"/>
      <c r="V15" s="1205"/>
      <c r="W15" s="1205"/>
      <c r="X15" s="45"/>
      <c r="Y15" s="45"/>
      <c r="Z15" s="223"/>
      <c r="AA15" s="223"/>
      <c r="AB15" s="223"/>
      <c r="AC15" s="48">
        <f t="shared" si="2"/>
        <v>2</v>
      </c>
      <c r="AD15" s="270">
        <f t="shared" si="3"/>
        <v>2</v>
      </c>
      <c r="AE15" s="25"/>
    </row>
    <row r="16" spans="1:31" ht="24" customHeight="1" x14ac:dyDescent="0.25">
      <c r="A16" s="26">
        <v>7</v>
      </c>
      <c r="B16" s="9" t="s">
        <v>476</v>
      </c>
      <c r="C16" s="14" t="s">
        <v>477</v>
      </c>
      <c r="D16" s="1227"/>
      <c r="E16" s="1227"/>
      <c r="F16" s="1228" t="s">
        <v>581</v>
      </c>
      <c r="G16" s="1088"/>
      <c r="H16" s="1083"/>
      <c r="I16" s="1088"/>
      <c r="J16" s="1087"/>
      <c r="K16" s="1088"/>
      <c r="L16" s="539"/>
      <c r="M16" s="24"/>
      <c r="N16" s="24"/>
      <c r="O16" s="27"/>
      <c r="P16" s="48">
        <f t="shared" si="0"/>
        <v>1</v>
      </c>
      <c r="Q16" s="270">
        <f t="shared" si="1"/>
        <v>1</v>
      </c>
      <c r="R16" s="1228" t="s">
        <v>581</v>
      </c>
      <c r="S16" s="1228"/>
      <c r="T16" s="1228"/>
      <c r="U16" s="1234" t="s">
        <v>581</v>
      </c>
      <c r="V16" s="1234"/>
      <c r="W16" s="1234"/>
      <c r="X16" s="45"/>
      <c r="Y16" s="45"/>
      <c r="Z16" s="223"/>
      <c r="AA16" s="223"/>
      <c r="AB16" s="223"/>
      <c r="AC16" s="48">
        <f t="shared" si="2"/>
        <v>2</v>
      </c>
      <c r="AD16" s="270">
        <f t="shared" si="3"/>
        <v>2</v>
      </c>
      <c r="AE16" s="25"/>
    </row>
    <row r="17" spans="1:31" ht="24" customHeight="1" x14ac:dyDescent="0.25">
      <c r="A17" s="26">
        <v>8</v>
      </c>
      <c r="B17" s="9" t="s">
        <v>479</v>
      </c>
      <c r="C17" s="14" t="s">
        <v>480</v>
      </c>
      <c r="D17" s="1226"/>
      <c r="E17" s="1226"/>
      <c r="F17" s="1229"/>
      <c r="G17" s="1087"/>
      <c r="H17" s="751"/>
      <c r="I17" s="1087"/>
      <c r="J17" s="1083"/>
      <c r="K17" s="1083"/>
      <c r="L17" s="537"/>
      <c r="M17" s="24"/>
      <c r="N17" s="24"/>
      <c r="O17" s="27"/>
      <c r="P17" s="48">
        <f t="shared" si="0"/>
        <v>0</v>
      </c>
      <c r="Q17" s="270">
        <f t="shared" si="1"/>
        <v>0</v>
      </c>
      <c r="R17" s="1233" t="s">
        <v>581</v>
      </c>
      <c r="S17" s="1233"/>
      <c r="T17" s="1226"/>
      <c r="U17" s="1235" t="s">
        <v>581</v>
      </c>
      <c r="V17" s="1205"/>
      <c r="W17" s="1205"/>
      <c r="X17" s="45"/>
      <c r="Y17" s="45"/>
      <c r="Z17" s="223"/>
      <c r="AA17" s="223"/>
      <c r="AB17" s="223"/>
      <c r="AC17" s="48">
        <f t="shared" si="2"/>
        <v>2</v>
      </c>
      <c r="AD17" s="270">
        <f t="shared" si="3"/>
        <v>2</v>
      </c>
      <c r="AE17" s="25"/>
    </row>
    <row r="18" spans="1:31" ht="24" customHeight="1" x14ac:dyDescent="0.25">
      <c r="A18" s="26">
        <v>9</v>
      </c>
      <c r="B18" s="9" t="s">
        <v>481</v>
      </c>
      <c r="C18" s="14" t="s">
        <v>482</v>
      </c>
      <c r="D18" s="1225"/>
      <c r="E18" s="1229"/>
      <c r="F18" s="1226" t="s">
        <v>581</v>
      </c>
      <c r="G18" s="1087"/>
      <c r="H18" s="1083"/>
      <c r="I18" s="1087"/>
      <c r="J18" s="1083"/>
      <c r="K18" s="1083"/>
      <c r="L18" s="537"/>
      <c r="M18" s="24"/>
      <c r="N18" s="24"/>
      <c r="O18" s="27"/>
      <c r="P18" s="48">
        <f t="shared" si="0"/>
        <v>1</v>
      </c>
      <c r="Q18" s="270">
        <f t="shared" si="1"/>
        <v>1</v>
      </c>
      <c r="R18" s="1233" t="s">
        <v>581</v>
      </c>
      <c r="S18" s="1233" t="s">
        <v>581</v>
      </c>
      <c r="T18" s="1226"/>
      <c r="U18" s="1205"/>
      <c r="V18" s="1205"/>
      <c r="W18" s="1205"/>
      <c r="X18" s="45"/>
      <c r="Y18" s="45"/>
      <c r="Z18" s="223"/>
      <c r="AA18" s="223"/>
      <c r="AB18" s="223"/>
      <c r="AC18" s="48">
        <f t="shared" si="2"/>
        <v>2</v>
      </c>
      <c r="AD18" s="270">
        <f t="shared" si="3"/>
        <v>2</v>
      </c>
      <c r="AE18" s="25"/>
    </row>
    <row r="19" spans="1:31" ht="24" customHeight="1" x14ac:dyDescent="0.25">
      <c r="A19" s="26">
        <v>10</v>
      </c>
      <c r="B19" s="9" t="s">
        <v>483</v>
      </c>
      <c r="C19" s="14" t="s">
        <v>484</v>
      </c>
      <c r="D19" s="1230"/>
      <c r="E19" s="1229"/>
      <c r="F19" s="1229" t="s">
        <v>581</v>
      </c>
      <c r="G19" s="1087"/>
      <c r="H19" s="1083"/>
      <c r="I19" s="1087"/>
      <c r="J19" s="1083"/>
      <c r="K19" s="1083"/>
      <c r="L19" s="537"/>
      <c r="M19" s="24"/>
      <c r="N19" s="24"/>
      <c r="O19" s="27"/>
      <c r="P19" s="48">
        <f t="shared" si="0"/>
        <v>1</v>
      </c>
      <c r="Q19" s="270">
        <f t="shared" si="1"/>
        <v>1</v>
      </c>
      <c r="R19" s="1226"/>
      <c r="S19" s="1226"/>
      <c r="T19" s="1226" t="s">
        <v>581</v>
      </c>
      <c r="U19" s="1225"/>
      <c r="V19" s="1205"/>
      <c r="W19" s="1205"/>
      <c r="X19" s="45"/>
      <c r="Y19" s="45"/>
      <c r="Z19" s="223"/>
      <c r="AA19" s="223"/>
      <c r="AB19" s="223"/>
      <c r="AC19" s="48">
        <f t="shared" si="2"/>
        <v>1</v>
      </c>
      <c r="AD19" s="270">
        <f t="shared" si="3"/>
        <v>1</v>
      </c>
      <c r="AE19" s="25"/>
    </row>
    <row r="20" spans="1:31" ht="24" customHeight="1" x14ac:dyDescent="0.25">
      <c r="A20" s="26">
        <v>11</v>
      </c>
      <c r="B20" s="9" t="s">
        <v>485</v>
      </c>
      <c r="C20" s="14" t="s">
        <v>486</v>
      </c>
      <c r="D20" s="1225"/>
      <c r="E20" s="1229"/>
      <c r="F20" s="1229" t="s">
        <v>581</v>
      </c>
      <c r="G20" s="1087"/>
      <c r="H20" s="1083"/>
      <c r="I20" s="1087"/>
      <c r="J20" s="1083"/>
      <c r="K20" s="1083"/>
      <c r="L20" s="537"/>
      <c r="M20" s="24"/>
      <c r="N20" s="24"/>
      <c r="O20" s="27"/>
      <c r="P20" s="48">
        <f t="shared" si="0"/>
        <v>1</v>
      </c>
      <c r="Q20" s="270">
        <f t="shared" si="1"/>
        <v>1</v>
      </c>
      <c r="R20" s="1225"/>
      <c r="S20" s="1225"/>
      <c r="T20" s="1225"/>
      <c r="U20" s="1225"/>
      <c r="V20" s="1205"/>
      <c r="W20" s="1205"/>
      <c r="X20" s="45"/>
      <c r="Y20" s="45"/>
      <c r="Z20" s="223"/>
      <c r="AA20" s="223"/>
      <c r="AB20" s="223"/>
      <c r="AC20" s="48">
        <f t="shared" si="2"/>
        <v>0</v>
      </c>
      <c r="AD20" s="270">
        <f t="shared" si="3"/>
        <v>0</v>
      </c>
      <c r="AE20" s="25"/>
    </row>
    <row r="21" spans="1:31" ht="24" customHeight="1" x14ac:dyDescent="0.25">
      <c r="A21" s="26">
        <v>12</v>
      </c>
      <c r="B21" s="9" t="s">
        <v>487</v>
      </c>
      <c r="C21" s="14" t="s">
        <v>488</v>
      </c>
      <c r="D21" s="1225"/>
      <c r="E21" s="1229"/>
      <c r="F21" s="1229" t="s">
        <v>581</v>
      </c>
      <c r="G21" s="1087"/>
      <c r="H21" s="1083"/>
      <c r="I21" s="1087"/>
      <c r="J21" s="1083"/>
      <c r="K21" s="1083"/>
      <c r="L21" s="537"/>
      <c r="M21" s="24"/>
      <c r="N21" s="24"/>
      <c r="O21" s="27"/>
      <c r="P21" s="48">
        <f t="shared" si="0"/>
        <v>1</v>
      </c>
      <c r="Q21" s="270">
        <f t="shared" si="1"/>
        <v>1</v>
      </c>
      <c r="R21" s="1233" t="s">
        <v>581</v>
      </c>
      <c r="S21" s="1233" t="s">
        <v>581</v>
      </c>
      <c r="T21" s="1226" t="s">
        <v>581</v>
      </c>
      <c r="U21" s="1205" t="s">
        <v>581</v>
      </c>
      <c r="V21" s="1205"/>
      <c r="W21" s="1205"/>
      <c r="X21" s="45"/>
      <c r="Y21" s="45"/>
      <c r="Z21" s="223"/>
      <c r="AA21" s="223"/>
      <c r="AB21" s="223"/>
      <c r="AC21" s="48">
        <f t="shared" si="2"/>
        <v>4</v>
      </c>
      <c r="AD21" s="270">
        <f t="shared" si="3"/>
        <v>4</v>
      </c>
      <c r="AE21" s="25"/>
    </row>
    <row r="22" spans="1:31" ht="24" customHeight="1" x14ac:dyDescent="0.25">
      <c r="A22" s="26">
        <v>13</v>
      </c>
      <c r="B22" s="9" t="s">
        <v>489</v>
      </c>
      <c r="C22" s="14" t="s">
        <v>490</v>
      </c>
      <c r="D22" s="1225"/>
      <c r="E22" s="1229"/>
      <c r="F22" s="1229"/>
      <c r="G22" s="1087"/>
      <c r="H22" s="1083"/>
      <c r="I22" s="1087"/>
      <c r="J22" s="1083"/>
      <c r="K22" s="1083"/>
      <c r="L22" s="497"/>
      <c r="M22" s="24"/>
      <c r="N22" s="24"/>
      <c r="O22" s="27"/>
      <c r="P22" s="48">
        <f t="shared" si="0"/>
        <v>0</v>
      </c>
      <c r="Q22" s="270">
        <f t="shared" si="1"/>
        <v>0</v>
      </c>
      <c r="R22" s="1233"/>
      <c r="S22" s="1233"/>
      <c r="T22" s="1225"/>
      <c r="U22" s="1229"/>
      <c r="V22" s="1229"/>
      <c r="W22" s="1229"/>
      <c r="X22" s="217"/>
      <c r="Y22" s="217"/>
      <c r="Z22" s="29"/>
      <c r="AA22" s="29"/>
      <c r="AB22" s="29"/>
      <c r="AC22" s="48">
        <f t="shared" si="2"/>
        <v>0</v>
      </c>
      <c r="AD22" s="270">
        <f t="shared" si="3"/>
        <v>0</v>
      </c>
      <c r="AE22" s="25"/>
    </row>
    <row r="23" spans="1:31" ht="24" customHeight="1" x14ac:dyDescent="0.25">
      <c r="A23" s="26">
        <v>14</v>
      </c>
      <c r="B23" s="9" t="s">
        <v>491</v>
      </c>
      <c r="C23" s="14" t="s">
        <v>492</v>
      </c>
      <c r="D23" s="1226"/>
      <c r="E23" s="1229"/>
      <c r="F23" s="1229" t="s">
        <v>581</v>
      </c>
      <c r="G23" s="1087"/>
      <c r="H23" s="1083"/>
      <c r="I23" s="1087"/>
      <c r="J23" s="1083"/>
      <c r="K23" s="1085"/>
      <c r="L23" s="498"/>
      <c r="M23" s="24"/>
      <c r="N23" s="24"/>
      <c r="O23" s="27"/>
      <c r="P23" s="48">
        <f t="shared" si="0"/>
        <v>1</v>
      </c>
      <c r="Q23" s="270">
        <f t="shared" si="1"/>
        <v>1</v>
      </c>
      <c r="R23" s="1233" t="s">
        <v>581</v>
      </c>
      <c r="S23" s="1233" t="s">
        <v>581</v>
      </c>
      <c r="T23" s="1226"/>
      <c r="U23" s="1226"/>
      <c r="V23" s="1225"/>
      <c r="W23" s="1229" t="s">
        <v>581</v>
      </c>
      <c r="X23" s="217"/>
      <c r="Y23" s="217"/>
      <c r="Z23" s="29"/>
      <c r="AA23" s="29"/>
      <c r="AB23" s="29"/>
      <c r="AC23" s="48">
        <f t="shared" si="2"/>
        <v>3</v>
      </c>
      <c r="AD23" s="270">
        <f t="shared" si="3"/>
        <v>3</v>
      </c>
      <c r="AE23" s="25"/>
    </row>
    <row r="24" spans="1:31" ht="24" customHeight="1" x14ac:dyDescent="0.25">
      <c r="A24" s="26">
        <v>15</v>
      </c>
      <c r="B24" s="9" t="s">
        <v>493</v>
      </c>
      <c r="C24" s="14" t="s">
        <v>494</v>
      </c>
      <c r="D24" s="1226"/>
      <c r="E24" s="1225"/>
      <c r="F24" s="1226" t="s">
        <v>581</v>
      </c>
      <c r="G24" s="1083"/>
      <c r="H24" s="1083"/>
      <c r="I24" s="1083"/>
      <c r="J24" s="1087"/>
      <c r="K24" s="1083"/>
      <c r="L24" s="498"/>
      <c r="M24" s="45"/>
      <c r="N24" s="45"/>
      <c r="O24" s="27"/>
      <c r="P24" s="48">
        <f t="shared" si="0"/>
        <v>1</v>
      </c>
      <c r="Q24" s="270">
        <f t="shared" si="1"/>
        <v>1</v>
      </c>
      <c r="R24" s="1226"/>
      <c r="S24" s="1226"/>
      <c r="T24" s="1226" t="s">
        <v>581</v>
      </c>
      <c r="U24" s="1229"/>
      <c r="V24" s="1229"/>
      <c r="W24" s="1229"/>
      <c r="X24" s="217"/>
      <c r="Y24" s="217"/>
      <c r="Z24" s="29"/>
      <c r="AA24" s="29"/>
      <c r="AB24" s="29"/>
      <c r="AC24" s="48">
        <f t="shared" si="2"/>
        <v>1</v>
      </c>
      <c r="AD24" s="270">
        <f t="shared" si="3"/>
        <v>1</v>
      </c>
      <c r="AE24" s="25"/>
    </row>
    <row r="25" spans="1:31" ht="24" customHeight="1" x14ac:dyDescent="0.25">
      <c r="A25" s="26">
        <v>16</v>
      </c>
      <c r="B25" s="9" t="s">
        <v>495</v>
      </c>
      <c r="C25" s="14" t="s">
        <v>496</v>
      </c>
      <c r="D25" s="1226"/>
      <c r="E25" s="1225"/>
      <c r="F25" s="1226" t="s">
        <v>581</v>
      </c>
      <c r="G25" s="1083"/>
      <c r="H25" s="1083"/>
      <c r="I25" s="1083"/>
      <c r="J25" s="1087"/>
      <c r="K25" s="1083"/>
      <c r="L25" s="498"/>
      <c r="M25" s="24"/>
      <c r="N25" s="24"/>
      <c r="O25" s="27"/>
      <c r="P25" s="48">
        <f t="shared" si="0"/>
        <v>1</v>
      </c>
      <c r="Q25" s="270">
        <f t="shared" si="1"/>
        <v>1</v>
      </c>
      <c r="R25" s="1226" t="s">
        <v>581</v>
      </c>
      <c r="S25" s="1226"/>
      <c r="T25" s="1226" t="s">
        <v>581</v>
      </c>
      <c r="U25" s="1229"/>
      <c r="V25" s="1225"/>
      <c r="W25" s="1229"/>
      <c r="X25" s="217"/>
      <c r="Y25" s="217"/>
      <c r="Z25" s="29"/>
      <c r="AA25" s="29"/>
      <c r="AB25" s="29"/>
      <c r="AC25" s="48">
        <f t="shared" si="2"/>
        <v>2</v>
      </c>
      <c r="AD25" s="270">
        <f t="shared" si="3"/>
        <v>2</v>
      </c>
      <c r="AE25" s="25"/>
    </row>
    <row r="26" spans="1:31" ht="24" customHeight="1" x14ac:dyDescent="0.25">
      <c r="A26" s="26">
        <v>17</v>
      </c>
      <c r="B26" s="9" t="s">
        <v>497</v>
      </c>
      <c r="C26" s="14" t="s">
        <v>498</v>
      </c>
      <c r="D26" s="1226"/>
      <c r="E26" s="1226" t="s">
        <v>581</v>
      </c>
      <c r="F26" s="1226" t="s">
        <v>581</v>
      </c>
      <c r="G26" s="1085"/>
      <c r="H26" s="1083"/>
      <c r="I26" s="1085"/>
      <c r="J26" s="1087"/>
      <c r="K26" s="1083"/>
      <c r="L26" s="498"/>
      <c r="M26" s="24"/>
      <c r="N26" s="24"/>
      <c r="O26" s="27"/>
      <c r="P26" s="48">
        <f t="shared" si="0"/>
        <v>2</v>
      </c>
      <c r="Q26" s="270">
        <f t="shared" si="1"/>
        <v>2</v>
      </c>
      <c r="R26" s="1226"/>
      <c r="S26" s="1226"/>
      <c r="T26" s="1226" t="s">
        <v>581</v>
      </c>
      <c r="U26" s="1226"/>
      <c r="V26" s="1226" t="s">
        <v>581</v>
      </c>
      <c r="W26" s="1229"/>
      <c r="X26" s="217"/>
      <c r="Y26" s="217"/>
      <c r="Z26" s="29"/>
      <c r="AA26" s="29"/>
      <c r="AB26" s="29"/>
      <c r="AC26" s="48">
        <f t="shared" si="2"/>
        <v>2</v>
      </c>
      <c r="AD26" s="270">
        <f t="shared" si="3"/>
        <v>2</v>
      </c>
      <c r="AE26" s="25"/>
    </row>
    <row r="27" spans="1:31" ht="24" customHeight="1" x14ac:dyDescent="0.25">
      <c r="A27" s="26">
        <v>18</v>
      </c>
      <c r="B27" s="9" t="s">
        <v>499</v>
      </c>
      <c r="C27" s="14" t="s">
        <v>500</v>
      </c>
      <c r="D27" s="1229"/>
      <c r="E27" s="1225"/>
      <c r="F27" s="1226" t="s">
        <v>581</v>
      </c>
      <c r="G27" s="1083"/>
      <c r="H27" s="1083"/>
      <c r="I27" s="1083"/>
      <c r="J27" s="1083"/>
      <c r="K27" s="1083"/>
      <c r="L27" s="498"/>
      <c r="M27" s="24"/>
      <c r="N27" s="24"/>
      <c r="O27" s="27"/>
      <c r="P27" s="48">
        <f t="shared" si="0"/>
        <v>1</v>
      </c>
      <c r="Q27" s="270">
        <f t="shared" si="1"/>
        <v>1</v>
      </c>
      <c r="R27" s="1225"/>
      <c r="S27" s="1225"/>
      <c r="T27" s="1229"/>
      <c r="U27" s="1229"/>
      <c r="V27" s="1229"/>
      <c r="W27" s="1229"/>
      <c r="X27" s="217"/>
      <c r="Y27" s="217"/>
      <c r="Z27" s="29"/>
      <c r="AA27" s="29"/>
      <c r="AB27" s="29"/>
      <c r="AC27" s="48">
        <f t="shared" si="2"/>
        <v>0</v>
      </c>
      <c r="AD27" s="270">
        <f t="shared" si="3"/>
        <v>0</v>
      </c>
      <c r="AE27" s="25"/>
    </row>
    <row r="28" spans="1:31" ht="24" customHeight="1" x14ac:dyDescent="0.25">
      <c r="A28" s="26">
        <v>19</v>
      </c>
      <c r="B28" s="9" t="s">
        <v>501</v>
      </c>
      <c r="C28" s="14" t="s">
        <v>502</v>
      </c>
      <c r="D28" s="1226"/>
      <c r="E28" s="1225"/>
      <c r="F28" s="1226" t="s">
        <v>581</v>
      </c>
      <c r="G28" s="1083"/>
      <c r="H28" s="1083"/>
      <c r="I28" s="1083"/>
      <c r="J28" s="1087"/>
      <c r="K28" s="1083"/>
      <c r="L28" s="498"/>
      <c r="M28" s="24"/>
      <c r="N28" s="24"/>
      <c r="O28" s="27"/>
      <c r="P28" s="48">
        <f>SUM(COUNTIF(D28:O28,"x"),COUNTIF(D28:O28,"A"))</f>
        <v>1</v>
      </c>
      <c r="Q28" s="270">
        <f>SUM(COUNTIF(D28:O28,"x"),COUNTIF(D28:O28,"b"))</f>
        <v>1</v>
      </c>
      <c r="R28" s="1225"/>
      <c r="S28" s="1226"/>
      <c r="T28" s="1225"/>
      <c r="U28" s="1226"/>
      <c r="V28" s="1229"/>
      <c r="W28" s="1229" t="s">
        <v>581</v>
      </c>
      <c r="X28" s="217"/>
      <c r="Y28" s="217"/>
      <c r="Z28" s="29"/>
      <c r="AA28" s="29"/>
      <c r="AB28" s="29"/>
      <c r="AC28" s="48">
        <f>SUM(COUNTIF(R28:AB28,"x"),COUNTIF(R28:AB28,"A"))</f>
        <v>1</v>
      </c>
      <c r="AD28" s="270">
        <f>SUM(COUNTIF(R28:AB28,"x"),COUNTIF(R28:AB28,"b"))</f>
        <v>1</v>
      </c>
      <c r="AE28" s="25"/>
    </row>
    <row r="29" spans="1:31" ht="24" customHeight="1" x14ac:dyDescent="0.25">
      <c r="A29" s="26">
        <v>20</v>
      </c>
      <c r="B29" s="918" t="s">
        <v>1092</v>
      </c>
      <c r="C29" s="919" t="s">
        <v>1093</v>
      </c>
      <c r="D29" s="1226"/>
      <c r="E29" s="1225"/>
      <c r="F29" s="1226" t="s">
        <v>581</v>
      </c>
      <c r="G29" s="1089"/>
      <c r="H29" s="1089"/>
      <c r="I29" s="1089"/>
      <c r="J29" s="1090"/>
      <c r="K29" s="1089"/>
      <c r="L29" s="920"/>
      <c r="M29" s="921"/>
      <c r="N29" s="921"/>
      <c r="O29" s="922"/>
      <c r="P29" s="48">
        <f>SUM(COUNTIF(D29:O29,"x"),COUNTIF(D29:O29,"A"))</f>
        <v>1</v>
      </c>
      <c r="Q29" s="270">
        <f>SUM(COUNTIF(D29:O29,"x"),COUNTIF(D29:O29,"b"))</f>
        <v>1</v>
      </c>
      <c r="R29" s="1226" t="s">
        <v>581</v>
      </c>
      <c r="S29" s="1226" t="s">
        <v>581</v>
      </c>
      <c r="T29" s="1225"/>
      <c r="U29" s="1225"/>
      <c r="V29" s="1229"/>
      <c r="W29" s="1229"/>
      <c r="X29" s="923"/>
      <c r="Y29" s="923"/>
      <c r="Z29" s="924"/>
      <c r="AA29" s="924"/>
      <c r="AB29" s="924"/>
      <c r="AC29" s="48">
        <f>SUM(COUNTIF(R29:AB29,"x"),COUNTIF(R29:AB29,"A"))</f>
        <v>2</v>
      </c>
      <c r="AD29" s="270">
        <f>SUM(COUNTIF(R29:AB29,"x"),COUNTIF(R29:AB29,"b"))</f>
        <v>2</v>
      </c>
      <c r="AE29" s="925"/>
    </row>
    <row r="30" spans="1:31" ht="24" customHeight="1" x14ac:dyDescent="0.25">
      <c r="A30" s="26">
        <v>20</v>
      </c>
      <c r="B30" s="918" t="s">
        <v>1121</v>
      </c>
      <c r="C30" s="919" t="s">
        <v>1140</v>
      </c>
      <c r="D30" s="1231"/>
      <c r="E30" s="1231"/>
      <c r="F30" s="1231"/>
      <c r="G30" s="1089"/>
      <c r="H30" s="1089"/>
      <c r="I30" s="1089"/>
      <c r="J30" s="1090"/>
      <c r="K30" s="1089"/>
      <c r="L30" s="920"/>
      <c r="M30" s="921"/>
      <c r="N30" s="921"/>
      <c r="O30" s="922"/>
      <c r="P30" s="48">
        <f>SUM(COUNTIF(D30:O30,"x"),COUNTIF(D30:O30,"A"))</f>
        <v>0</v>
      </c>
      <c r="Q30" s="270">
        <f>SUM(COUNTIF(D30:O30,"x"),COUNTIF(D30:O30,"b"))</f>
        <v>0</v>
      </c>
      <c r="R30" s="1236" t="s">
        <v>581</v>
      </c>
      <c r="S30" s="1233"/>
      <c r="T30" s="1233"/>
      <c r="U30" s="1231"/>
      <c r="V30" s="1231"/>
      <c r="W30" s="1231"/>
      <c r="X30" s="923"/>
      <c r="Y30" s="923"/>
      <c r="Z30" s="924"/>
      <c r="AA30" s="924"/>
      <c r="AB30" s="924"/>
      <c r="AC30" s="48">
        <f>SUM(COUNTIF(R30:AB30,"x"),COUNTIF(R30:AB30,"A"))</f>
        <v>1</v>
      </c>
      <c r="AD30" s="270">
        <f>SUM(COUNTIF(R30:AB30,"x"),COUNTIF(R30:AB30,"b"))</f>
        <v>1</v>
      </c>
      <c r="AE30" s="925"/>
    </row>
    <row r="31" spans="1:31" ht="20.25" customHeight="1" x14ac:dyDescent="0.25">
      <c r="A31" s="164"/>
      <c r="B31" s="164"/>
      <c r="C31" s="164"/>
      <c r="D31" s="164">
        <f t="shared" ref="D31:M31" si="4">COUNTIF(D10:D30,"x")</f>
        <v>1</v>
      </c>
      <c r="E31" s="164">
        <f t="shared" si="4"/>
        <v>3</v>
      </c>
      <c r="F31" s="164">
        <f t="shared" si="4"/>
        <v>15</v>
      </c>
      <c r="G31" s="164">
        <f t="shared" si="4"/>
        <v>0</v>
      </c>
      <c r="H31" s="164">
        <f t="shared" si="4"/>
        <v>0</v>
      </c>
      <c r="I31" s="164">
        <f t="shared" si="4"/>
        <v>0</v>
      </c>
      <c r="J31" s="164">
        <f t="shared" si="4"/>
        <v>0</v>
      </c>
      <c r="K31" s="164">
        <f t="shared" si="4"/>
        <v>0</v>
      </c>
      <c r="L31" s="164">
        <f t="shared" si="4"/>
        <v>0</v>
      </c>
      <c r="M31" s="164">
        <f t="shared" si="4"/>
        <v>0</v>
      </c>
      <c r="N31" s="164"/>
      <c r="O31" s="164"/>
      <c r="P31" s="164"/>
      <c r="Q31" s="164"/>
      <c r="R31" s="164">
        <f t="shared" ref="R31:W31" si="5">COUNTIF(R10:R30,"x")</f>
        <v>14</v>
      </c>
      <c r="S31" s="164">
        <f t="shared" si="5"/>
        <v>7</v>
      </c>
      <c r="T31" s="164">
        <f t="shared" si="5"/>
        <v>7</v>
      </c>
      <c r="U31" s="164">
        <f t="shared" si="5"/>
        <v>3</v>
      </c>
      <c r="V31" s="164">
        <f t="shared" si="5"/>
        <v>1</v>
      </c>
      <c r="W31" s="164">
        <f t="shared" si="5"/>
        <v>2</v>
      </c>
      <c r="X31" s="164"/>
      <c r="Y31" s="164"/>
      <c r="Z31" s="164"/>
      <c r="AA31" s="164"/>
      <c r="AB31" s="164"/>
      <c r="AC31" s="164"/>
      <c r="AD31" s="164"/>
      <c r="AE31" s="164"/>
    </row>
    <row r="32" spans="1:31" ht="15.75" x14ac:dyDescent="0.25">
      <c r="A32" s="1425" t="s">
        <v>578</v>
      </c>
      <c r="B32" s="1425"/>
      <c r="C32" s="1425"/>
      <c r="D32" s="1425"/>
      <c r="E32" s="1425"/>
      <c r="F32" s="1425"/>
      <c r="G32" s="1425"/>
      <c r="H32" s="1425"/>
      <c r="I32" s="1425"/>
      <c r="J32" s="1425"/>
      <c r="K32" s="1425"/>
      <c r="L32" s="1425"/>
      <c r="M32" s="1425"/>
      <c r="N32" s="1425"/>
      <c r="O32" s="1425"/>
      <c r="P32" s="1425"/>
      <c r="Q32" s="1425"/>
      <c r="R32" s="1425"/>
      <c r="S32" s="1425"/>
      <c r="T32" s="1425"/>
      <c r="U32" s="1425"/>
      <c r="V32" s="1425"/>
      <c r="W32" s="1425"/>
      <c r="X32" s="1425"/>
      <c r="Y32" s="1425"/>
      <c r="Z32" s="1425"/>
      <c r="AA32" s="1425"/>
      <c r="AB32" s="1425"/>
      <c r="AC32" s="1425"/>
      <c r="AD32" s="1425"/>
      <c r="AE32" s="1425"/>
    </row>
    <row r="33" spans="1:31" ht="17.25" x14ac:dyDescent="0.3">
      <c r="A33" s="33"/>
      <c r="B33" s="33"/>
      <c r="C33" s="33"/>
      <c r="D33" s="34"/>
      <c r="E33" s="35"/>
      <c r="F33" s="206"/>
      <c r="G33" s="206"/>
      <c r="H33" s="206"/>
      <c r="I33" s="35"/>
      <c r="J33" s="206"/>
      <c r="K33" s="35"/>
      <c r="L33" s="35"/>
      <c r="M33" s="35"/>
      <c r="N33" s="35"/>
      <c r="O33" s="35"/>
      <c r="P33" s="35"/>
      <c r="Q33" s="35"/>
      <c r="R33" s="208"/>
      <c r="S33" s="208"/>
      <c r="T33" s="113" t="str">
        <f>'P.KH-TC'!P22</f>
        <v>TP. HCM, ngày 2 tháng 11 năm 2023</v>
      </c>
      <c r="U33" s="113"/>
      <c r="V33" s="113"/>
      <c r="W33" s="113"/>
      <c r="X33" s="113"/>
      <c r="Y33" s="113"/>
      <c r="Z33" s="113"/>
      <c r="AA33" s="113"/>
      <c r="AB33" s="113"/>
      <c r="AC33" s="113"/>
      <c r="AD33" s="113"/>
      <c r="AE33" s="113"/>
    </row>
    <row r="34" spans="1:31" ht="17.25" x14ac:dyDescent="0.3">
      <c r="A34" s="33"/>
      <c r="B34" s="33"/>
      <c r="C34" s="33"/>
      <c r="D34" s="34"/>
      <c r="S34" s="209"/>
      <c r="T34" s="1422" t="s">
        <v>579</v>
      </c>
      <c r="U34" s="1422"/>
      <c r="V34" s="1422"/>
      <c r="W34" s="1422"/>
      <c r="X34" s="1422"/>
      <c r="Y34" s="1422"/>
      <c r="Z34" s="1422"/>
      <c r="AA34" s="1422"/>
      <c r="AB34" s="193"/>
      <c r="AC34" s="165"/>
      <c r="AD34" s="165"/>
      <c r="AE34" s="165"/>
    </row>
    <row r="35" spans="1:31" ht="18.75" x14ac:dyDescent="0.3">
      <c r="B35" s="344" t="s">
        <v>805</v>
      </c>
      <c r="C35" s="342" t="s">
        <v>802</v>
      </c>
    </row>
    <row r="36" spans="1:31" ht="18.75" x14ac:dyDescent="0.3">
      <c r="B36" s="343" t="s">
        <v>803</v>
      </c>
      <c r="C36" s="343" t="s">
        <v>804</v>
      </c>
    </row>
    <row r="39" spans="1:31" ht="16.5" x14ac:dyDescent="0.25">
      <c r="R39" s="1422"/>
      <c r="S39" s="1422"/>
      <c r="T39" s="1422"/>
      <c r="U39" s="1422"/>
      <c r="V39" s="1422"/>
      <c r="W39" s="1422"/>
      <c r="X39" s="1422"/>
      <c r="Y39" s="1422"/>
      <c r="Z39" s="1422"/>
      <c r="AA39" s="1422"/>
      <c r="AB39" s="1422"/>
      <c r="AC39" s="1422"/>
      <c r="AD39" s="1422"/>
      <c r="AE39" s="1422"/>
    </row>
  </sheetData>
  <autoFilter ref="A8:AE36"/>
  <mergeCells count="13">
    <mergeCell ref="A1:C1"/>
    <mergeCell ref="R1:AE1"/>
    <mergeCell ref="A2:C2"/>
    <mergeCell ref="R2:AE2"/>
    <mergeCell ref="A3:C3"/>
    <mergeCell ref="A5:AE5"/>
    <mergeCell ref="T34:AA34"/>
    <mergeCell ref="R39:AE39"/>
    <mergeCell ref="A7:A8"/>
    <mergeCell ref="B7:C7"/>
    <mergeCell ref="R7:AB7"/>
    <mergeCell ref="A32:AE32"/>
    <mergeCell ref="D7:P7"/>
  </mergeCells>
  <phoneticPr fontId="22" type="noConversion"/>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C43"/>
  <sheetViews>
    <sheetView showZeros="0" topLeftCell="B14" zoomScale="80" zoomScaleNormal="80" workbookViewId="0">
      <selection activeCell="S14" sqref="S14"/>
    </sheetView>
  </sheetViews>
  <sheetFormatPr defaultRowHeight="15" x14ac:dyDescent="0.25"/>
  <cols>
    <col min="1" max="1" width="5.28515625" style="356" customWidth="1"/>
    <col min="2" max="2" width="30.42578125" style="356" customWidth="1"/>
    <col min="3" max="3" width="14.7109375" style="356" customWidth="1"/>
    <col min="4" max="8" width="6.7109375" style="449" customWidth="1"/>
    <col min="9" max="17" width="6.7109375" style="388" customWidth="1"/>
    <col min="18" max="23" width="6.7109375" style="449" customWidth="1"/>
    <col min="24" max="28" width="6.7109375" style="388" customWidth="1"/>
    <col min="29" max="29" width="15.7109375" style="388" customWidth="1"/>
    <col min="30" max="16384" width="9.140625" style="356"/>
  </cols>
  <sheetData>
    <row r="1" spans="1:29" ht="15" customHeight="1" x14ac:dyDescent="0.25">
      <c r="A1" s="1400" t="s">
        <v>559</v>
      </c>
      <c r="B1" s="1400"/>
      <c r="C1" s="1400"/>
      <c r="D1" s="17"/>
      <c r="E1" s="17"/>
      <c r="F1" s="17"/>
      <c r="G1" s="17"/>
      <c r="H1" s="17"/>
      <c r="I1" s="17"/>
      <c r="J1" s="17"/>
      <c r="K1" s="17"/>
      <c r="L1" s="17"/>
      <c r="M1" s="17"/>
      <c r="N1" s="17"/>
      <c r="O1" s="17"/>
      <c r="P1" s="17"/>
      <c r="Q1" s="17"/>
      <c r="R1" s="1401" t="s">
        <v>560</v>
      </c>
      <c r="S1" s="1402"/>
      <c r="T1" s="1402"/>
      <c r="U1" s="1402"/>
      <c r="V1" s="1402"/>
      <c r="W1" s="1402"/>
      <c r="X1" s="1402"/>
      <c r="Y1" s="1402"/>
      <c r="Z1" s="1402"/>
      <c r="AA1" s="1402"/>
      <c r="AB1" s="1402"/>
      <c r="AC1" s="1402"/>
    </row>
    <row r="2" spans="1:29" ht="15" customHeight="1" x14ac:dyDescent="0.25">
      <c r="A2" s="1400" t="s">
        <v>561</v>
      </c>
      <c r="B2" s="1400"/>
      <c r="C2" s="1400"/>
      <c r="D2" s="17"/>
      <c r="E2" s="17"/>
      <c r="F2" s="17"/>
      <c r="G2" s="17"/>
      <c r="H2" s="17"/>
      <c r="I2" s="17"/>
      <c r="J2" s="17"/>
      <c r="K2" s="17"/>
      <c r="L2" s="17"/>
      <c r="M2" s="17"/>
      <c r="N2" s="17"/>
      <c r="O2" s="17"/>
      <c r="P2" s="17"/>
      <c r="Q2" s="17"/>
      <c r="R2" s="1401" t="s">
        <v>562</v>
      </c>
      <c r="S2" s="1401"/>
      <c r="T2" s="1401"/>
      <c r="U2" s="1401"/>
      <c r="V2" s="1401"/>
      <c r="W2" s="1401"/>
      <c r="X2" s="1401"/>
      <c r="Y2" s="1401"/>
      <c r="Z2" s="1401"/>
      <c r="AA2" s="1401"/>
      <c r="AB2" s="1401"/>
      <c r="AC2" s="1401"/>
    </row>
    <row r="3" spans="1:29" ht="15" customHeight="1" x14ac:dyDescent="0.25">
      <c r="A3" s="1401" t="s">
        <v>554</v>
      </c>
      <c r="B3" s="1401"/>
      <c r="C3" s="1401"/>
      <c r="D3" s="17"/>
      <c r="E3" s="17"/>
      <c r="F3" s="17"/>
      <c r="G3" s="17"/>
      <c r="H3" s="17"/>
      <c r="I3" s="17"/>
      <c r="J3" s="17"/>
      <c r="K3" s="17"/>
      <c r="L3" s="17"/>
      <c r="M3" s="17"/>
      <c r="N3" s="17"/>
      <c r="O3" s="17"/>
      <c r="P3" s="17"/>
      <c r="Q3" s="17"/>
      <c r="R3" s="17"/>
      <c r="S3" s="17"/>
      <c r="T3" s="17"/>
      <c r="U3" s="17"/>
      <c r="V3" s="17"/>
      <c r="W3" s="17"/>
      <c r="X3" s="17"/>
      <c r="Y3" s="17"/>
      <c r="Z3" s="17"/>
      <c r="AA3" s="17"/>
      <c r="AB3" s="17"/>
      <c r="AC3" s="17"/>
    </row>
    <row r="4" spans="1:29" ht="15" customHeight="1" x14ac:dyDescent="0.25">
      <c r="A4" s="18"/>
      <c r="B4" s="18"/>
      <c r="C4" s="18"/>
      <c r="D4" s="17"/>
      <c r="E4" s="17"/>
      <c r="F4" s="17"/>
      <c r="G4" s="17"/>
      <c r="H4" s="17"/>
      <c r="I4" s="17"/>
      <c r="J4" s="17"/>
      <c r="K4" s="17"/>
      <c r="L4" s="17"/>
      <c r="M4" s="17"/>
      <c r="N4" s="17"/>
      <c r="O4" s="17"/>
      <c r="P4" s="17"/>
      <c r="Q4" s="17"/>
      <c r="R4" s="17"/>
      <c r="S4" s="17"/>
      <c r="T4" s="17"/>
      <c r="U4" s="17"/>
      <c r="V4" s="17"/>
      <c r="W4" s="17"/>
      <c r="X4" s="17"/>
      <c r="Y4" s="17"/>
      <c r="Z4" s="17"/>
      <c r="AA4" s="17"/>
      <c r="AB4" s="17"/>
      <c r="AC4" s="19" t="s">
        <v>563</v>
      </c>
    </row>
    <row r="5" spans="1:29" ht="33" customHeight="1" x14ac:dyDescent="0.25">
      <c r="A5" s="1390" t="str">
        <f>K.CNTT!A5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c r="AC5" s="1390"/>
    </row>
    <row r="7" spans="1:29" ht="33.75" customHeight="1" x14ac:dyDescent="0.25">
      <c r="A7" s="1398" t="s">
        <v>0</v>
      </c>
      <c r="B7" s="1409" t="s">
        <v>564</v>
      </c>
      <c r="C7" s="1409"/>
      <c r="D7" s="1398" t="s">
        <v>110</v>
      </c>
      <c r="E7" s="1398"/>
      <c r="F7" s="1398"/>
      <c r="G7" s="1398"/>
      <c r="H7" s="1398"/>
      <c r="I7" s="1398"/>
      <c r="J7" s="1398"/>
      <c r="K7" s="1398"/>
      <c r="L7" s="1398"/>
      <c r="M7" s="1398"/>
      <c r="N7" s="1398"/>
      <c r="O7" s="1398"/>
      <c r="P7" s="1398"/>
      <c r="Q7" s="357"/>
      <c r="R7" s="1391" t="s">
        <v>565</v>
      </c>
      <c r="S7" s="1392"/>
      <c r="T7" s="1392"/>
      <c r="U7" s="1392"/>
      <c r="V7" s="1392"/>
      <c r="W7" s="1392"/>
      <c r="X7" s="1392"/>
      <c r="Y7" s="1392"/>
      <c r="Z7" s="1393"/>
      <c r="AA7" s="120"/>
      <c r="AB7" s="120"/>
      <c r="AC7" s="360" t="s">
        <v>4</v>
      </c>
    </row>
    <row r="8" spans="1:29" ht="57.75" customHeight="1" x14ac:dyDescent="0.25">
      <c r="A8" s="1398"/>
      <c r="B8" s="438" t="s">
        <v>461</v>
      </c>
      <c r="C8" s="439" t="s">
        <v>566</v>
      </c>
      <c r="D8" s="131" t="s">
        <v>567</v>
      </c>
      <c r="E8" s="132" t="s">
        <v>568</v>
      </c>
      <c r="F8" s="132" t="s">
        <v>569</v>
      </c>
      <c r="G8" s="132" t="s">
        <v>570</v>
      </c>
      <c r="H8" s="132" t="s">
        <v>571</v>
      </c>
      <c r="I8" s="132" t="s">
        <v>572</v>
      </c>
      <c r="J8" s="132" t="s">
        <v>573</v>
      </c>
      <c r="K8" s="132" t="s">
        <v>703</v>
      </c>
      <c r="L8" s="132" t="s">
        <v>704</v>
      </c>
      <c r="M8" s="132" t="s">
        <v>748</v>
      </c>
      <c r="N8" s="132" t="s">
        <v>749</v>
      </c>
      <c r="O8" s="132" t="s">
        <v>750</v>
      </c>
      <c r="P8" s="134" t="s">
        <v>588</v>
      </c>
      <c r="Q8" s="361" t="s">
        <v>795</v>
      </c>
      <c r="R8" s="132" t="s">
        <v>567</v>
      </c>
      <c r="S8" s="132" t="s">
        <v>568</v>
      </c>
      <c r="T8" s="132" t="s">
        <v>569</v>
      </c>
      <c r="U8" s="132" t="s">
        <v>570</v>
      </c>
      <c r="V8" s="132" t="s">
        <v>571</v>
      </c>
      <c r="W8" s="132" t="s">
        <v>572</v>
      </c>
      <c r="X8" s="132" t="s">
        <v>573</v>
      </c>
      <c r="Y8" s="132" t="s">
        <v>703</v>
      </c>
      <c r="Z8" s="132" t="s">
        <v>704</v>
      </c>
      <c r="AA8" s="134" t="s">
        <v>588</v>
      </c>
      <c r="AB8" s="361" t="s">
        <v>795</v>
      </c>
      <c r="AC8" s="360"/>
    </row>
    <row r="9" spans="1:29" ht="24.75" customHeight="1" x14ac:dyDescent="0.25">
      <c r="A9" s="362" t="s">
        <v>574</v>
      </c>
      <c r="B9" s="352"/>
      <c r="C9" s="273">
        <v>-1</v>
      </c>
      <c r="D9" s="273">
        <v>-2</v>
      </c>
      <c r="E9" s="273">
        <v>-3</v>
      </c>
      <c r="F9" s="273">
        <v>-4</v>
      </c>
      <c r="G9" s="273">
        <v>-5</v>
      </c>
      <c r="H9" s="273">
        <v>-6</v>
      </c>
      <c r="I9" s="273">
        <v>-7</v>
      </c>
      <c r="J9" s="273">
        <v>-8</v>
      </c>
      <c r="K9" s="273">
        <v>-9</v>
      </c>
      <c r="L9" s="273">
        <v>-10</v>
      </c>
      <c r="M9" s="273">
        <v>-11</v>
      </c>
      <c r="N9" s="273">
        <v>-12</v>
      </c>
      <c r="O9" s="273">
        <v>-13</v>
      </c>
      <c r="P9" s="273">
        <v>-14</v>
      </c>
      <c r="Q9" s="274">
        <v>-15</v>
      </c>
      <c r="R9" s="273">
        <v>-16</v>
      </c>
      <c r="S9" s="273">
        <v>-17</v>
      </c>
      <c r="T9" s="273">
        <v>-18</v>
      </c>
      <c r="U9" s="273">
        <v>-19</v>
      </c>
      <c r="V9" s="273">
        <v>-20</v>
      </c>
      <c r="W9" s="273">
        <v>-21</v>
      </c>
      <c r="X9" s="273">
        <v>-22</v>
      </c>
      <c r="Y9" s="273">
        <v>-23</v>
      </c>
      <c r="Z9" s="273">
        <v>-24</v>
      </c>
      <c r="AA9" s="273">
        <v>-25</v>
      </c>
      <c r="AB9" s="274">
        <v>-26</v>
      </c>
      <c r="AC9" s="273">
        <v>-27</v>
      </c>
    </row>
    <row r="10" spans="1:29" ht="24.75" customHeight="1" x14ac:dyDescent="0.25">
      <c r="A10" s="373">
        <v>1</v>
      </c>
      <c r="B10" s="440" t="s">
        <v>334</v>
      </c>
      <c r="C10" s="441" t="s">
        <v>594</v>
      </c>
      <c r="D10" s="1237" t="s">
        <v>581</v>
      </c>
      <c r="E10" s="1237" t="s">
        <v>581</v>
      </c>
      <c r="F10" s="1237" t="s">
        <v>581</v>
      </c>
      <c r="G10" s="1237" t="s">
        <v>581</v>
      </c>
      <c r="H10" s="1237"/>
      <c r="I10" s="1157"/>
      <c r="J10" s="1157"/>
      <c r="K10" s="1017"/>
      <c r="L10" s="708"/>
      <c r="M10" s="708"/>
      <c r="N10" s="339"/>
      <c r="O10" s="339"/>
      <c r="P10" s="406">
        <f>SUM(COUNTIF(D10:O10,"x"),COUNTIF(D10:O10,"A"))</f>
        <v>4</v>
      </c>
      <c r="Q10" s="407">
        <f>SUM(COUNTIF(D10:O10,"x"),COUNTIF(D10:O10,"b"))</f>
        <v>4</v>
      </c>
      <c r="R10" s="1237" t="s">
        <v>581</v>
      </c>
      <c r="S10" s="1237" t="s">
        <v>581</v>
      </c>
      <c r="T10" s="1091"/>
      <c r="U10" s="1017"/>
      <c r="V10" s="1017"/>
      <c r="W10" s="339"/>
      <c r="X10" s="339"/>
      <c r="Y10" s="339"/>
      <c r="Z10" s="339"/>
      <c r="AA10" s="406">
        <f>SUM(COUNTIF(R10:Z10,"x"),COUNTIF(R10:Z10,"A"))</f>
        <v>2</v>
      </c>
      <c r="AB10" s="407">
        <f>SUM(COUNTIF(R10:Z10,"x"),COUNTIF(R10:Z10,"b"))</f>
        <v>2</v>
      </c>
      <c r="AC10" s="369"/>
    </row>
    <row r="11" spans="1:29" ht="24.75" customHeight="1" x14ac:dyDescent="0.25">
      <c r="A11" s="373">
        <v>2</v>
      </c>
      <c r="B11" s="440" t="s">
        <v>335</v>
      </c>
      <c r="C11" s="441" t="s">
        <v>595</v>
      </c>
      <c r="D11" s="1238"/>
      <c r="E11" s="1238"/>
      <c r="F11" s="1238"/>
      <c r="G11" s="1238"/>
      <c r="H11" s="1238"/>
      <c r="I11" s="1158"/>
      <c r="J11" s="1158"/>
      <c r="K11" s="1018"/>
      <c r="L11" s="709"/>
      <c r="M11" s="709"/>
      <c r="N11" s="339"/>
      <c r="O11" s="339"/>
      <c r="P11" s="406">
        <f t="shared" ref="P11:P37" si="0">SUM(COUNTIF(D11:O11,"x"),COUNTIF(D11:O11,"A"))</f>
        <v>0</v>
      </c>
      <c r="Q11" s="407">
        <f t="shared" ref="Q11:Q37" si="1">SUM(COUNTIF(D11:O11,"x"),COUNTIF(D11:O11,"b"))</f>
        <v>0</v>
      </c>
      <c r="R11" s="1237" t="s">
        <v>581</v>
      </c>
      <c r="S11" s="1237" t="s">
        <v>581</v>
      </c>
      <c r="T11" s="1091"/>
      <c r="U11" s="1017"/>
      <c r="V11" s="1017"/>
      <c r="W11" s="442"/>
      <c r="X11" s="442"/>
      <c r="Y11" s="443"/>
      <c r="Z11" s="443"/>
      <c r="AA11" s="406">
        <f t="shared" ref="AA11:AA37" si="2">SUM(COUNTIF(R11:Z11,"x"),COUNTIF(R11:Z11,"A"))</f>
        <v>2</v>
      </c>
      <c r="AB11" s="407">
        <f t="shared" ref="AB11:AB37" si="3">SUM(COUNTIF(R11:Z11,"x"),COUNTIF(R11:Z11,"b"))</f>
        <v>2</v>
      </c>
      <c r="AC11" s="369"/>
    </row>
    <row r="12" spans="1:29" ht="24.75" customHeight="1" x14ac:dyDescent="0.25">
      <c r="A12" s="373">
        <v>3</v>
      </c>
      <c r="B12" s="440" t="s">
        <v>336</v>
      </c>
      <c r="C12" s="441" t="s">
        <v>649</v>
      </c>
      <c r="D12" s="1238"/>
      <c r="E12" s="1238"/>
      <c r="F12" s="1238"/>
      <c r="G12" s="1238"/>
      <c r="H12" s="1238"/>
      <c r="I12" s="1158"/>
      <c r="J12" s="1158"/>
      <c r="K12" s="1018"/>
      <c r="L12" s="709"/>
      <c r="M12" s="709"/>
      <c r="N12" s="339"/>
      <c r="O12" s="339"/>
      <c r="P12" s="406">
        <f t="shared" si="0"/>
        <v>0</v>
      </c>
      <c r="Q12" s="407">
        <f t="shared" si="1"/>
        <v>0</v>
      </c>
      <c r="R12" s="1237"/>
      <c r="S12" s="1237"/>
      <c r="T12" s="1091"/>
      <c r="U12" s="1017"/>
      <c r="V12" s="1017"/>
      <c r="W12" s="442"/>
      <c r="X12" s="442"/>
      <c r="Y12" s="443"/>
      <c r="Z12" s="443"/>
      <c r="AA12" s="406">
        <f t="shared" si="2"/>
        <v>0</v>
      </c>
      <c r="AB12" s="407">
        <f t="shared" si="3"/>
        <v>0</v>
      </c>
      <c r="AC12" s="369"/>
    </row>
    <row r="13" spans="1:29" ht="24.75" customHeight="1" x14ac:dyDescent="0.25">
      <c r="A13" s="373">
        <v>4</v>
      </c>
      <c r="B13" s="440" t="s">
        <v>337</v>
      </c>
      <c r="C13" s="441" t="s">
        <v>650</v>
      </c>
      <c r="D13" s="1238"/>
      <c r="E13" s="1238"/>
      <c r="F13" s="1238"/>
      <c r="G13" s="1238"/>
      <c r="H13" s="1238"/>
      <c r="I13" s="1158"/>
      <c r="J13" s="1158"/>
      <c r="K13" s="1018"/>
      <c r="L13" s="709"/>
      <c r="M13" s="709"/>
      <c r="N13" s="339"/>
      <c r="O13" s="339"/>
      <c r="P13" s="406">
        <f t="shared" si="0"/>
        <v>0</v>
      </c>
      <c r="Q13" s="407">
        <f t="shared" si="1"/>
        <v>0</v>
      </c>
      <c r="R13" s="1237" t="s">
        <v>581</v>
      </c>
      <c r="S13" s="1237"/>
      <c r="T13" s="1091"/>
      <c r="U13" s="1017"/>
      <c r="V13" s="1017"/>
      <c r="W13" s="442"/>
      <c r="X13" s="442"/>
      <c r="Y13" s="443"/>
      <c r="Z13" s="443"/>
      <c r="AA13" s="406">
        <f t="shared" si="2"/>
        <v>1</v>
      </c>
      <c r="AB13" s="407">
        <f t="shared" si="3"/>
        <v>1</v>
      </c>
      <c r="AC13" s="369"/>
    </row>
    <row r="14" spans="1:29" ht="24.75" customHeight="1" x14ac:dyDescent="0.25">
      <c r="A14" s="373">
        <v>5</v>
      </c>
      <c r="B14" s="440" t="s">
        <v>338</v>
      </c>
      <c r="C14" s="441" t="s">
        <v>651</v>
      </c>
      <c r="D14" s="1238"/>
      <c r="E14" s="1238"/>
      <c r="F14" s="1238"/>
      <c r="G14" s="1238"/>
      <c r="H14" s="1238"/>
      <c r="I14" s="1158"/>
      <c r="J14" s="1158"/>
      <c r="K14" s="1018"/>
      <c r="L14" s="709"/>
      <c r="M14" s="709"/>
      <c r="N14" s="339"/>
      <c r="O14" s="339"/>
      <c r="P14" s="406">
        <f t="shared" si="0"/>
        <v>0</v>
      </c>
      <c r="Q14" s="407">
        <f t="shared" si="1"/>
        <v>0</v>
      </c>
      <c r="R14" s="1237" t="s">
        <v>581</v>
      </c>
      <c r="S14" s="1237" t="s">
        <v>581</v>
      </c>
      <c r="T14" s="1091"/>
      <c r="U14" s="1017"/>
      <c r="V14" s="1017"/>
      <c r="W14" s="442"/>
      <c r="X14" s="442"/>
      <c r="Y14" s="443"/>
      <c r="Z14" s="443"/>
      <c r="AA14" s="406">
        <f t="shared" si="2"/>
        <v>2</v>
      </c>
      <c r="AB14" s="407">
        <f t="shared" si="3"/>
        <v>2</v>
      </c>
      <c r="AC14" s="369"/>
    </row>
    <row r="15" spans="1:29" ht="24.75" customHeight="1" x14ac:dyDescent="0.25">
      <c r="A15" s="373">
        <v>6</v>
      </c>
      <c r="B15" s="440" t="s">
        <v>339</v>
      </c>
      <c r="C15" s="444" t="s">
        <v>652</v>
      </c>
      <c r="D15" s="1238"/>
      <c r="E15" s="1238"/>
      <c r="F15" s="1238"/>
      <c r="G15" s="1238"/>
      <c r="H15" s="1238"/>
      <c r="I15" s="1158"/>
      <c r="J15" s="1158"/>
      <c r="K15" s="1018"/>
      <c r="L15" s="709"/>
      <c r="M15" s="709"/>
      <c r="N15" s="339"/>
      <c r="O15" s="339"/>
      <c r="P15" s="406">
        <f t="shared" si="0"/>
        <v>0</v>
      </c>
      <c r="Q15" s="407">
        <f t="shared" si="1"/>
        <v>0</v>
      </c>
      <c r="R15" s="1237"/>
      <c r="S15" s="1237"/>
      <c r="T15" s="1091"/>
      <c r="U15" s="1017"/>
      <c r="V15" s="1017"/>
      <c r="W15" s="442"/>
      <c r="X15" s="442"/>
      <c r="Y15" s="443"/>
      <c r="Z15" s="443"/>
      <c r="AA15" s="406">
        <f t="shared" si="2"/>
        <v>0</v>
      </c>
      <c r="AB15" s="407">
        <f t="shared" si="3"/>
        <v>0</v>
      </c>
      <c r="AC15" s="369"/>
    </row>
    <row r="16" spans="1:29" ht="24.75" customHeight="1" x14ac:dyDescent="0.25">
      <c r="A16" s="373">
        <v>7</v>
      </c>
      <c r="B16" s="440" t="s">
        <v>340</v>
      </c>
      <c r="C16" s="441" t="s">
        <v>653</v>
      </c>
      <c r="D16" s="1238"/>
      <c r="E16" s="1238"/>
      <c r="F16" s="1238"/>
      <c r="G16" s="1238"/>
      <c r="H16" s="1238"/>
      <c r="I16" s="1158"/>
      <c r="J16" s="1158"/>
      <c r="K16" s="1018"/>
      <c r="L16" s="709"/>
      <c r="M16" s="709"/>
      <c r="N16" s="339"/>
      <c r="O16" s="339"/>
      <c r="P16" s="406">
        <f t="shared" si="0"/>
        <v>0</v>
      </c>
      <c r="Q16" s="407">
        <f t="shared" si="1"/>
        <v>0</v>
      </c>
      <c r="R16" s="1237"/>
      <c r="S16" s="1237"/>
      <c r="T16" s="1091"/>
      <c r="U16" s="1017"/>
      <c r="V16" s="1017"/>
      <c r="W16" s="442"/>
      <c r="X16" s="442"/>
      <c r="Y16" s="443"/>
      <c r="Z16" s="443"/>
      <c r="AA16" s="406">
        <f t="shared" si="2"/>
        <v>0</v>
      </c>
      <c r="AB16" s="407">
        <f t="shared" si="3"/>
        <v>0</v>
      </c>
      <c r="AC16" s="369"/>
    </row>
    <row r="17" spans="1:29" ht="24.75" customHeight="1" x14ac:dyDescent="0.25">
      <c r="A17" s="373">
        <v>8</v>
      </c>
      <c r="B17" s="440" t="s">
        <v>341</v>
      </c>
      <c r="C17" s="441" t="s">
        <v>654</v>
      </c>
      <c r="D17" s="1238"/>
      <c r="E17" s="1238"/>
      <c r="F17" s="1238"/>
      <c r="G17" s="1238"/>
      <c r="H17" s="1238"/>
      <c r="I17" s="1158"/>
      <c r="J17" s="1158"/>
      <c r="K17" s="1018"/>
      <c r="L17" s="709"/>
      <c r="M17" s="709"/>
      <c r="N17" s="339"/>
      <c r="O17" s="339"/>
      <c r="P17" s="406">
        <f t="shared" si="0"/>
        <v>0</v>
      </c>
      <c r="Q17" s="407">
        <f t="shared" si="1"/>
        <v>0</v>
      </c>
      <c r="R17" s="1237"/>
      <c r="S17" s="1237"/>
      <c r="T17" s="1091"/>
      <c r="U17" s="1017"/>
      <c r="V17" s="1017"/>
      <c r="W17" s="442"/>
      <c r="X17" s="442"/>
      <c r="Y17" s="443"/>
      <c r="Z17" s="443"/>
      <c r="AA17" s="406">
        <f t="shared" si="2"/>
        <v>0</v>
      </c>
      <c r="AB17" s="407">
        <f t="shared" si="3"/>
        <v>0</v>
      </c>
      <c r="AC17" s="369"/>
    </row>
    <row r="18" spans="1:29" ht="24.75" customHeight="1" x14ac:dyDescent="0.25">
      <c r="A18" s="373">
        <v>9</v>
      </c>
      <c r="B18" s="440" t="s">
        <v>342</v>
      </c>
      <c r="C18" s="441" t="s">
        <v>655</v>
      </c>
      <c r="D18" s="1238"/>
      <c r="E18" s="1238"/>
      <c r="F18" s="1238"/>
      <c r="G18" s="1238"/>
      <c r="H18" s="1238"/>
      <c r="I18" s="1158"/>
      <c r="J18" s="1158"/>
      <c r="K18" s="1018"/>
      <c r="L18" s="709"/>
      <c r="M18" s="709"/>
      <c r="N18" s="339"/>
      <c r="O18" s="339"/>
      <c r="P18" s="406">
        <f t="shared" si="0"/>
        <v>0</v>
      </c>
      <c r="Q18" s="407">
        <f t="shared" si="1"/>
        <v>0</v>
      </c>
      <c r="R18" s="1237"/>
      <c r="S18" s="1237"/>
      <c r="T18" s="1091"/>
      <c r="U18" s="1017"/>
      <c r="V18" s="1017"/>
      <c r="W18" s="442"/>
      <c r="X18" s="442"/>
      <c r="Y18" s="443"/>
      <c r="Z18" s="443"/>
      <c r="AA18" s="406">
        <f t="shared" si="2"/>
        <v>0</v>
      </c>
      <c r="AB18" s="407">
        <f t="shared" si="3"/>
        <v>0</v>
      </c>
      <c r="AC18" s="369"/>
    </row>
    <row r="19" spans="1:29" ht="24.75" customHeight="1" x14ac:dyDescent="0.25">
      <c r="A19" s="373">
        <v>10</v>
      </c>
      <c r="B19" s="440" t="s">
        <v>343</v>
      </c>
      <c r="C19" s="441" t="s">
        <v>656</v>
      </c>
      <c r="D19" s="1238"/>
      <c r="E19" s="1238"/>
      <c r="F19" s="1238"/>
      <c r="G19" s="1238"/>
      <c r="H19" s="1238"/>
      <c r="I19" s="1158"/>
      <c r="J19" s="1158"/>
      <c r="K19" s="1018"/>
      <c r="L19" s="709"/>
      <c r="M19" s="709"/>
      <c r="N19" s="339"/>
      <c r="O19" s="339"/>
      <c r="P19" s="406">
        <f t="shared" si="0"/>
        <v>0</v>
      </c>
      <c r="Q19" s="407">
        <f t="shared" si="1"/>
        <v>0</v>
      </c>
      <c r="R19" s="1237" t="s">
        <v>581</v>
      </c>
      <c r="S19" s="1237"/>
      <c r="T19" s="1091"/>
      <c r="U19" s="1017"/>
      <c r="V19" s="1017"/>
      <c r="W19" s="442"/>
      <c r="X19" s="442"/>
      <c r="Y19" s="443"/>
      <c r="Z19" s="443"/>
      <c r="AA19" s="406">
        <f t="shared" si="2"/>
        <v>1</v>
      </c>
      <c r="AB19" s="407">
        <f t="shared" si="3"/>
        <v>1</v>
      </c>
      <c r="AC19" s="369"/>
    </row>
    <row r="20" spans="1:29" ht="24.75" customHeight="1" x14ac:dyDescent="0.25">
      <c r="A20" s="373">
        <v>11</v>
      </c>
      <c r="B20" s="440" t="s">
        <v>344</v>
      </c>
      <c r="C20" s="441" t="s">
        <v>657</v>
      </c>
      <c r="D20" s="1238"/>
      <c r="E20" s="1238"/>
      <c r="F20" s="1238"/>
      <c r="G20" s="1238"/>
      <c r="H20" s="1238"/>
      <c r="I20" s="1158"/>
      <c r="J20" s="1158"/>
      <c r="K20" s="1018"/>
      <c r="L20" s="709"/>
      <c r="M20" s="709"/>
      <c r="N20" s="339"/>
      <c r="O20" s="339"/>
      <c r="P20" s="406">
        <f t="shared" si="0"/>
        <v>0</v>
      </c>
      <c r="Q20" s="407">
        <f t="shared" si="1"/>
        <v>0</v>
      </c>
      <c r="R20" s="1237"/>
      <c r="S20" s="1237"/>
      <c r="T20" s="1091"/>
      <c r="U20" s="1017"/>
      <c r="V20" s="1017"/>
      <c r="W20" s="442"/>
      <c r="X20" s="442"/>
      <c r="Y20" s="443"/>
      <c r="Z20" s="443"/>
      <c r="AA20" s="406">
        <f t="shared" si="2"/>
        <v>0</v>
      </c>
      <c r="AB20" s="407">
        <f t="shared" si="3"/>
        <v>0</v>
      </c>
      <c r="AC20" s="369"/>
    </row>
    <row r="21" spans="1:29" ht="24.75" customHeight="1" x14ac:dyDescent="0.25">
      <c r="A21" s="373">
        <v>12</v>
      </c>
      <c r="B21" s="440" t="s">
        <v>345</v>
      </c>
      <c r="C21" s="441" t="s">
        <v>658</v>
      </c>
      <c r="D21" s="1238"/>
      <c r="E21" s="1238"/>
      <c r="F21" s="1238"/>
      <c r="G21" s="1238"/>
      <c r="H21" s="1238"/>
      <c r="I21" s="1158"/>
      <c r="J21" s="1158"/>
      <c r="K21" s="1018"/>
      <c r="L21" s="709"/>
      <c r="M21" s="709"/>
      <c r="N21" s="339"/>
      <c r="O21" s="339"/>
      <c r="P21" s="406">
        <f t="shared" si="0"/>
        <v>0</v>
      </c>
      <c r="Q21" s="407">
        <f t="shared" si="1"/>
        <v>0</v>
      </c>
      <c r="R21" s="1237"/>
      <c r="S21" s="1237"/>
      <c r="T21" s="1091"/>
      <c r="U21" s="1017"/>
      <c r="V21" s="1017"/>
      <c r="W21" s="442"/>
      <c r="X21" s="442"/>
      <c r="Y21" s="443"/>
      <c r="Z21" s="443"/>
      <c r="AA21" s="406">
        <f t="shared" si="2"/>
        <v>0</v>
      </c>
      <c r="AB21" s="407">
        <f t="shared" si="3"/>
        <v>0</v>
      </c>
      <c r="AC21" s="369"/>
    </row>
    <row r="22" spans="1:29" ht="24.75" customHeight="1" x14ac:dyDescent="0.25">
      <c r="A22" s="373">
        <v>13</v>
      </c>
      <c r="B22" s="440" t="s">
        <v>346</v>
      </c>
      <c r="C22" s="441" t="s">
        <v>659</v>
      </c>
      <c r="D22" s="1238"/>
      <c r="E22" s="1238"/>
      <c r="F22" s="1238"/>
      <c r="G22" s="1238"/>
      <c r="H22" s="1238"/>
      <c r="I22" s="1158"/>
      <c r="J22" s="1158"/>
      <c r="K22" s="1018"/>
      <c r="L22" s="709"/>
      <c r="M22" s="709"/>
      <c r="N22" s="339"/>
      <c r="O22" s="339"/>
      <c r="P22" s="406">
        <f t="shared" si="0"/>
        <v>0</v>
      </c>
      <c r="Q22" s="407">
        <f t="shared" si="1"/>
        <v>0</v>
      </c>
      <c r="R22" s="1237"/>
      <c r="S22" s="1237"/>
      <c r="T22" s="1091"/>
      <c r="U22" s="1017"/>
      <c r="V22" s="1017"/>
      <c r="W22" s="442"/>
      <c r="X22" s="442"/>
      <c r="Y22" s="443"/>
      <c r="Z22" s="443"/>
      <c r="AA22" s="406">
        <f t="shared" si="2"/>
        <v>0</v>
      </c>
      <c r="AB22" s="407">
        <f t="shared" si="3"/>
        <v>0</v>
      </c>
      <c r="AC22" s="369"/>
    </row>
    <row r="23" spans="1:29" ht="24.75" customHeight="1" x14ac:dyDescent="0.25">
      <c r="A23" s="373">
        <v>14</v>
      </c>
      <c r="B23" s="440" t="s">
        <v>347</v>
      </c>
      <c r="C23" s="441" t="s">
        <v>764</v>
      </c>
      <c r="D23" s="1238"/>
      <c r="E23" s="1238"/>
      <c r="F23" s="1238"/>
      <c r="G23" s="1238"/>
      <c r="H23" s="1238"/>
      <c r="I23" s="1158"/>
      <c r="J23" s="1158"/>
      <c r="K23" s="1018"/>
      <c r="L23" s="709"/>
      <c r="M23" s="709"/>
      <c r="N23" s="339"/>
      <c r="O23" s="339"/>
      <c r="P23" s="406">
        <f t="shared" si="0"/>
        <v>0</v>
      </c>
      <c r="Q23" s="407">
        <f t="shared" si="1"/>
        <v>0</v>
      </c>
      <c r="R23" s="1237"/>
      <c r="S23" s="1237"/>
      <c r="T23" s="1091"/>
      <c r="U23" s="1017"/>
      <c r="V23" s="1017"/>
      <c r="W23" s="442"/>
      <c r="X23" s="442"/>
      <c r="Y23" s="443"/>
      <c r="Z23" s="443"/>
      <c r="AA23" s="406">
        <f t="shared" si="2"/>
        <v>0</v>
      </c>
      <c r="AB23" s="407">
        <f t="shared" si="3"/>
        <v>0</v>
      </c>
      <c r="AC23" s="369"/>
    </row>
    <row r="24" spans="1:29" ht="24.75" customHeight="1" x14ac:dyDescent="0.25">
      <c r="A24" s="373">
        <v>15</v>
      </c>
      <c r="B24" s="440" t="s">
        <v>348</v>
      </c>
      <c r="C24" s="441" t="s">
        <v>660</v>
      </c>
      <c r="D24" s="1238"/>
      <c r="E24" s="1238"/>
      <c r="F24" s="1238"/>
      <c r="G24" s="1238"/>
      <c r="H24" s="1238"/>
      <c r="I24" s="1158"/>
      <c r="J24" s="1158"/>
      <c r="K24" s="1018"/>
      <c r="L24" s="709"/>
      <c r="M24" s="709"/>
      <c r="N24" s="339"/>
      <c r="O24" s="339"/>
      <c r="P24" s="406">
        <f t="shared" si="0"/>
        <v>0</v>
      </c>
      <c r="Q24" s="407">
        <f t="shared" si="1"/>
        <v>0</v>
      </c>
      <c r="R24" s="1237"/>
      <c r="S24" s="1237"/>
      <c r="T24" s="1091"/>
      <c r="U24" s="1017"/>
      <c r="V24" s="1017"/>
      <c r="W24" s="442"/>
      <c r="X24" s="442"/>
      <c r="Y24" s="443"/>
      <c r="Z24" s="443"/>
      <c r="AA24" s="406">
        <f t="shared" si="2"/>
        <v>0</v>
      </c>
      <c r="AB24" s="407">
        <f t="shared" si="3"/>
        <v>0</v>
      </c>
      <c r="AC24" s="369"/>
    </row>
    <row r="25" spans="1:29" ht="24.75" customHeight="1" x14ac:dyDescent="0.25">
      <c r="A25" s="373">
        <v>16</v>
      </c>
      <c r="B25" s="440" t="s">
        <v>349</v>
      </c>
      <c r="C25" s="441" t="s">
        <v>661</v>
      </c>
      <c r="D25" s="1238"/>
      <c r="E25" s="1238"/>
      <c r="F25" s="1238"/>
      <c r="G25" s="1238"/>
      <c r="H25" s="1238"/>
      <c r="I25" s="1158"/>
      <c r="J25" s="1158"/>
      <c r="K25" s="1018"/>
      <c r="L25" s="709"/>
      <c r="M25" s="709"/>
      <c r="N25" s="339"/>
      <c r="O25" s="339"/>
      <c r="P25" s="406">
        <f t="shared" si="0"/>
        <v>0</v>
      </c>
      <c r="Q25" s="407">
        <f t="shared" si="1"/>
        <v>0</v>
      </c>
      <c r="R25" s="1237"/>
      <c r="S25" s="1237"/>
      <c r="T25" s="1091"/>
      <c r="U25" s="1017"/>
      <c r="V25" s="1017"/>
      <c r="W25" s="442"/>
      <c r="X25" s="442"/>
      <c r="Y25" s="443"/>
      <c r="Z25" s="443"/>
      <c r="AA25" s="406">
        <f t="shared" si="2"/>
        <v>0</v>
      </c>
      <c r="AB25" s="407">
        <f t="shared" si="3"/>
        <v>0</v>
      </c>
      <c r="AC25" s="369"/>
    </row>
    <row r="26" spans="1:29" ht="24.75" customHeight="1" x14ac:dyDescent="0.25">
      <c r="A26" s="373">
        <v>17</v>
      </c>
      <c r="B26" s="440" t="s">
        <v>350</v>
      </c>
      <c r="C26" s="441" t="s">
        <v>662</v>
      </c>
      <c r="D26" s="1238"/>
      <c r="E26" s="1238"/>
      <c r="F26" s="1238"/>
      <c r="G26" s="1238"/>
      <c r="H26" s="1238"/>
      <c r="I26" s="1158"/>
      <c r="J26" s="1158"/>
      <c r="K26" s="1018"/>
      <c r="L26" s="709"/>
      <c r="M26" s="709"/>
      <c r="N26" s="339"/>
      <c r="O26" s="339"/>
      <c r="P26" s="406">
        <f t="shared" si="0"/>
        <v>0</v>
      </c>
      <c r="Q26" s="407">
        <f t="shared" si="1"/>
        <v>0</v>
      </c>
      <c r="R26" s="1237" t="s">
        <v>581</v>
      </c>
      <c r="S26" s="1237"/>
      <c r="T26" s="1091"/>
      <c r="U26" s="1017"/>
      <c r="V26" s="1017"/>
      <c r="W26" s="442"/>
      <c r="X26" s="442"/>
      <c r="Y26" s="443"/>
      <c r="Z26" s="443"/>
      <c r="AA26" s="406">
        <f t="shared" si="2"/>
        <v>1</v>
      </c>
      <c r="AB26" s="407">
        <f t="shared" si="3"/>
        <v>1</v>
      </c>
      <c r="AC26" s="369"/>
    </row>
    <row r="27" spans="1:29" ht="24.75" customHeight="1" x14ac:dyDescent="0.25">
      <c r="A27" s="373">
        <v>18</v>
      </c>
      <c r="B27" s="445" t="s">
        <v>351</v>
      </c>
      <c r="C27" s="441" t="s">
        <v>663</v>
      </c>
      <c r="D27" s="1238"/>
      <c r="E27" s="1238"/>
      <c r="F27" s="1238"/>
      <c r="G27" s="1238"/>
      <c r="H27" s="1238" t="s">
        <v>581</v>
      </c>
      <c r="I27" s="1158"/>
      <c r="J27" s="1158"/>
      <c r="K27" s="1018"/>
      <c r="L27" s="709"/>
      <c r="M27" s="709"/>
      <c r="N27" s="339"/>
      <c r="O27" s="339"/>
      <c r="P27" s="406">
        <f t="shared" si="0"/>
        <v>1</v>
      </c>
      <c r="Q27" s="407">
        <f t="shared" si="1"/>
        <v>1</v>
      </c>
      <c r="R27" s="1237" t="s">
        <v>581</v>
      </c>
      <c r="S27" s="1237"/>
      <c r="T27" s="1091"/>
      <c r="U27" s="1017"/>
      <c r="V27" s="1017"/>
      <c r="W27" s="442"/>
      <c r="X27" s="442"/>
      <c r="Y27" s="443"/>
      <c r="Z27" s="443"/>
      <c r="AA27" s="406">
        <f t="shared" si="2"/>
        <v>1</v>
      </c>
      <c r="AB27" s="407">
        <f t="shared" si="3"/>
        <v>1</v>
      </c>
      <c r="AC27" s="369"/>
    </row>
    <row r="28" spans="1:29" ht="24.75" customHeight="1" x14ac:dyDescent="0.25">
      <c r="A28" s="373">
        <v>19</v>
      </c>
      <c r="B28" s="445" t="s">
        <v>352</v>
      </c>
      <c r="C28" s="441" t="s">
        <v>664</v>
      </c>
      <c r="D28" s="1238"/>
      <c r="E28" s="1238"/>
      <c r="F28" s="1238"/>
      <c r="G28" s="1238"/>
      <c r="H28" s="1238" t="s">
        <v>581</v>
      </c>
      <c r="I28" s="1158"/>
      <c r="J28" s="1158"/>
      <c r="K28" s="1018"/>
      <c r="L28" s="709"/>
      <c r="M28" s="709"/>
      <c r="N28" s="339"/>
      <c r="O28" s="339"/>
      <c r="P28" s="406">
        <f t="shared" si="0"/>
        <v>1</v>
      </c>
      <c r="Q28" s="407">
        <f t="shared" si="1"/>
        <v>1</v>
      </c>
      <c r="R28" s="1237"/>
      <c r="S28" s="1237"/>
      <c r="T28" s="1091"/>
      <c r="U28" s="1017"/>
      <c r="V28" s="1017"/>
      <c r="W28" s="442"/>
      <c r="X28" s="442"/>
      <c r="Y28" s="443"/>
      <c r="Z28" s="443"/>
      <c r="AA28" s="406">
        <f t="shared" si="2"/>
        <v>0</v>
      </c>
      <c r="AB28" s="407">
        <f t="shared" si="3"/>
        <v>0</v>
      </c>
      <c r="AC28" s="369"/>
    </row>
    <row r="29" spans="1:29" ht="24.75" customHeight="1" x14ac:dyDescent="0.25">
      <c r="A29" s="373">
        <v>20</v>
      </c>
      <c r="B29" s="445" t="s">
        <v>353</v>
      </c>
      <c r="C29" s="441" t="s">
        <v>665</v>
      </c>
      <c r="D29" s="1238"/>
      <c r="E29" s="1238"/>
      <c r="F29" s="1238"/>
      <c r="G29" s="1238"/>
      <c r="H29" s="1238" t="s">
        <v>581</v>
      </c>
      <c r="I29" s="1158"/>
      <c r="J29" s="1158"/>
      <c r="K29" s="1018"/>
      <c r="L29" s="709"/>
      <c r="M29" s="709"/>
      <c r="N29" s="339"/>
      <c r="O29" s="339"/>
      <c r="P29" s="406">
        <f t="shared" si="0"/>
        <v>1</v>
      </c>
      <c r="Q29" s="407">
        <f t="shared" si="1"/>
        <v>1</v>
      </c>
      <c r="R29" s="1237"/>
      <c r="S29" s="1237"/>
      <c r="T29" s="1091"/>
      <c r="U29" s="1017"/>
      <c r="V29" s="1017"/>
      <c r="W29" s="442"/>
      <c r="X29" s="442"/>
      <c r="Y29" s="443"/>
      <c r="Z29" s="443"/>
      <c r="AA29" s="406">
        <f t="shared" si="2"/>
        <v>0</v>
      </c>
      <c r="AB29" s="407">
        <f t="shared" si="3"/>
        <v>0</v>
      </c>
      <c r="AC29" s="369"/>
    </row>
    <row r="30" spans="1:29" ht="24.75" customHeight="1" x14ac:dyDescent="0.25">
      <c r="A30" s="373">
        <v>21</v>
      </c>
      <c r="B30" s="445" t="s">
        <v>354</v>
      </c>
      <c r="C30" s="143" t="s">
        <v>666</v>
      </c>
      <c r="D30" s="1237"/>
      <c r="E30" s="1237"/>
      <c r="F30" s="1237"/>
      <c r="G30" s="1237"/>
      <c r="H30" s="1237"/>
      <c r="I30" s="1157"/>
      <c r="J30" s="1157"/>
      <c r="K30" s="1017"/>
      <c r="L30" s="708"/>
      <c r="M30" s="708"/>
      <c r="N30" s="339"/>
      <c r="O30" s="145"/>
      <c r="P30" s="406">
        <f t="shared" si="0"/>
        <v>0</v>
      </c>
      <c r="Q30" s="407">
        <f t="shared" si="1"/>
        <v>0</v>
      </c>
      <c r="R30" s="1237"/>
      <c r="S30" s="1237"/>
      <c r="T30" s="1091"/>
      <c r="U30" s="1017"/>
      <c r="V30" s="1017"/>
      <c r="W30" s="339"/>
      <c r="X30" s="339"/>
      <c r="Y30" s="116"/>
      <c r="Z30" s="116"/>
      <c r="AA30" s="406">
        <f t="shared" si="2"/>
        <v>0</v>
      </c>
      <c r="AB30" s="407">
        <f t="shared" si="3"/>
        <v>0</v>
      </c>
      <c r="AC30" s="369"/>
    </row>
    <row r="31" spans="1:29" ht="24" customHeight="1" x14ac:dyDescent="0.25">
      <c r="A31" s="373">
        <v>22</v>
      </c>
      <c r="B31" s="446" t="s">
        <v>715</v>
      </c>
      <c r="C31" s="365" t="s">
        <v>716</v>
      </c>
      <c r="D31" s="1237"/>
      <c r="E31" s="1237"/>
      <c r="F31" s="1237"/>
      <c r="G31" s="1237"/>
      <c r="H31" s="1237"/>
      <c r="I31" s="1157"/>
      <c r="J31" s="1157"/>
      <c r="K31" s="1017"/>
      <c r="L31" s="708"/>
      <c r="M31" s="708"/>
      <c r="N31" s="339"/>
      <c r="O31" s="145"/>
      <c r="P31" s="406">
        <f t="shared" si="0"/>
        <v>0</v>
      </c>
      <c r="Q31" s="407">
        <f t="shared" si="1"/>
        <v>0</v>
      </c>
      <c r="R31" s="1237"/>
      <c r="S31" s="1237"/>
      <c r="T31" s="1091"/>
      <c r="U31" s="1017"/>
      <c r="V31" s="1017"/>
      <c r="W31" s="339"/>
      <c r="X31" s="339"/>
      <c r="Y31" s="116"/>
      <c r="Z31" s="116"/>
      <c r="AA31" s="406">
        <f t="shared" ref="AA31:AA33" si="4">SUM(COUNTIF(R31:Z31,"x"),COUNTIF(R31:Z31,"A"))</f>
        <v>0</v>
      </c>
      <c r="AB31" s="407">
        <f t="shared" ref="AB31:AB33" si="5">SUM(COUNTIF(R31:Z31,"x"),COUNTIF(R31:Z31,"b"))</f>
        <v>0</v>
      </c>
      <c r="AC31" s="369"/>
    </row>
    <row r="32" spans="1:29" ht="24" customHeight="1" x14ac:dyDescent="0.25">
      <c r="A32" s="373">
        <v>23</v>
      </c>
      <c r="B32" s="71" t="s">
        <v>759</v>
      </c>
      <c r="C32" s="92" t="s">
        <v>760</v>
      </c>
      <c r="D32" s="1237"/>
      <c r="E32" s="1237"/>
      <c r="F32" s="1237"/>
      <c r="G32" s="1237"/>
      <c r="H32" s="1237"/>
      <c r="I32" s="1157"/>
      <c r="J32" s="1157"/>
      <c r="K32" s="1017"/>
      <c r="L32" s="708"/>
      <c r="M32" s="708"/>
      <c r="N32" s="339"/>
      <c r="O32" s="145"/>
      <c r="P32" s="406">
        <f t="shared" ref="P32:P33" si="6">SUM(COUNTIF(D32:O32,"x"),COUNTIF(D32:O32,"A"))</f>
        <v>0</v>
      </c>
      <c r="Q32" s="407">
        <f t="shared" ref="Q32:Q33" si="7">SUM(COUNTIF(D32:O32,"x"),COUNTIF(D32:O32,"b"))</f>
        <v>0</v>
      </c>
      <c r="R32" s="1237"/>
      <c r="S32" s="1237"/>
      <c r="T32" s="1091"/>
      <c r="U32" s="1017"/>
      <c r="V32" s="1017"/>
      <c r="W32" s="339"/>
      <c r="X32" s="339"/>
      <c r="Y32" s="116"/>
      <c r="Z32" s="116"/>
      <c r="AA32" s="406">
        <f t="shared" si="4"/>
        <v>0</v>
      </c>
      <c r="AB32" s="407">
        <f t="shared" si="5"/>
        <v>0</v>
      </c>
      <c r="AC32" s="369"/>
    </row>
    <row r="33" spans="1:29" ht="24" customHeight="1" x14ac:dyDescent="0.25">
      <c r="A33" s="373">
        <v>24</v>
      </c>
      <c r="B33" s="447" t="s">
        <v>766</v>
      </c>
      <c r="C33" s="365" t="s">
        <v>771</v>
      </c>
      <c r="D33" s="1237"/>
      <c r="E33" s="1237"/>
      <c r="F33" s="1237"/>
      <c r="G33" s="1237"/>
      <c r="H33" s="1237"/>
      <c r="I33" s="1157"/>
      <c r="J33" s="1157"/>
      <c r="K33" s="1017"/>
      <c r="L33" s="708"/>
      <c r="M33" s="708"/>
      <c r="N33" s="339"/>
      <c r="O33" s="145"/>
      <c r="P33" s="406">
        <f t="shared" si="6"/>
        <v>0</v>
      </c>
      <c r="Q33" s="407">
        <f t="shared" si="7"/>
        <v>0</v>
      </c>
      <c r="R33" s="1237"/>
      <c r="S33" s="1237"/>
      <c r="T33" s="1091"/>
      <c r="U33" s="1017"/>
      <c r="V33" s="1017"/>
      <c r="W33" s="339"/>
      <c r="X33" s="339"/>
      <c r="Y33" s="116"/>
      <c r="Z33" s="116"/>
      <c r="AA33" s="406">
        <f t="shared" si="4"/>
        <v>0</v>
      </c>
      <c r="AB33" s="407">
        <f t="shared" si="5"/>
        <v>0</v>
      </c>
      <c r="AC33" s="369"/>
    </row>
    <row r="34" spans="1:29" ht="24" customHeight="1" x14ac:dyDescent="0.25">
      <c r="A34" s="373">
        <v>25</v>
      </c>
      <c r="B34" s="583" t="s">
        <v>853</v>
      </c>
      <c r="C34" s="92" t="s">
        <v>858</v>
      </c>
      <c r="D34" s="1237"/>
      <c r="E34" s="1237"/>
      <c r="F34" s="1237"/>
      <c r="G34" s="1237"/>
      <c r="H34" s="1237"/>
      <c r="I34" s="1157"/>
      <c r="J34" s="1157"/>
      <c r="K34" s="1017"/>
      <c r="L34" s="708"/>
      <c r="M34" s="708"/>
      <c r="N34" s="339"/>
      <c r="O34" s="145"/>
      <c r="P34" s="406">
        <f t="shared" ref="P34:P35" si="8">SUM(COUNTIF(D34:O34,"x"),COUNTIF(D34:O34,"A"))</f>
        <v>0</v>
      </c>
      <c r="Q34" s="407">
        <f t="shared" ref="Q34:Q35" si="9">SUM(COUNTIF(D34:O34,"x"),COUNTIF(D34:O34,"b"))</f>
        <v>0</v>
      </c>
      <c r="R34" s="1237"/>
      <c r="S34" s="1237"/>
      <c r="T34" s="1091"/>
      <c r="U34" s="1017"/>
      <c r="V34" s="1017"/>
      <c r="W34" s="339"/>
      <c r="X34" s="339"/>
      <c r="Y34" s="116"/>
      <c r="Z34" s="116"/>
      <c r="AA34" s="406">
        <f t="shared" ref="AA34:AA35" si="10">SUM(COUNTIF(R34:Z34,"x"),COUNTIF(R34:Z34,"A"))</f>
        <v>0</v>
      </c>
      <c r="AB34" s="407">
        <f t="shared" ref="AB34:AB35" si="11">SUM(COUNTIF(R34:Z34,"x"),COUNTIF(R34:Z34,"b"))</f>
        <v>0</v>
      </c>
      <c r="AC34" s="369"/>
    </row>
    <row r="35" spans="1:29" ht="24" customHeight="1" x14ac:dyDescent="0.25">
      <c r="A35" s="373">
        <v>26</v>
      </c>
      <c r="B35" s="926" t="s">
        <v>1094</v>
      </c>
      <c r="C35" s="927" t="s">
        <v>1095</v>
      </c>
      <c r="D35" s="1237"/>
      <c r="E35" s="1237"/>
      <c r="F35" s="1237"/>
      <c r="G35" s="1237"/>
      <c r="H35" s="1237"/>
      <c r="I35" s="1157"/>
      <c r="J35" s="1157"/>
      <c r="K35" s="1017"/>
      <c r="L35" s="928"/>
      <c r="M35" s="928"/>
      <c r="N35" s="896"/>
      <c r="O35" s="929"/>
      <c r="P35" s="406">
        <f t="shared" si="8"/>
        <v>0</v>
      </c>
      <c r="Q35" s="407">
        <f t="shared" si="9"/>
        <v>0</v>
      </c>
      <c r="R35" s="1237"/>
      <c r="S35" s="1237"/>
      <c r="T35" s="1091"/>
      <c r="U35" s="1017"/>
      <c r="V35" s="1017"/>
      <c r="W35" s="896"/>
      <c r="X35" s="896"/>
      <c r="Y35" s="930"/>
      <c r="Z35" s="930"/>
      <c r="AA35" s="406">
        <f t="shared" si="10"/>
        <v>0</v>
      </c>
      <c r="AB35" s="407">
        <f t="shared" si="11"/>
        <v>0</v>
      </c>
      <c r="AC35" s="897"/>
    </row>
    <row r="36" spans="1:29" ht="26.25" customHeight="1" x14ac:dyDescent="0.25">
      <c r="A36" s="362" t="s">
        <v>577</v>
      </c>
      <c r="B36" s="364"/>
      <c r="C36" s="401"/>
      <c r="D36" s="1239"/>
      <c r="E36" s="1239"/>
      <c r="F36" s="1239"/>
      <c r="G36" s="1239"/>
      <c r="H36" s="1239"/>
      <c r="I36" s="1159"/>
      <c r="J36" s="1159"/>
      <c r="K36" s="1019"/>
      <c r="L36" s="710"/>
      <c r="M36" s="710"/>
      <c r="N36" s="339"/>
      <c r="O36" s="448"/>
      <c r="P36" s="406">
        <f t="shared" si="0"/>
        <v>0</v>
      </c>
      <c r="Q36" s="407">
        <f t="shared" si="1"/>
        <v>0</v>
      </c>
      <c r="R36" s="1237"/>
      <c r="S36" s="1237"/>
      <c r="T36" s="1091"/>
      <c r="U36" s="1017"/>
      <c r="V36" s="1017"/>
      <c r="W36" s="448"/>
      <c r="X36" s="448"/>
      <c r="Y36" s="116"/>
      <c r="Z36" s="116"/>
      <c r="AA36" s="406">
        <f t="shared" si="2"/>
        <v>0</v>
      </c>
      <c r="AB36" s="407">
        <f t="shared" si="3"/>
        <v>0</v>
      </c>
      <c r="AC36" s="369"/>
    </row>
    <row r="37" spans="1:29" ht="29.25" customHeight="1" x14ac:dyDescent="0.25">
      <c r="A37" s="373">
        <v>27</v>
      </c>
      <c r="B37" s="445" t="s">
        <v>398</v>
      </c>
      <c r="C37" s="143" t="s">
        <v>667</v>
      </c>
      <c r="D37" s="1237"/>
      <c r="E37" s="1237" t="s">
        <v>581</v>
      </c>
      <c r="F37" s="1237" t="s">
        <v>581</v>
      </c>
      <c r="G37" s="1237" t="s">
        <v>581</v>
      </c>
      <c r="H37" s="1237"/>
      <c r="I37" s="1157"/>
      <c r="J37" s="1157"/>
      <c r="K37" s="1017"/>
      <c r="L37" s="708"/>
      <c r="M37" s="708"/>
      <c r="N37" s="708"/>
      <c r="O37" s="708"/>
      <c r="P37" s="406">
        <f t="shared" si="0"/>
        <v>3</v>
      </c>
      <c r="Q37" s="407">
        <f t="shared" si="1"/>
        <v>3</v>
      </c>
      <c r="R37" s="1237" t="s">
        <v>581</v>
      </c>
      <c r="S37" s="1237" t="s">
        <v>581</v>
      </c>
      <c r="T37" s="1091"/>
      <c r="U37" s="1017"/>
      <c r="V37" s="1017"/>
      <c r="W37" s="339"/>
      <c r="X37" s="339"/>
      <c r="Y37" s="339"/>
      <c r="Z37" s="116"/>
      <c r="AA37" s="406">
        <f t="shared" si="2"/>
        <v>2</v>
      </c>
      <c r="AB37" s="407">
        <f t="shared" si="3"/>
        <v>2</v>
      </c>
      <c r="AC37" s="369"/>
    </row>
    <row r="38" spans="1:29" ht="20.25" customHeight="1" x14ac:dyDescent="0.25">
      <c r="A38" s="374"/>
      <c r="B38" s="374"/>
      <c r="C38" s="374"/>
      <c r="D38" s="374">
        <f t="shared" ref="D38:O38" si="12">COUNTIF(D10:D37,"X")</f>
        <v>1</v>
      </c>
      <c r="E38" s="374">
        <f t="shared" si="12"/>
        <v>2</v>
      </c>
      <c r="F38" s="374">
        <f t="shared" si="12"/>
        <v>2</v>
      </c>
      <c r="G38" s="374">
        <f t="shared" si="12"/>
        <v>2</v>
      </c>
      <c r="H38" s="374">
        <f t="shared" si="12"/>
        <v>3</v>
      </c>
      <c r="I38" s="374">
        <f t="shared" si="12"/>
        <v>0</v>
      </c>
      <c r="J38" s="374">
        <f t="shared" si="12"/>
        <v>0</v>
      </c>
      <c r="K38" s="374">
        <f t="shared" si="12"/>
        <v>0</v>
      </c>
      <c r="L38" s="374">
        <f t="shared" si="12"/>
        <v>0</v>
      </c>
      <c r="M38" s="374">
        <f t="shared" si="12"/>
        <v>0</v>
      </c>
      <c r="N38" s="374">
        <f t="shared" si="12"/>
        <v>0</v>
      </c>
      <c r="O38" s="374">
        <f t="shared" si="12"/>
        <v>0</v>
      </c>
      <c r="P38" s="374"/>
      <c r="Q38" s="374"/>
      <c r="R38" s="374">
        <f t="shared" ref="R38:Y38" si="13">COUNTIF(R10:R37,"X")</f>
        <v>8</v>
      </c>
      <c r="S38" s="374">
        <f t="shared" si="13"/>
        <v>4</v>
      </c>
      <c r="T38" s="374">
        <f t="shared" si="13"/>
        <v>0</v>
      </c>
      <c r="U38" s="374">
        <f t="shared" si="13"/>
        <v>0</v>
      </c>
      <c r="V38" s="374">
        <f t="shared" si="13"/>
        <v>0</v>
      </c>
      <c r="W38" s="374">
        <f t="shared" si="13"/>
        <v>0</v>
      </c>
      <c r="X38" s="374">
        <f t="shared" si="13"/>
        <v>0</v>
      </c>
      <c r="Y38" s="374">
        <f t="shared" si="13"/>
        <v>0</v>
      </c>
      <c r="Z38" s="374"/>
      <c r="AA38" s="374"/>
      <c r="AB38" s="374"/>
      <c r="AC38" s="374"/>
    </row>
    <row r="39" spans="1:29" ht="15.75" x14ac:dyDescent="0.25">
      <c r="A39" s="1395" t="s">
        <v>578</v>
      </c>
      <c r="B39" s="1395"/>
      <c r="C39" s="1395"/>
      <c r="D39" s="1395"/>
      <c r="E39" s="1395"/>
      <c r="F39" s="1395"/>
      <c r="G39" s="1395"/>
      <c r="H39" s="1395"/>
      <c r="I39" s="1395"/>
      <c r="J39" s="1395"/>
      <c r="K39" s="1395"/>
      <c r="L39" s="1395"/>
      <c r="M39" s="1395"/>
      <c r="N39" s="1395"/>
      <c r="O39" s="1395"/>
      <c r="P39" s="1395"/>
      <c r="Q39" s="1395"/>
      <c r="R39" s="1395"/>
      <c r="S39" s="1395"/>
      <c r="T39" s="1395"/>
      <c r="U39" s="1395"/>
      <c r="V39" s="1395"/>
      <c r="W39" s="1395"/>
      <c r="X39" s="1395"/>
      <c r="Y39" s="1395"/>
      <c r="Z39" s="1395"/>
      <c r="AA39" s="1395"/>
      <c r="AB39" s="1395"/>
      <c r="AC39" s="1395"/>
    </row>
    <row r="40" spans="1:29" ht="17.25" x14ac:dyDescent="0.3">
      <c r="A40" s="375"/>
      <c r="B40" s="375"/>
      <c r="C40" s="375"/>
      <c r="D40" s="377"/>
      <c r="E40" s="377"/>
      <c r="F40" s="377"/>
      <c r="G40" s="377"/>
      <c r="H40" s="377"/>
      <c r="I40" s="377"/>
      <c r="J40" s="377"/>
      <c r="K40" s="377"/>
      <c r="L40" s="377"/>
      <c r="M40" s="377"/>
      <c r="N40" s="377"/>
      <c r="O40" s="377"/>
      <c r="P40" s="377"/>
      <c r="Q40" s="377"/>
      <c r="R40" s="224"/>
      <c r="S40" s="224"/>
      <c r="T40" s="224" t="str">
        <f>'P.KH-TC'!P22</f>
        <v>TP. HCM, ngày 2 tháng 11 năm 2023</v>
      </c>
      <c r="U40" s="224"/>
      <c r="V40" s="224"/>
      <c r="W40" s="224"/>
      <c r="X40" s="224"/>
      <c r="Y40" s="224"/>
      <c r="Z40" s="224"/>
      <c r="AA40" s="224"/>
      <c r="AB40" s="224"/>
      <c r="AC40" s="224"/>
    </row>
    <row r="41" spans="1:29" ht="17.25" x14ac:dyDescent="0.3">
      <c r="A41" s="375"/>
      <c r="B41" s="375"/>
      <c r="C41" s="375"/>
      <c r="S41" s="403"/>
      <c r="T41" s="1403" t="s">
        <v>579</v>
      </c>
      <c r="U41" s="1403"/>
      <c r="V41" s="1403"/>
      <c r="W41" s="1403"/>
      <c r="X41" s="1403"/>
      <c r="Y41" s="1403"/>
      <c r="Z41" s="403"/>
      <c r="AA41" s="403"/>
      <c r="AB41" s="403"/>
      <c r="AC41" s="403"/>
    </row>
    <row r="42" spans="1:29" ht="18.75" x14ac:dyDescent="0.3">
      <c r="B42" s="381" t="s">
        <v>805</v>
      </c>
      <c r="C42" s="382" t="s">
        <v>802</v>
      </c>
    </row>
    <row r="43" spans="1:29" ht="18.75" x14ac:dyDescent="0.3">
      <c r="B43" s="382" t="s">
        <v>803</v>
      </c>
      <c r="C43" s="382" t="s">
        <v>804</v>
      </c>
    </row>
  </sheetData>
  <mergeCells count="12">
    <mergeCell ref="A1:C1"/>
    <mergeCell ref="A2:C2"/>
    <mergeCell ref="A3:C3"/>
    <mergeCell ref="R1:AC1"/>
    <mergeCell ref="R2:AC2"/>
    <mergeCell ref="A5:AC5"/>
    <mergeCell ref="T41:Y41"/>
    <mergeCell ref="A39:AC39"/>
    <mergeCell ref="A7:A8"/>
    <mergeCell ref="B7:C7"/>
    <mergeCell ref="D7:P7"/>
    <mergeCell ref="R7:Z7"/>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H45"/>
  <sheetViews>
    <sheetView showZeros="0" topLeftCell="A28" zoomScale="80" zoomScaleNormal="80" workbookViewId="0">
      <selection activeCell="R10" sqref="R10:U39"/>
    </sheetView>
  </sheetViews>
  <sheetFormatPr defaultRowHeight="15" x14ac:dyDescent="0.25"/>
  <cols>
    <col min="1" max="1" width="5.28515625" customWidth="1"/>
    <col min="2" max="2" width="24.42578125" customWidth="1"/>
    <col min="3" max="3" width="14.7109375" customWidth="1"/>
    <col min="4" max="13" width="6.7109375" style="207" customWidth="1"/>
    <col min="14" max="16" width="6.7109375" style="20" customWidth="1"/>
    <col min="17" max="17" width="6.7109375" style="203" customWidth="1"/>
    <col min="18" max="18" width="6.7109375" style="207" customWidth="1"/>
    <col min="19" max="22" width="6.7109375" style="20" customWidth="1"/>
    <col min="23" max="25" width="6.7109375" style="203" customWidth="1"/>
    <col min="26" max="30" width="6.7109375" style="20" customWidth="1"/>
    <col min="31" max="31" width="6.7109375" style="203" customWidth="1"/>
    <col min="32" max="32" width="17" style="20" customWidth="1"/>
  </cols>
  <sheetData>
    <row r="1" spans="1:32" ht="15.75" customHeight="1" x14ac:dyDescent="0.25">
      <c r="A1" s="1400" t="s">
        <v>559</v>
      </c>
      <c r="B1" s="1400"/>
      <c r="C1" s="1400"/>
      <c r="D1" s="1401" t="s">
        <v>560</v>
      </c>
      <c r="E1" s="1401"/>
      <c r="F1" s="1401"/>
      <c r="G1" s="1401"/>
      <c r="H1" s="1401"/>
      <c r="I1" s="1401"/>
      <c r="J1" s="1401"/>
      <c r="K1" s="1401"/>
      <c r="L1" s="1401"/>
      <c r="M1" s="1401"/>
      <c r="N1" s="1401"/>
      <c r="O1" s="1401"/>
      <c r="P1" s="1401"/>
      <c r="Q1" s="1401"/>
      <c r="R1" s="1401"/>
      <c r="S1" s="1401"/>
      <c r="T1" s="1401"/>
      <c r="U1" s="1401"/>
      <c r="V1" s="1401"/>
      <c r="W1" s="1401"/>
      <c r="X1" s="1401"/>
      <c r="Y1" s="1401"/>
      <c r="Z1" s="1401"/>
      <c r="AA1" s="1401"/>
      <c r="AB1" s="1401"/>
      <c r="AC1" s="1401"/>
      <c r="AD1" s="1401"/>
      <c r="AE1" s="1401"/>
      <c r="AF1" s="1401"/>
    </row>
    <row r="2" spans="1:32" ht="15.75" customHeight="1" x14ac:dyDescent="0.25">
      <c r="A2" s="1400" t="s">
        <v>561</v>
      </c>
      <c r="B2" s="1400"/>
      <c r="C2" s="1400"/>
      <c r="D2" s="1401" t="s">
        <v>562</v>
      </c>
      <c r="E2" s="1401"/>
      <c r="F2" s="1401"/>
      <c r="G2" s="1401"/>
      <c r="H2" s="1401"/>
      <c r="I2" s="1401"/>
      <c r="J2" s="1401"/>
      <c r="K2" s="1401"/>
      <c r="L2" s="1401"/>
      <c r="M2" s="1401"/>
      <c r="N2" s="1401"/>
      <c r="O2" s="1401"/>
      <c r="P2" s="1401"/>
      <c r="Q2" s="1401"/>
      <c r="R2" s="1401"/>
      <c r="S2" s="1401"/>
      <c r="T2" s="1401"/>
      <c r="U2" s="1401"/>
      <c r="V2" s="1401"/>
      <c r="W2" s="1401"/>
      <c r="X2" s="1401"/>
      <c r="Y2" s="1401"/>
      <c r="Z2" s="1401"/>
      <c r="AA2" s="1401"/>
      <c r="AB2" s="1401"/>
      <c r="AC2" s="1401"/>
      <c r="AD2" s="1401"/>
      <c r="AE2" s="1401"/>
      <c r="AF2" s="1401"/>
    </row>
    <row r="3" spans="1:32" ht="15.75" customHeight="1" x14ac:dyDescent="0.25">
      <c r="A3" s="1401" t="s">
        <v>596</v>
      </c>
      <c r="B3" s="1401"/>
      <c r="C3" s="1401"/>
      <c r="D3" s="210"/>
      <c r="E3" s="210"/>
      <c r="F3" s="210"/>
      <c r="G3" s="210"/>
      <c r="H3" s="210"/>
      <c r="I3" s="210"/>
      <c r="J3" s="210"/>
      <c r="K3" s="210"/>
      <c r="L3" s="210"/>
      <c r="M3" s="205"/>
      <c r="N3" s="17"/>
      <c r="O3" s="17"/>
      <c r="P3" s="17"/>
      <c r="Q3" s="17"/>
      <c r="R3" s="205"/>
      <c r="S3" s="17"/>
      <c r="T3" s="17"/>
      <c r="U3" s="17"/>
      <c r="V3" s="17"/>
      <c r="W3" s="17"/>
      <c r="X3" s="17"/>
      <c r="Y3" s="17"/>
      <c r="Z3" s="17"/>
      <c r="AA3" s="17"/>
      <c r="AB3" s="17"/>
      <c r="AC3" s="17"/>
      <c r="AD3" s="17"/>
      <c r="AE3" s="17"/>
      <c r="AF3" s="17"/>
    </row>
    <row r="4" spans="1:32" ht="15.75" x14ac:dyDescent="0.25">
      <c r="A4" s="18"/>
      <c r="B4" s="18"/>
      <c r="C4" s="18"/>
      <c r="D4" s="210"/>
      <c r="E4" s="210"/>
      <c r="F4" s="210"/>
      <c r="G4" s="210"/>
      <c r="H4" s="210"/>
      <c r="I4" s="210"/>
      <c r="J4" s="210"/>
      <c r="K4" s="210"/>
      <c r="L4" s="210"/>
      <c r="M4" s="205"/>
      <c r="N4" s="17"/>
      <c r="O4" s="17"/>
      <c r="P4" s="17"/>
      <c r="Q4" s="17"/>
      <c r="R4" s="205"/>
      <c r="S4" s="17"/>
      <c r="T4" s="17"/>
      <c r="U4" s="17"/>
      <c r="V4" s="17"/>
      <c r="W4" s="17"/>
      <c r="X4" s="17"/>
      <c r="Y4" s="17"/>
      <c r="Z4" s="17"/>
      <c r="AA4" s="17"/>
      <c r="AB4" s="17"/>
      <c r="AC4" s="17"/>
      <c r="AD4" s="17"/>
      <c r="AE4" s="17"/>
      <c r="AF4" s="52"/>
    </row>
    <row r="5" spans="1:32" ht="20.25" x14ac:dyDescent="0.25">
      <c r="A5" s="1412" t="str">
        <f>'K.ĐỘNG LỰC'!A5:AC5</f>
        <v>THỐNG KÊ CHI TIẾT KHỐI LƯỢNG CÔNG VIỆC THỰC HIỆN THÁNG 10/2023</v>
      </c>
      <c r="B5" s="1412"/>
      <c r="C5" s="1412"/>
      <c r="D5" s="1412"/>
      <c r="E5" s="1412"/>
      <c r="F5" s="1412"/>
      <c r="G5" s="1412"/>
      <c r="H5" s="1412"/>
      <c r="I5" s="1412"/>
      <c r="J5" s="1412"/>
      <c r="K5" s="1412"/>
      <c r="L5" s="1412"/>
      <c r="M5" s="1412"/>
      <c r="N5" s="1412"/>
      <c r="O5" s="1412"/>
      <c r="P5" s="1412"/>
      <c r="Q5" s="1412"/>
      <c r="R5" s="1412"/>
      <c r="S5" s="1412"/>
      <c r="T5" s="1412"/>
      <c r="U5" s="1412"/>
      <c r="V5" s="1412"/>
      <c r="W5" s="1412"/>
      <c r="X5" s="1412"/>
      <c r="Y5" s="1412"/>
      <c r="Z5" s="1412"/>
      <c r="AA5" s="1412"/>
      <c r="AB5" s="1412"/>
      <c r="AC5" s="1412"/>
      <c r="AD5" s="1412"/>
      <c r="AE5" s="1412"/>
      <c r="AF5" s="1412"/>
    </row>
    <row r="7" spans="1:32" ht="16.5" customHeight="1" x14ac:dyDescent="0.25">
      <c r="A7" s="1416" t="s">
        <v>0</v>
      </c>
      <c r="B7" s="1436" t="s">
        <v>564</v>
      </c>
      <c r="C7" s="1436"/>
      <c r="D7" s="1437" t="s">
        <v>110</v>
      </c>
      <c r="E7" s="1438"/>
      <c r="F7" s="1438"/>
      <c r="G7" s="1438"/>
      <c r="H7" s="1438"/>
      <c r="I7" s="1438"/>
      <c r="J7" s="1438"/>
      <c r="K7" s="1438"/>
      <c r="L7" s="1438"/>
      <c r="M7" s="1438"/>
      <c r="N7" s="1438"/>
      <c r="O7" s="1438"/>
      <c r="P7" s="39"/>
      <c r="Q7" s="39"/>
      <c r="R7" s="1437" t="s">
        <v>565</v>
      </c>
      <c r="S7" s="1438"/>
      <c r="T7" s="1438"/>
      <c r="U7" s="1438"/>
      <c r="V7" s="1438"/>
      <c r="W7" s="1438"/>
      <c r="X7" s="1438"/>
      <c r="Y7" s="1438"/>
      <c r="Z7" s="1438"/>
      <c r="AA7" s="1438"/>
      <c r="AB7" s="1438"/>
      <c r="AC7" s="1438"/>
      <c r="AD7" s="40"/>
      <c r="AE7" s="40"/>
      <c r="AF7" s="21" t="s">
        <v>4</v>
      </c>
    </row>
    <row r="8" spans="1:32" ht="95.25" customHeight="1" x14ac:dyDescent="0.25">
      <c r="A8" s="1417"/>
      <c r="B8" s="43" t="s">
        <v>461</v>
      </c>
      <c r="C8" s="43" t="s">
        <v>566</v>
      </c>
      <c r="D8" s="212" t="s">
        <v>567</v>
      </c>
      <c r="E8" s="212" t="s">
        <v>568</v>
      </c>
      <c r="F8" s="212" t="s">
        <v>569</v>
      </c>
      <c r="G8" s="212" t="s">
        <v>570</v>
      </c>
      <c r="H8" s="212" t="s">
        <v>571</v>
      </c>
      <c r="I8" s="212" t="s">
        <v>572</v>
      </c>
      <c r="J8" s="212" t="s">
        <v>573</v>
      </c>
      <c r="K8" s="212" t="s">
        <v>703</v>
      </c>
      <c r="L8" s="212" t="s">
        <v>704</v>
      </c>
      <c r="M8" s="212" t="s">
        <v>748</v>
      </c>
      <c r="N8" s="212" t="s">
        <v>749</v>
      </c>
      <c r="O8" s="212" t="s">
        <v>750</v>
      </c>
      <c r="P8" s="126" t="s">
        <v>588</v>
      </c>
      <c r="Q8" s="267" t="s">
        <v>795</v>
      </c>
      <c r="R8" s="132" t="s">
        <v>567</v>
      </c>
      <c r="S8" s="132" t="s">
        <v>568</v>
      </c>
      <c r="T8" s="132" t="s">
        <v>569</v>
      </c>
      <c r="U8" s="132" t="s">
        <v>570</v>
      </c>
      <c r="V8" s="132" t="s">
        <v>571</v>
      </c>
      <c r="W8" s="132" t="s">
        <v>572</v>
      </c>
      <c r="X8" s="132" t="s">
        <v>573</v>
      </c>
      <c r="Y8" s="132" t="s">
        <v>703</v>
      </c>
      <c r="Z8" s="132" t="s">
        <v>704</v>
      </c>
      <c r="AA8" s="132" t="s">
        <v>748</v>
      </c>
      <c r="AB8" s="132" t="s">
        <v>749</v>
      </c>
      <c r="AC8" s="132" t="s">
        <v>750</v>
      </c>
      <c r="AD8" s="126" t="s">
        <v>588</v>
      </c>
      <c r="AE8" s="267" t="s">
        <v>795</v>
      </c>
      <c r="AF8" s="21"/>
    </row>
    <row r="9" spans="1:32" ht="15.75" x14ac:dyDescent="0.25">
      <c r="A9" s="22" t="s">
        <v>574</v>
      </c>
      <c r="B9" s="23"/>
      <c r="C9" s="268">
        <v>-1</v>
      </c>
      <c r="D9" s="268">
        <v>-2</v>
      </c>
      <c r="E9" s="268">
        <v>-3</v>
      </c>
      <c r="F9" s="268">
        <v>-4</v>
      </c>
      <c r="G9" s="268">
        <v>-5</v>
      </c>
      <c r="H9" s="268">
        <v>-6</v>
      </c>
      <c r="I9" s="268">
        <v>-7</v>
      </c>
      <c r="J9" s="268">
        <v>-8</v>
      </c>
      <c r="K9" s="268">
        <v>-9</v>
      </c>
      <c r="L9" s="268">
        <v>-10</v>
      </c>
      <c r="M9" s="268">
        <v>-11</v>
      </c>
      <c r="N9" s="268">
        <v>-12</v>
      </c>
      <c r="O9" s="268">
        <v>-13</v>
      </c>
      <c r="P9" s="268">
        <v>-14</v>
      </c>
      <c r="Q9" s="269">
        <v>-15</v>
      </c>
      <c r="R9" s="268">
        <v>-16</v>
      </c>
      <c r="S9" s="268">
        <v>-17</v>
      </c>
      <c r="T9" s="268">
        <v>-18</v>
      </c>
      <c r="U9" s="268">
        <v>-19</v>
      </c>
      <c r="V9" s="268">
        <v>-20</v>
      </c>
      <c r="W9" s="268">
        <v>-21</v>
      </c>
      <c r="X9" s="268">
        <v>-22</v>
      </c>
      <c r="Y9" s="268">
        <v>-23</v>
      </c>
      <c r="Z9" s="268">
        <v>-24</v>
      </c>
      <c r="AA9" s="268">
        <v>-25</v>
      </c>
      <c r="AB9" s="268">
        <v>-26</v>
      </c>
      <c r="AC9" s="268">
        <v>-27</v>
      </c>
      <c r="AD9" s="268">
        <v>-28</v>
      </c>
      <c r="AE9" s="269">
        <v>-29</v>
      </c>
      <c r="AF9" s="268">
        <v>-30</v>
      </c>
    </row>
    <row r="10" spans="1:32" ht="18.75" customHeight="1" x14ac:dyDescent="0.25">
      <c r="A10" s="26">
        <v>1</v>
      </c>
      <c r="B10" s="5" t="s">
        <v>503</v>
      </c>
      <c r="C10" s="42" t="s">
        <v>112</v>
      </c>
      <c r="D10" s="1240" t="s">
        <v>581</v>
      </c>
      <c r="E10" s="1241" t="s">
        <v>581</v>
      </c>
      <c r="F10" s="1241" t="s">
        <v>581</v>
      </c>
      <c r="G10" s="1240"/>
      <c r="H10" s="1240" t="s">
        <v>581</v>
      </c>
      <c r="I10" s="1241"/>
      <c r="J10" s="1240"/>
      <c r="K10" s="1120"/>
      <c r="L10" s="1120"/>
      <c r="M10" s="1096"/>
      <c r="N10" s="504"/>
      <c r="O10" s="171"/>
      <c r="P10" s="48">
        <f t="shared" ref="P10" si="0">SUM(COUNTIF(D10:O10,"x"),COUNTIF(D10:O10,"A"))</f>
        <v>4</v>
      </c>
      <c r="Q10" s="270">
        <f t="shared" ref="Q10" si="1">SUM(COUNTIF(D10:O10,"x"),COUNTIF(D10:O10,"b"))</f>
        <v>4</v>
      </c>
      <c r="R10" s="1243"/>
      <c r="S10" s="1241" t="s">
        <v>581</v>
      </c>
      <c r="T10" s="1244" t="s">
        <v>581</v>
      </c>
      <c r="U10" s="1241" t="s">
        <v>581</v>
      </c>
      <c r="V10" s="1122"/>
      <c r="W10" s="1127"/>
      <c r="X10" s="1122"/>
      <c r="Y10" s="1022"/>
      <c r="Z10" s="1022"/>
      <c r="AA10" s="1022"/>
      <c r="AB10" s="828"/>
      <c r="AC10" s="170"/>
      <c r="AD10" s="48">
        <f t="shared" ref="AD10" si="2">SUM(COUNTIF(R10:AC10,"x"),COUNTIF(R10:AC10,"A"))</f>
        <v>3</v>
      </c>
      <c r="AE10" s="270">
        <f t="shared" ref="AE10" si="3">SUM(COUNTIF(R10:AC10,"x"),COUNTIF(R10:AC10,"b"))</f>
        <v>3</v>
      </c>
      <c r="AF10" s="25"/>
    </row>
    <row r="11" spans="1:32" ht="16.5" x14ac:dyDescent="0.25">
      <c r="A11" s="26">
        <v>2</v>
      </c>
      <c r="B11" s="5" t="s">
        <v>504</v>
      </c>
      <c r="C11" s="42" t="s">
        <v>113</v>
      </c>
      <c r="D11" s="1240"/>
      <c r="E11" s="1241"/>
      <c r="F11" s="1241" t="s">
        <v>581</v>
      </c>
      <c r="G11" s="1240"/>
      <c r="H11" s="1240" t="s">
        <v>581</v>
      </c>
      <c r="I11" s="1241"/>
      <c r="J11" s="1240"/>
      <c r="K11" s="1120"/>
      <c r="L11" s="1120"/>
      <c r="M11" s="1096"/>
      <c r="N11" s="504"/>
      <c r="O11" s="171"/>
      <c r="P11" s="48">
        <f t="shared" ref="P11:P39" si="4">SUM(COUNTIF(D11:O11,"x"),COUNTIF(D11:O11,"A"))</f>
        <v>2</v>
      </c>
      <c r="Q11" s="270">
        <f t="shared" ref="Q11:Q39" si="5">SUM(COUNTIF(D11:O11,"x"),COUNTIF(D11:O11,"b"))</f>
        <v>2</v>
      </c>
      <c r="R11" s="1243" t="s">
        <v>581</v>
      </c>
      <c r="S11" s="1241" t="s">
        <v>581</v>
      </c>
      <c r="T11" s="1244" t="s">
        <v>581</v>
      </c>
      <c r="U11" s="1241" t="s">
        <v>581</v>
      </c>
      <c r="V11" s="1122"/>
      <c r="W11" s="1127"/>
      <c r="X11" s="1122"/>
      <c r="Y11" s="1022"/>
      <c r="Z11" s="1022"/>
      <c r="AA11" s="1022"/>
      <c r="AB11" s="828"/>
      <c r="AC11" s="170"/>
      <c r="AD11" s="48">
        <f t="shared" ref="AD11:AD39" si="6">SUM(COUNTIF(R11:AC11,"x"),COUNTIF(R11:AC11,"A"))</f>
        <v>4</v>
      </c>
      <c r="AE11" s="270">
        <f t="shared" ref="AE11:AE39" si="7">SUM(COUNTIF(R11:AC11,"x"),COUNTIF(R11:AC11,"b"))</f>
        <v>4</v>
      </c>
      <c r="AF11" s="25"/>
    </row>
    <row r="12" spans="1:32" ht="16.5" x14ac:dyDescent="0.25">
      <c r="A12" s="26">
        <v>3</v>
      </c>
      <c r="B12" s="5" t="s">
        <v>505</v>
      </c>
      <c r="C12" s="42" t="s">
        <v>114</v>
      </c>
      <c r="D12" s="1240"/>
      <c r="E12" s="1241"/>
      <c r="F12" s="1241" t="s">
        <v>581</v>
      </c>
      <c r="G12" s="1240"/>
      <c r="H12" s="1240" t="s">
        <v>581</v>
      </c>
      <c r="I12" s="1241"/>
      <c r="J12" s="1240"/>
      <c r="K12" s="1120"/>
      <c r="L12" s="1120"/>
      <c r="M12" s="1096"/>
      <c r="N12" s="504"/>
      <c r="O12" s="27"/>
      <c r="P12" s="48">
        <f t="shared" si="4"/>
        <v>2</v>
      </c>
      <c r="Q12" s="270">
        <f t="shared" si="5"/>
        <v>2</v>
      </c>
      <c r="R12" s="1243" t="s">
        <v>581</v>
      </c>
      <c r="S12" s="1241" t="s">
        <v>581</v>
      </c>
      <c r="T12" s="1244"/>
      <c r="U12" s="1241"/>
      <c r="V12" s="1122"/>
      <c r="W12" s="1127"/>
      <c r="X12" s="1122"/>
      <c r="Y12" s="1022"/>
      <c r="Z12" s="1022"/>
      <c r="AA12" s="1022"/>
      <c r="AB12" s="828"/>
      <c r="AC12" s="201"/>
      <c r="AD12" s="48">
        <f t="shared" si="6"/>
        <v>2</v>
      </c>
      <c r="AE12" s="270">
        <f t="shared" si="7"/>
        <v>2</v>
      </c>
      <c r="AF12" s="25"/>
    </row>
    <row r="13" spans="1:32" ht="16.5" x14ac:dyDescent="0.25">
      <c r="A13" s="26">
        <v>4</v>
      </c>
      <c r="B13" s="5" t="s">
        <v>507</v>
      </c>
      <c r="C13" s="42" t="s">
        <v>116</v>
      </c>
      <c r="D13" s="1241" t="s">
        <v>581</v>
      </c>
      <c r="E13" s="1241"/>
      <c r="F13" s="1241" t="s">
        <v>581</v>
      </c>
      <c r="G13" s="1241"/>
      <c r="H13" s="1240" t="s">
        <v>581</v>
      </c>
      <c r="I13" s="1241" t="s">
        <v>581</v>
      </c>
      <c r="J13" s="1240"/>
      <c r="K13" s="1120"/>
      <c r="L13" s="1120"/>
      <c r="M13" s="1096"/>
      <c r="N13" s="504"/>
      <c r="O13" s="171"/>
      <c r="P13" s="48">
        <f t="shared" si="4"/>
        <v>4</v>
      </c>
      <c r="Q13" s="270">
        <f t="shared" si="5"/>
        <v>4</v>
      </c>
      <c r="R13" s="1243"/>
      <c r="S13" s="1241" t="s">
        <v>581</v>
      </c>
      <c r="T13" s="1244"/>
      <c r="U13" s="1241" t="s">
        <v>581</v>
      </c>
      <c r="V13" s="1122"/>
      <c r="W13" s="1127"/>
      <c r="X13" s="1122"/>
      <c r="Y13" s="1022"/>
      <c r="Z13" s="1022"/>
      <c r="AA13" s="1022"/>
      <c r="AB13" s="828"/>
      <c r="AC13" s="201"/>
      <c r="AD13" s="48">
        <f t="shared" si="6"/>
        <v>2</v>
      </c>
      <c r="AE13" s="270">
        <f t="shared" si="7"/>
        <v>2</v>
      </c>
      <c r="AF13" s="25"/>
    </row>
    <row r="14" spans="1:32" ht="16.5" x14ac:dyDescent="0.25">
      <c r="A14" s="26">
        <v>5</v>
      </c>
      <c r="B14" s="581" t="s">
        <v>860</v>
      </c>
      <c r="C14" s="585" t="s">
        <v>861</v>
      </c>
      <c r="D14" s="1241"/>
      <c r="E14" s="1241"/>
      <c r="F14" s="1241" t="s">
        <v>581</v>
      </c>
      <c r="G14" s="1241"/>
      <c r="H14" s="1241"/>
      <c r="I14" s="1241"/>
      <c r="J14" s="1240" t="s">
        <v>581</v>
      </c>
      <c r="K14" s="1120"/>
      <c r="L14" s="1120"/>
      <c r="M14" s="1096"/>
      <c r="N14" s="504"/>
      <c r="O14" s="27"/>
      <c r="P14" s="48">
        <f>SUM(COUNTIF(D14:O14,"x"),COUNTIF(D14:O14,"A"))</f>
        <v>2</v>
      </c>
      <c r="Q14" s="270">
        <f>SUM(COUNTIF(D14:O14,"x"),COUNTIF(D14:O14,"b"))</f>
        <v>2</v>
      </c>
      <c r="R14" s="1243" t="s">
        <v>581</v>
      </c>
      <c r="S14" s="1241" t="s">
        <v>581</v>
      </c>
      <c r="T14" s="1244"/>
      <c r="U14" s="1241"/>
      <c r="V14" s="1122"/>
      <c r="W14" s="1127"/>
      <c r="X14" s="1122"/>
      <c r="Y14" s="1022"/>
      <c r="Z14" s="1022"/>
      <c r="AA14" s="1022"/>
      <c r="AB14" s="828"/>
      <c r="AC14" s="170"/>
      <c r="AD14" s="48">
        <f>SUM(COUNTIF(R14:AC14,"x"),COUNTIF(R14:AC14,"A"))</f>
        <v>2</v>
      </c>
      <c r="AE14" s="270">
        <f>SUM(COUNTIF(R14:AC14,"x"),COUNTIF(R14:AC14,"b"))</f>
        <v>2</v>
      </c>
      <c r="AF14" s="25"/>
    </row>
    <row r="15" spans="1:32" ht="16.5" x14ac:dyDescent="0.25">
      <c r="A15" s="26">
        <v>6</v>
      </c>
      <c r="B15" s="5" t="s">
        <v>508</v>
      </c>
      <c r="C15" s="42" t="s">
        <v>117</v>
      </c>
      <c r="D15" s="1241"/>
      <c r="E15" s="1241"/>
      <c r="F15" s="1241" t="s">
        <v>581</v>
      </c>
      <c r="G15" s="1241"/>
      <c r="H15" s="1241"/>
      <c r="I15" s="1241"/>
      <c r="J15" s="1240"/>
      <c r="K15" s="1120"/>
      <c r="L15" s="1120"/>
      <c r="M15" s="1096"/>
      <c r="N15" s="504"/>
      <c r="O15" s="27"/>
      <c r="P15" s="48">
        <f t="shared" si="4"/>
        <v>1</v>
      </c>
      <c r="Q15" s="270">
        <f t="shared" si="5"/>
        <v>1</v>
      </c>
      <c r="R15" s="1243"/>
      <c r="S15" s="1241" t="s">
        <v>581</v>
      </c>
      <c r="T15" s="1244"/>
      <c r="U15" s="1241"/>
      <c r="V15" s="1122"/>
      <c r="W15" s="1127"/>
      <c r="X15" s="1122"/>
      <c r="Y15" s="1022"/>
      <c r="Z15" s="1022"/>
      <c r="AA15" s="1022"/>
      <c r="AB15" s="828"/>
      <c r="AC15" s="170"/>
      <c r="AD15" s="48">
        <f t="shared" si="6"/>
        <v>1</v>
      </c>
      <c r="AE15" s="270">
        <f t="shared" si="7"/>
        <v>1</v>
      </c>
      <c r="AF15" s="25"/>
    </row>
    <row r="16" spans="1:32" ht="16.5" x14ac:dyDescent="0.25">
      <c r="A16" s="26">
        <v>7</v>
      </c>
      <c r="B16" s="5" t="s">
        <v>509</v>
      </c>
      <c r="C16" s="42" t="s">
        <v>118</v>
      </c>
      <c r="D16" s="1241"/>
      <c r="E16" s="1241" t="s">
        <v>581</v>
      </c>
      <c r="F16" s="1241" t="s">
        <v>581</v>
      </c>
      <c r="G16" s="1241"/>
      <c r="H16" s="1241" t="s">
        <v>581</v>
      </c>
      <c r="I16" s="1241"/>
      <c r="J16" s="1240"/>
      <c r="K16" s="1120"/>
      <c r="L16" s="1120"/>
      <c r="M16" s="1096"/>
      <c r="N16" s="504"/>
      <c r="O16" s="171"/>
      <c r="P16" s="48">
        <f t="shared" si="4"/>
        <v>3</v>
      </c>
      <c r="Q16" s="270">
        <f t="shared" si="5"/>
        <v>3</v>
      </c>
      <c r="R16" s="1243" t="s">
        <v>581</v>
      </c>
      <c r="S16" s="1241" t="s">
        <v>581</v>
      </c>
      <c r="T16" s="1244"/>
      <c r="U16" s="1241" t="s">
        <v>581</v>
      </c>
      <c r="V16" s="1122"/>
      <c r="W16" s="1127"/>
      <c r="X16" s="1122"/>
      <c r="Y16" s="1022"/>
      <c r="Z16" s="1022"/>
      <c r="AA16" s="1022"/>
      <c r="AB16" s="828"/>
      <c r="AC16" s="170"/>
      <c r="AD16" s="48">
        <f t="shared" si="6"/>
        <v>3</v>
      </c>
      <c r="AE16" s="270">
        <f t="shared" si="7"/>
        <v>3</v>
      </c>
      <c r="AF16" s="25"/>
    </row>
    <row r="17" spans="1:34" ht="16.5" x14ac:dyDescent="0.25">
      <c r="A17" s="26">
        <v>8</v>
      </c>
      <c r="B17" s="5" t="s">
        <v>510</v>
      </c>
      <c r="C17" s="42" t="s">
        <v>119</v>
      </c>
      <c r="D17" s="1241"/>
      <c r="E17" s="1241"/>
      <c r="F17" s="1241"/>
      <c r="G17" s="1241" t="s">
        <v>581</v>
      </c>
      <c r="H17" s="1241"/>
      <c r="I17" s="1241"/>
      <c r="J17" s="1240"/>
      <c r="K17" s="1120"/>
      <c r="L17" s="1120"/>
      <c r="M17" s="1096"/>
      <c r="N17" s="504"/>
      <c r="O17" s="27"/>
      <c r="P17" s="48">
        <f t="shared" si="4"/>
        <v>1</v>
      </c>
      <c r="Q17" s="270">
        <f t="shared" si="5"/>
        <v>1</v>
      </c>
      <c r="R17" s="1243"/>
      <c r="S17" s="1241" t="s">
        <v>581</v>
      </c>
      <c r="T17" s="1244"/>
      <c r="U17" s="1241"/>
      <c r="V17" s="1122"/>
      <c r="W17" s="1127"/>
      <c r="X17" s="1122"/>
      <c r="Y17" s="1022"/>
      <c r="Z17" s="1022"/>
      <c r="AA17" s="1022"/>
      <c r="AB17" s="828"/>
      <c r="AC17" s="170"/>
      <c r="AD17" s="48">
        <f t="shared" si="6"/>
        <v>1</v>
      </c>
      <c r="AE17" s="270">
        <f t="shared" si="7"/>
        <v>1</v>
      </c>
      <c r="AF17" s="25"/>
    </row>
    <row r="18" spans="1:34" ht="16.5" x14ac:dyDescent="0.25">
      <c r="A18" s="26">
        <v>9</v>
      </c>
      <c r="B18" s="5" t="s">
        <v>511</v>
      </c>
      <c r="C18" s="42" t="s">
        <v>120</v>
      </c>
      <c r="D18" s="1241"/>
      <c r="E18" s="1241"/>
      <c r="F18" s="1241"/>
      <c r="G18" s="1241"/>
      <c r="H18" s="1241"/>
      <c r="I18" s="1241"/>
      <c r="J18" s="1240"/>
      <c r="K18" s="1120"/>
      <c r="L18" s="1120"/>
      <c r="M18" s="1096"/>
      <c r="N18" s="504"/>
      <c r="O18" s="27"/>
      <c r="P18" s="48">
        <f t="shared" si="4"/>
        <v>0</v>
      </c>
      <c r="Q18" s="270">
        <f t="shared" si="5"/>
        <v>0</v>
      </c>
      <c r="R18" s="1243" t="s">
        <v>581</v>
      </c>
      <c r="S18" s="1241" t="s">
        <v>581</v>
      </c>
      <c r="T18" s="1244"/>
      <c r="U18" s="1241"/>
      <c r="V18" s="1122"/>
      <c r="W18" s="1127"/>
      <c r="X18" s="1122"/>
      <c r="Y18" s="1022"/>
      <c r="Z18" s="1022"/>
      <c r="AA18" s="1022"/>
      <c r="AB18" s="828"/>
      <c r="AC18" s="170"/>
      <c r="AD18" s="48">
        <f t="shared" si="6"/>
        <v>2</v>
      </c>
      <c r="AE18" s="270">
        <f t="shared" si="7"/>
        <v>2</v>
      </c>
      <c r="AF18" s="25"/>
      <c r="AH18" t="s">
        <v>597</v>
      </c>
    </row>
    <row r="19" spans="1:34" ht="34.5" customHeight="1" x14ac:dyDescent="0.25">
      <c r="A19" s="26">
        <v>10</v>
      </c>
      <c r="B19" s="5" t="s">
        <v>512</v>
      </c>
      <c r="C19" s="42" t="s">
        <v>121</v>
      </c>
      <c r="D19" s="1241"/>
      <c r="E19" s="1241"/>
      <c r="F19" s="1241" t="s">
        <v>581</v>
      </c>
      <c r="G19" s="1241"/>
      <c r="H19" s="1241" t="s">
        <v>581</v>
      </c>
      <c r="I19" s="1241"/>
      <c r="J19" s="1240"/>
      <c r="K19" s="1120"/>
      <c r="L19" s="1120"/>
      <c r="M19" s="1096"/>
      <c r="N19" s="504"/>
      <c r="O19" s="27"/>
      <c r="P19" s="48">
        <f t="shared" si="4"/>
        <v>2</v>
      </c>
      <c r="Q19" s="270">
        <f t="shared" si="5"/>
        <v>2</v>
      </c>
      <c r="R19" s="1243" t="s">
        <v>581</v>
      </c>
      <c r="S19" s="1241" t="s">
        <v>581</v>
      </c>
      <c r="T19" s="1244"/>
      <c r="U19" s="1241"/>
      <c r="V19" s="1122"/>
      <c r="W19" s="1127"/>
      <c r="X19" s="1122"/>
      <c r="Y19" s="1022"/>
      <c r="Z19" s="1022"/>
      <c r="AA19" s="1022"/>
      <c r="AB19" s="828"/>
      <c r="AC19" s="201"/>
      <c r="AD19" s="48">
        <f t="shared" si="6"/>
        <v>2</v>
      </c>
      <c r="AE19" s="270">
        <f t="shared" si="7"/>
        <v>2</v>
      </c>
      <c r="AF19" s="25"/>
    </row>
    <row r="20" spans="1:34" ht="16.5" x14ac:dyDescent="0.25">
      <c r="A20" s="26">
        <v>11</v>
      </c>
      <c r="B20" s="5" t="s">
        <v>513</v>
      </c>
      <c r="C20" s="42" t="s">
        <v>122</v>
      </c>
      <c r="D20" s="1240"/>
      <c r="E20" s="1241"/>
      <c r="F20" s="1241" t="s">
        <v>581</v>
      </c>
      <c r="G20" s="1240"/>
      <c r="H20" s="1240"/>
      <c r="I20" s="1241"/>
      <c r="J20" s="1240"/>
      <c r="K20" s="1120"/>
      <c r="L20" s="1120"/>
      <c r="M20" s="1096"/>
      <c r="N20" s="504"/>
      <c r="O20" s="27"/>
      <c r="P20" s="48">
        <f t="shared" si="4"/>
        <v>1</v>
      </c>
      <c r="Q20" s="270">
        <f t="shared" si="5"/>
        <v>1</v>
      </c>
      <c r="R20" s="1243"/>
      <c r="S20" s="1241" t="s">
        <v>581</v>
      </c>
      <c r="T20" s="1244"/>
      <c r="U20" s="1241"/>
      <c r="V20" s="1122"/>
      <c r="W20" s="1127"/>
      <c r="X20" s="1122"/>
      <c r="Y20" s="1022"/>
      <c r="Z20" s="1022"/>
      <c r="AA20" s="1022"/>
      <c r="AB20" s="828"/>
      <c r="AC20" s="170"/>
      <c r="AD20" s="48">
        <f t="shared" si="6"/>
        <v>1</v>
      </c>
      <c r="AE20" s="270">
        <f t="shared" si="7"/>
        <v>1</v>
      </c>
      <c r="AF20" s="25"/>
    </row>
    <row r="21" spans="1:34" ht="16.5" x14ac:dyDescent="0.25">
      <c r="A21" s="26">
        <v>12</v>
      </c>
      <c r="B21" s="5" t="s">
        <v>514</v>
      </c>
      <c r="C21" s="42" t="s">
        <v>123</v>
      </c>
      <c r="D21" s="1240"/>
      <c r="E21" s="1241"/>
      <c r="F21" s="1241" t="s">
        <v>581</v>
      </c>
      <c r="G21" s="1240"/>
      <c r="H21" s="1240"/>
      <c r="I21" s="1241"/>
      <c r="J21" s="1240"/>
      <c r="K21" s="1120"/>
      <c r="L21" s="1120"/>
      <c r="M21" s="1096"/>
      <c r="N21" s="504"/>
      <c r="O21" s="27"/>
      <c r="P21" s="48">
        <f t="shared" si="4"/>
        <v>1</v>
      </c>
      <c r="Q21" s="270">
        <f t="shared" si="5"/>
        <v>1</v>
      </c>
      <c r="R21" s="1243" t="s">
        <v>581</v>
      </c>
      <c r="S21" s="1241" t="s">
        <v>581</v>
      </c>
      <c r="T21" s="1244"/>
      <c r="U21" s="1241"/>
      <c r="V21" s="1122"/>
      <c r="W21" s="1127"/>
      <c r="X21" s="1122"/>
      <c r="Y21" s="1022"/>
      <c r="Z21" s="1022"/>
      <c r="AA21" s="1022"/>
      <c r="AB21" s="828"/>
      <c r="AC21" s="170"/>
      <c r="AD21" s="48">
        <f t="shared" si="6"/>
        <v>2</v>
      </c>
      <c r="AE21" s="270">
        <f t="shared" si="7"/>
        <v>2</v>
      </c>
      <c r="AF21" s="25"/>
    </row>
    <row r="22" spans="1:34" ht="16.5" x14ac:dyDescent="0.25">
      <c r="A22" s="26">
        <v>13</v>
      </c>
      <c r="B22" s="5" t="s">
        <v>515</v>
      </c>
      <c r="C22" s="42" t="s">
        <v>124</v>
      </c>
      <c r="D22" s="1240"/>
      <c r="E22" s="1241"/>
      <c r="F22" s="1241" t="s">
        <v>581</v>
      </c>
      <c r="G22" s="1240"/>
      <c r="H22" s="1240"/>
      <c r="I22" s="1241"/>
      <c r="J22" s="1240"/>
      <c r="K22" s="1120"/>
      <c r="L22" s="1120"/>
      <c r="M22" s="1096"/>
      <c r="N22" s="504"/>
      <c r="O22" s="27"/>
      <c r="P22" s="48">
        <f t="shared" si="4"/>
        <v>1</v>
      </c>
      <c r="Q22" s="270">
        <f t="shared" si="5"/>
        <v>1</v>
      </c>
      <c r="R22" s="1243"/>
      <c r="S22" s="1241" t="s">
        <v>581</v>
      </c>
      <c r="T22" s="1244"/>
      <c r="U22" s="1241"/>
      <c r="V22" s="1122"/>
      <c r="W22" s="1127"/>
      <c r="X22" s="1122"/>
      <c r="Y22" s="1022"/>
      <c r="Z22" s="1022"/>
      <c r="AA22" s="1022"/>
      <c r="AB22" s="828"/>
      <c r="AC22" s="170"/>
      <c r="AD22" s="48">
        <f t="shared" si="6"/>
        <v>1</v>
      </c>
      <c r="AE22" s="270">
        <f t="shared" si="7"/>
        <v>1</v>
      </c>
      <c r="AF22" s="25"/>
    </row>
    <row r="23" spans="1:34" ht="16.5" x14ac:dyDescent="0.25">
      <c r="A23" s="26">
        <v>14</v>
      </c>
      <c r="B23" s="5" t="s">
        <v>516</v>
      </c>
      <c r="C23" s="42" t="s">
        <v>125</v>
      </c>
      <c r="D23" s="1240"/>
      <c r="E23" s="1241"/>
      <c r="F23" s="1241" t="s">
        <v>581</v>
      </c>
      <c r="G23" s="1240"/>
      <c r="H23" s="1240"/>
      <c r="I23" s="1241"/>
      <c r="J23" s="1240"/>
      <c r="K23" s="1120"/>
      <c r="L23" s="1120"/>
      <c r="M23" s="1096"/>
      <c r="N23" s="504"/>
      <c r="O23" s="27"/>
      <c r="P23" s="48">
        <f t="shared" si="4"/>
        <v>1</v>
      </c>
      <c r="Q23" s="270">
        <f t="shared" si="5"/>
        <v>1</v>
      </c>
      <c r="R23" s="1243"/>
      <c r="S23" s="1241" t="s">
        <v>581</v>
      </c>
      <c r="T23" s="1244"/>
      <c r="U23" s="1241"/>
      <c r="V23" s="1122"/>
      <c r="W23" s="1127"/>
      <c r="X23" s="1122"/>
      <c r="Y23" s="1022"/>
      <c r="Z23" s="1022"/>
      <c r="AA23" s="1022"/>
      <c r="AB23" s="828"/>
      <c r="AC23" s="170"/>
      <c r="AD23" s="48">
        <f t="shared" si="6"/>
        <v>1</v>
      </c>
      <c r="AE23" s="270">
        <f t="shared" si="7"/>
        <v>1</v>
      </c>
      <c r="AF23" s="25"/>
    </row>
    <row r="24" spans="1:34" ht="16.5" x14ac:dyDescent="0.25">
      <c r="A24" s="26">
        <v>15</v>
      </c>
      <c r="B24" s="5" t="s">
        <v>517</v>
      </c>
      <c r="C24" s="42" t="s">
        <v>126</v>
      </c>
      <c r="D24" s="1240"/>
      <c r="E24" s="1241"/>
      <c r="F24" s="1241" t="s">
        <v>581</v>
      </c>
      <c r="G24" s="1240"/>
      <c r="H24" s="1240"/>
      <c r="I24" s="1241"/>
      <c r="J24" s="1240"/>
      <c r="K24" s="1120"/>
      <c r="L24" s="1120"/>
      <c r="M24" s="1096"/>
      <c r="N24" s="504"/>
      <c r="O24" s="27"/>
      <c r="P24" s="48">
        <f t="shared" si="4"/>
        <v>1</v>
      </c>
      <c r="Q24" s="270">
        <f t="shared" si="5"/>
        <v>1</v>
      </c>
      <c r="R24" s="1243" t="s">
        <v>581</v>
      </c>
      <c r="S24" s="1241" t="s">
        <v>581</v>
      </c>
      <c r="T24" s="1244"/>
      <c r="U24" s="1241"/>
      <c r="V24" s="1122"/>
      <c r="W24" s="1127"/>
      <c r="X24" s="1122"/>
      <c r="Y24" s="1022"/>
      <c r="Z24" s="1022"/>
      <c r="AA24" s="1022"/>
      <c r="AB24" s="828"/>
      <c r="AC24" s="170"/>
      <c r="AD24" s="48">
        <f t="shared" si="6"/>
        <v>2</v>
      </c>
      <c r="AE24" s="270">
        <f t="shared" si="7"/>
        <v>2</v>
      </c>
      <c r="AF24" s="25"/>
    </row>
    <row r="25" spans="1:34" ht="16.5" x14ac:dyDescent="0.25">
      <c r="A25" s="26">
        <v>16</v>
      </c>
      <c r="B25" s="186" t="s">
        <v>774</v>
      </c>
      <c r="C25" s="187" t="s">
        <v>775</v>
      </c>
      <c r="D25" s="1240"/>
      <c r="E25" s="1241"/>
      <c r="F25" s="1241" t="s">
        <v>581</v>
      </c>
      <c r="G25" s="1240"/>
      <c r="H25" s="1240"/>
      <c r="I25" s="1241"/>
      <c r="J25" s="1240" t="s">
        <v>581</v>
      </c>
      <c r="K25" s="1120"/>
      <c r="L25" s="1120"/>
      <c r="M25" s="1096"/>
      <c r="N25" s="504"/>
      <c r="O25" s="171"/>
      <c r="P25" s="48">
        <f t="shared" si="4"/>
        <v>2</v>
      </c>
      <c r="Q25" s="270">
        <f t="shared" si="5"/>
        <v>2</v>
      </c>
      <c r="R25" s="1243"/>
      <c r="S25" s="1241" t="s">
        <v>581</v>
      </c>
      <c r="T25" s="1244"/>
      <c r="U25" s="1241"/>
      <c r="V25" s="1122"/>
      <c r="W25" s="1127"/>
      <c r="X25" s="1122"/>
      <c r="Y25" s="1022"/>
      <c r="Z25" s="1023"/>
      <c r="AA25" s="1023"/>
      <c r="AB25" s="829"/>
      <c r="AC25" s="170"/>
      <c r="AD25" s="48">
        <f t="shared" si="6"/>
        <v>1</v>
      </c>
      <c r="AE25" s="270">
        <f t="shared" si="7"/>
        <v>1</v>
      </c>
      <c r="AF25" s="189"/>
    </row>
    <row r="26" spans="1:34" ht="16.5" x14ac:dyDescent="0.25">
      <c r="A26" s="26">
        <v>17</v>
      </c>
      <c r="B26" s="5" t="s">
        <v>518</v>
      </c>
      <c r="C26" s="42" t="s">
        <v>127</v>
      </c>
      <c r="D26" s="1240"/>
      <c r="E26" s="1241"/>
      <c r="F26" s="1241" t="s">
        <v>581</v>
      </c>
      <c r="G26" s="1240"/>
      <c r="H26" s="1240"/>
      <c r="I26" s="1241"/>
      <c r="J26" s="1240"/>
      <c r="K26" s="1120"/>
      <c r="L26" s="1120"/>
      <c r="M26" s="1096"/>
      <c r="N26" s="504"/>
      <c r="O26" s="27"/>
      <c r="P26" s="48">
        <f t="shared" si="4"/>
        <v>1</v>
      </c>
      <c r="Q26" s="270">
        <f t="shared" si="5"/>
        <v>1</v>
      </c>
      <c r="R26" s="1243"/>
      <c r="S26" s="1241" t="s">
        <v>581</v>
      </c>
      <c r="T26" s="1244"/>
      <c r="U26" s="1241"/>
      <c r="V26" s="1122"/>
      <c r="W26" s="1127"/>
      <c r="X26" s="1122"/>
      <c r="Y26" s="1022"/>
      <c r="Z26" s="1022"/>
      <c r="AA26" s="1022"/>
      <c r="AB26" s="828"/>
      <c r="AC26" s="170"/>
      <c r="AD26" s="48">
        <f t="shared" si="6"/>
        <v>1</v>
      </c>
      <c r="AE26" s="270">
        <f t="shared" si="7"/>
        <v>1</v>
      </c>
      <c r="AF26" s="25"/>
    </row>
    <row r="27" spans="1:34" ht="16.5" x14ac:dyDescent="0.25">
      <c r="A27" s="26">
        <v>18</v>
      </c>
      <c r="B27" s="5" t="s">
        <v>519</v>
      </c>
      <c r="C27" s="42" t="s">
        <v>128</v>
      </c>
      <c r="D27" s="1240"/>
      <c r="E27" s="1241"/>
      <c r="F27" s="1241" t="s">
        <v>581</v>
      </c>
      <c r="G27" s="1240"/>
      <c r="H27" s="1240"/>
      <c r="I27" s="1241"/>
      <c r="J27" s="1240"/>
      <c r="K27" s="1120"/>
      <c r="L27" s="1120"/>
      <c r="M27" s="1096"/>
      <c r="N27" s="504"/>
      <c r="O27" s="27"/>
      <c r="P27" s="48">
        <f t="shared" si="4"/>
        <v>1</v>
      </c>
      <c r="Q27" s="270">
        <f t="shared" si="5"/>
        <v>1</v>
      </c>
      <c r="R27" s="1243"/>
      <c r="S27" s="1241" t="s">
        <v>581</v>
      </c>
      <c r="T27" s="1244"/>
      <c r="U27" s="1241"/>
      <c r="V27" s="1122"/>
      <c r="W27" s="1127"/>
      <c r="X27" s="1122"/>
      <c r="Y27" s="1022"/>
      <c r="Z27" s="1022"/>
      <c r="AA27" s="1022"/>
      <c r="AB27" s="828"/>
      <c r="AC27" s="170"/>
      <c r="AD27" s="48">
        <f t="shared" si="6"/>
        <v>1</v>
      </c>
      <c r="AE27" s="270">
        <f t="shared" si="7"/>
        <v>1</v>
      </c>
      <c r="AF27" s="25"/>
    </row>
    <row r="28" spans="1:34" ht="16.5" x14ac:dyDescent="0.25">
      <c r="A28" s="26">
        <v>19</v>
      </c>
      <c r="B28" s="5" t="s">
        <v>520</v>
      </c>
      <c r="C28" s="42" t="s">
        <v>129</v>
      </c>
      <c r="D28" s="1240"/>
      <c r="E28" s="1241"/>
      <c r="F28" s="1241" t="s">
        <v>581</v>
      </c>
      <c r="G28" s="1240"/>
      <c r="H28" s="1240"/>
      <c r="I28" s="1241"/>
      <c r="J28" s="1240"/>
      <c r="K28" s="1120"/>
      <c r="L28" s="1120"/>
      <c r="M28" s="1096"/>
      <c r="N28" s="504"/>
      <c r="O28" s="27"/>
      <c r="P28" s="48">
        <f t="shared" si="4"/>
        <v>1</v>
      </c>
      <c r="Q28" s="270">
        <f t="shared" si="5"/>
        <v>1</v>
      </c>
      <c r="R28" s="1243"/>
      <c r="S28" s="1241" t="s">
        <v>581</v>
      </c>
      <c r="T28" s="1244"/>
      <c r="U28" s="1241"/>
      <c r="V28" s="1122"/>
      <c r="W28" s="1127"/>
      <c r="X28" s="1122"/>
      <c r="Y28" s="1022"/>
      <c r="Z28" s="1022"/>
      <c r="AA28" s="1022"/>
      <c r="AB28" s="828"/>
      <c r="AC28" s="201"/>
      <c r="AD28" s="48">
        <f t="shared" si="6"/>
        <v>1</v>
      </c>
      <c r="AE28" s="270">
        <f t="shared" si="7"/>
        <v>1</v>
      </c>
      <c r="AF28" s="25"/>
    </row>
    <row r="29" spans="1:34" ht="16.5" x14ac:dyDescent="0.25">
      <c r="A29" s="26">
        <v>20</v>
      </c>
      <c r="B29" s="5" t="s">
        <v>521</v>
      </c>
      <c r="C29" s="42" t="s">
        <v>130</v>
      </c>
      <c r="D29" s="1240"/>
      <c r="E29" s="1241"/>
      <c r="F29" s="1241" t="s">
        <v>581</v>
      </c>
      <c r="G29" s="1240"/>
      <c r="H29" s="1240"/>
      <c r="I29" s="1241"/>
      <c r="J29" s="1240"/>
      <c r="K29" s="1120"/>
      <c r="L29" s="1120"/>
      <c r="M29" s="1096"/>
      <c r="N29" s="504"/>
      <c r="O29" s="27"/>
      <c r="P29" s="48">
        <f t="shared" si="4"/>
        <v>1</v>
      </c>
      <c r="Q29" s="270">
        <f t="shared" si="5"/>
        <v>1</v>
      </c>
      <c r="R29" s="1243" t="s">
        <v>581</v>
      </c>
      <c r="S29" s="1241" t="s">
        <v>581</v>
      </c>
      <c r="T29" s="1244"/>
      <c r="U29" s="1241"/>
      <c r="V29" s="1122"/>
      <c r="W29" s="1127"/>
      <c r="X29" s="1122"/>
      <c r="Y29" s="1022"/>
      <c r="Z29" s="1022"/>
      <c r="AA29" s="1022"/>
      <c r="AB29" s="828"/>
      <c r="AC29" s="170"/>
      <c r="AD29" s="48">
        <f t="shared" si="6"/>
        <v>2</v>
      </c>
      <c r="AE29" s="270">
        <f t="shared" si="7"/>
        <v>2</v>
      </c>
      <c r="AF29" s="25"/>
    </row>
    <row r="30" spans="1:34" ht="16.5" x14ac:dyDescent="0.25">
      <c r="A30" s="26">
        <v>21</v>
      </c>
      <c r="B30" s="5" t="s">
        <v>522</v>
      </c>
      <c r="C30" s="42" t="s">
        <v>131</v>
      </c>
      <c r="D30" s="1240"/>
      <c r="E30" s="1241"/>
      <c r="F30" s="1241" t="s">
        <v>581</v>
      </c>
      <c r="G30" s="1240"/>
      <c r="H30" s="1240" t="s">
        <v>581</v>
      </c>
      <c r="I30" s="1241"/>
      <c r="J30" s="1240" t="s">
        <v>581</v>
      </c>
      <c r="K30" s="1120"/>
      <c r="L30" s="1120"/>
      <c r="M30" s="1096"/>
      <c r="N30" s="504"/>
      <c r="O30" s="171"/>
      <c r="P30" s="48">
        <f t="shared" si="4"/>
        <v>3</v>
      </c>
      <c r="Q30" s="270">
        <f t="shared" si="5"/>
        <v>3</v>
      </c>
      <c r="R30" s="1243" t="s">
        <v>581</v>
      </c>
      <c r="S30" s="1241" t="s">
        <v>581</v>
      </c>
      <c r="T30" s="1244"/>
      <c r="U30" s="1241" t="s">
        <v>581</v>
      </c>
      <c r="V30" s="1122"/>
      <c r="W30" s="1127"/>
      <c r="X30" s="1122"/>
      <c r="Y30" s="1022"/>
      <c r="Z30" s="1022"/>
      <c r="AA30" s="1022"/>
      <c r="AB30" s="828"/>
      <c r="AC30" s="201"/>
      <c r="AD30" s="48">
        <f t="shared" si="6"/>
        <v>3</v>
      </c>
      <c r="AE30" s="270">
        <f t="shared" si="7"/>
        <v>3</v>
      </c>
      <c r="AF30" s="25"/>
    </row>
    <row r="31" spans="1:34" ht="16.5" x14ac:dyDescent="0.25">
      <c r="A31" s="26">
        <v>22</v>
      </c>
      <c r="B31" s="5" t="s">
        <v>523</v>
      </c>
      <c r="C31" s="42" t="s">
        <v>132</v>
      </c>
      <c r="D31" s="1242"/>
      <c r="E31" s="1241"/>
      <c r="F31" s="1241" t="s">
        <v>581</v>
      </c>
      <c r="G31" s="1242"/>
      <c r="H31" s="1240"/>
      <c r="I31" s="1240"/>
      <c r="J31" s="1240"/>
      <c r="K31" s="1120"/>
      <c r="L31" s="1120"/>
      <c r="M31" s="1096"/>
      <c r="N31" s="504"/>
      <c r="O31" s="27"/>
      <c r="P31" s="48">
        <f t="shared" si="4"/>
        <v>1</v>
      </c>
      <c r="Q31" s="270">
        <f t="shared" si="5"/>
        <v>1</v>
      </c>
      <c r="R31" s="1243" t="s">
        <v>581</v>
      </c>
      <c r="S31" s="1241" t="s">
        <v>581</v>
      </c>
      <c r="T31" s="1244"/>
      <c r="U31" s="1241"/>
      <c r="V31" s="1122"/>
      <c r="W31" s="1127"/>
      <c r="X31" s="1122"/>
      <c r="Y31" s="1022"/>
      <c r="Z31" s="1022"/>
      <c r="AA31" s="1022"/>
      <c r="AB31" s="828"/>
      <c r="AC31" s="170"/>
      <c r="AD31" s="48">
        <f t="shared" si="6"/>
        <v>2</v>
      </c>
      <c r="AE31" s="270">
        <f t="shared" si="7"/>
        <v>2</v>
      </c>
      <c r="AF31" s="25"/>
    </row>
    <row r="32" spans="1:34" ht="16.5" x14ac:dyDescent="0.25">
      <c r="A32" s="26">
        <v>23</v>
      </c>
      <c r="B32" s="5" t="s">
        <v>524</v>
      </c>
      <c r="C32" s="42" t="s">
        <v>133</v>
      </c>
      <c r="D32" s="1242"/>
      <c r="E32" s="1241"/>
      <c r="F32" s="1241"/>
      <c r="G32" s="1242"/>
      <c r="H32" s="1240"/>
      <c r="I32" s="1240"/>
      <c r="J32" s="1240"/>
      <c r="K32" s="1120"/>
      <c r="L32" s="1120"/>
      <c r="M32" s="1096"/>
      <c r="N32" s="504"/>
      <c r="O32" s="27"/>
      <c r="P32" s="48">
        <f t="shared" si="4"/>
        <v>0</v>
      </c>
      <c r="Q32" s="270">
        <f t="shared" si="5"/>
        <v>0</v>
      </c>
      <c r="R32" s="1243"/>
      <c r="S32" s="1241" t="s">
        <v>581</v>
      </c>
      <c r="T32" s="1244"/>
      <c r="U32" s="1241"/>
      <c r="V32" s="1122"/>
      <c r="W32" s="1127"/>
      <c r="X32" s="1122"/>
      <c r="Y32" s="1022"/>
      <c r="Z32" s="1022"/>
      <c r="AA32" s="1022"/>
      <c r="AB32" s="828"/>
      <c r="AC32" s="170"/>
      <c r="AD32" s="48">
        <f t="shared" si="6"/>
        <v>1</v>
      </c>
      <c r="AE32" s="270">
        <f t="shared" si="7"/>
        <v>1</v>
      </c>
      <c r="AF32" s="25"/>
    </row>
    <row r="33" spans="1:32" ht="16.5" x14ac:dyDescent="0.25">
      <c r="A33" s="26">
        <v>24</v>
      </c>
      <c r="B33" s="5" t="s">
        <v>525</v>
      </c>
      <c r="C33" s="42" t="s">
        <v>134</v>
      </c>
      <c r="D33" s="1242"/>
      <c r="E33" s="1241"/>
      <c r="F33" s="1241" t="s">
        <v>581</v>
      </c>
      <c r="G33" s="1242"/>
      <c r="H33" s="1240"/>
      <c r="I33" s="1240"/>
      <c r="J33" s="1240"/>
      <c r="K33" s="1120"/>
      <c r="L33" s="1120"/>
      <c r="M33" s="1096"/>
      <c r="N33" s="504"/>
      <c r="O33" s="27"/>
      <c r="P33" s="48">
        <f t="shared" si="4"/>
        <v>1</v>
      </c>
      <c r="Q33" s="270">
        <f t="shared" si="5"/>
        <v>1</v>
      </c>
      <c r="R33" s="1243"/>
      <c r="S33" s="1241" t="s">
        <v>581</v>
      </c>
      <c r="T33" s="1244"/>
      <c r="U33" s="1241"/>
      <c r="V33" s="1122"/>
      <c r="W33" s="1127"/>
      <c r="X33" s="1122"/>
      <c r="Y33" s="1022"/>
      <c r="Z33" s="1022"/>
      <c r="AA33" s="1022"/>
      <c r="AB33" s="828"/>
      <c r="AC33" s="170"/>
      <c r="AD33" s="48">
        <f t="shared" si="6"/>
        <v>1</v>
      </c>
      <c r="AE33" s="270">
        <f t="shared" si="7"/>
        <v>1</v>
      </c>
      <c r="AF33" s="25"/>
    </row>
    <row r="34" spans="1:32" ht="16.5" x14ac:dyDescent="0.25">
      <c r="A34" s="26">
        <v>25</v>
      </c>
      <c r="B34" s="5" t="s">
        <v>526</v>
      </c>
      <c r="C34" s="42" t="s">
        <v>135</v>
      </c>
      <c r="D34" s="1242"/>
      <c r="E34" s="1241"/>
      <c r="F34" s="1241" t="s">
        <v>581</v>
      </c>
      <c r="G34" s="1242"/>
      <c r="H34" s="1240"/>
      <c r="I34" s="1240"/>
      <c r="J34" s="1240"/>
      <c r="K34" s="1120"/>
      <c r="L34" s="1120"/>
      <c r="M34" s="1096"/>
      <c r="N34" s="504"/>
      <c r="O34" s="27"/>
      <c r="P34" s="48">
        <f t="shared" si="4"/>
        <v>1</v>
      </c>
      <c r="Q34" s="270">
        <f t="shared" si="5"/>
        <v>1</v>
      </c>
      <c r="R34" s="1243"/>
      <c r="S34" s="1241" t="s">
        <v>581</v>
      </c>
      <c r="T34" s="1244"/>
      <c r="U34" s="1241"/>
      <c r="V34" s="1122"/>
      <c r="W34" s="1127"/>
      <c r="X34" s="1122"/>
      <c r="Y34" s="1022"/>
      <c r="Z34" s="1022"/>
      <c r="AA34" s="1022"/>
      <c r="AB34" s="828"/>
      <c r="AC34" s="170"/>
      <c r="AD34" s="48">
        <f t="shared" si="6"/>
        <v>1</v>
      </c>
      <c r="AE34" s="270">
        <f t="shared" si="7"/>
        <v>1</v>
      </c>
      <c r="AF34" s="25"/>
    </row>
    <row r="35" spans="1:32" ht="16.5" x14ac:dyDescent="0.25">
      <c r="A35" s="26">
        <v>26</v>
      </c>
      <c r="B35" s="581" t="s">
        <v>854</v>
      </c>
      <c r="C35" s="585" t="s">
        <v>859</v>
      </c>
      <c r="D35" s="1242"/>
      <c r="E35" s="1241"/>
      <c r="F35" s="1241" t="s">
        <v>581</v>
      </c>
      <c r="G35" s="1242"/>
      <c r="H35" s="1240"/>
      <c r="I35" s="1240"/>
      <c r="J35" s="1240"/>
      <c r="K35" s="1120"/>
      <c r="L35" s="1120"/>
      <c r="M35" s="1096"/>
      <c r="N35" s="504"/>
      <c r="O35" s="27"/>
      <c r="P35" s="48">
        <f>SUM(COUNTIF(D35:O35,"x"),COUNTIF(D35:O35,"A"))</f>
        <v>1</v>
      </c>
      <c r="Q35" s="270">
        <f>SUM(COUNTIF(D35:O35,"x"),COUNTIF(D35:O35,"b"))</f>
        <v>1</v>
      </c>
      <c r="R35" s="1243"/>
      <c r="S35" s="1241" t="s">
        <v>581</v>
      </c>
      <c r="T35" s="1244"/>
      <c r="U35" s="1241"/>
      <c r="V35" s="1122"/>
      <c r="W35" s="1127"/>
      <c r="X35" s="1122"/>
      <c r="Y35" s="1022"/>
      <c r="Z35" s="1022"/>
      <c r="AA35" s="1022"/>
      <c r="AB35" s="828"/>
      <c r="AC35" s="170"/>
      <c r="AD35" s="48">
        <f>SUM(COUNTIF(R35:AC35,"x"),COUNTIF(R35:AC35,"A"))</f>
        <v>1</v>
      </c>
      <c r="AE35" s="270">
        <f>SUM(COUNTIF(R35:AC35,"x"),COUNTIF(R35:AC35,"b"))</f>
        <v>1</v>
      </c>
      <c r="AF35" s="25"/>
    </row>
    <row r="36" spans="1:32" ht="16.5" x14ac:dyDescent="0.25">
      <c r="A36" s="26">
        <v>27</v>
      </c>
      <c r="B36" s="5" t="s">
        <v>527</v>
      </c>
      <c r="C36" s="42" t="s">
        <v>136</v>
      </c>
      <c r="D36" s="1242"/>
      <c r="E36" s="1241"/>
      <c r="F36" s="1241" t="s">
        <v>581</v>
      </c>
      <c r="G36" s="1242"/>
      <c r="H36" s="1240"/>
      <c r="I36" s="1240"/>
      <c r="J36" s="1240"/>
      <c r="K36" s="1120"/>
      <c r="L36" s="1120"/>
      <c r="M36" s="1096"/>
      <c r="N36" s="504"/>
      <c r="O36" s="27"/>
      <c r="P36" s="48">
        <f t="shared" si="4"/>
        <v>1</v>
      </c>
      <c r="Q36" s="270">
        <f t="shared" si="5"/>
        <v>1</v>
      </c>
      <c r="R36" s="1243"/>
      <c r="S36" s="1241" t="s">
        <v>581</v>
      </c>
      <c r="T36" s="1244"/>
      <c r="U36" s="1241"/>
      <c r="V36" s="1122"/>
      <c r="W36" s="1127"/>
      <c r="X36" s="1122"/>
      <c r="Y36" s="1022"/>
      <c r="Z36" s="1022"/>
      <c r="AA36" s="1022"/>
      <c r="AB36" s="828"/>
      <c r="AC36" s="170"/>
      <c r="AD36" s="48">
        <f t="shared" si="6"/>
        <v>1</v>
      </c>
      <c r="AE36" s="270">
        <f t="shared" si="7"/>
        <v>1</v>
      </c>
      <c r="AF36" s="25"/>
    </row>
    <row r="37" spans="1:32" ht="16.5" x14ac:dyDescent="0.25">
      <c r="A37" s="26">
        <v>28</v>
      </c>
      <c r="B37" s="5" t="s">
        <v>528</v>
      </c>
      <c r="C37" s="42" t="s">
        <v>137</v>
      </c>
      <c r="D37" s="1242"/>
      <c r="E37" s="1241"/>
      <c r="F37" s="1241" t="s">
        <v>581</v>
      </c>
      <c r="G37" s="1242"/>
      <c r="H37" s="1240" t="s">
        <v>581</v>
      </c>
      <c r="I37" s="1240"/>
      <c r="J37" s="1240"/>
      <c r="K37" s="1120"/>
      <c r="L37" s="1120"/>
      <c r="M37" s="1096"/>
      <c r="N37" s="504"/>
      <c r="O37" s="27"/>
      <c r="P37" s="48">
        <f t="shared" si="4"/>
        <v>2</v>
      </c>
      <c r="Q37" s="270">
        <f t="shared" si="5"/>
        <v>2</v>
      </c>
      <c r="R37" s="1243" t="s">
        <v>581</v>
      </c>
      <c r="S37" s="1241" t="s">
        <v>581</v>
      </c>
      <c r="T37" s="1244"/>
      <c r="U37" s="1241"/>
      <c r="V37" s="1122"/>
      <c r="W37" s="1127"/>
      <c r="X37" s="1122"/>
      <c r="Y37" s="1022"/>
      <c r="Z37" s="1022"/>
      <c r="AA37" s="1022"/>
      <c r="AB37" s="828"/>
      <c r="AC37" s="201"/>
      <c r="AD37" s="48">
        <f t="shared" si="6"/>
        <v>2</v>
      </c>
      <c r="AE37" s="270">
        <f t="shared" si="7"/>
        <v>2</v>
      </c>
      <c r="AF37" s="25"/>
    </row>
    <row r="38" spans="1:32" ht="16.5" x14ac:dyDescent="0.25">
      <c r="A38" s="26">
        <v>29</v>
      </c>
      <c r="B38" s="5" t="s">
        <v>529</v>
      </c>
      <c r="C38" s="42" t="s">
        <v>138</v>
      </c>
      <c r="D38" s="1242"/>
      <c r="E38" s="1241"/>
      <c r="F38" s="1241" t="s">
        <v>581</v>
      </c>
      <c r="G38" s="1242" t="s">
        <v>581</v>
      </c>
      <c r="H38" s="1240"/>
      <c r="I38" s="1240"/>
      <c r="J38" s="1240"/>
      <c r="K38" s="1120"/>
      <c r="L38" s="1120"/>
      <c r="M38" s="1096"/>
      <c r="N38" s="504"/>
      <c r="O38" s="27"/>
      <c r="P38" s="48">
        <f t="shared" si="4"/>
        <v>2</v>
      </c>
      <c r="Q38" s="270">
        <f t="shared" si="5"/>
        <v>2</v>
      </c>
      <c r="R38" s="1243"/>
      <c r="S38" s="1241" t="s">
        <v>581</v>
      </c>
      <c r="T38" s="1244"/>
      <c r="U38" s="1241"/>
      <c r="V38" s="1121"/>
      <c r="W38" s="1127"/>
      <c r="X38" s="1122"/>
      <c r="Y38" s="1022"/>
      <c r="Z38" s="1022"/>
      <c r="AA38" s="1022"/>
      <c r="AB38" s="828"/>
      <c r="AC38" s="201"/>
      <c r="AD38" s="48">
        <f t="shared" si="6"/>
        <v>1</v>
      </c>
      <c r="AE38" s="270">
        <f t="shared" si="7"/>
        <v>1</v>
      </c>
      <c r="AF38" s="25"/>
    </row>
    <row r="39" spans="1:32" ht="16.5" x14ac:dyDescent="0.25">
      <c r="A39" s="26">
        <v>30</v>
      </c>
      <c r="B39" s="5" t="s">
        <v>530</v>
      </c>
      <c r="C39" s="42" t="s">
        <v>139</v>
      </c>
      <c r="D39" s="1242"/>
      <c r="E39" s="1241"/>
      <c r="F39" s="1241" t="s">
        <v>581</v>
      </c>
      <c r="G39" s="1242"/>
      <c r="H39" s="1240"/>
      <c r="I39" s="1240"/>
      <c r="J39" s="1240"/>
      <c r="K39" s="1120"/>
      <c r="L39" s="1120"/>
      <c r="M39" s="1096"/>
      <c r="N39" s="504"/>
      <c r="O39" s="27"/>
      <c r="P39" s="48">
        <f t="shared" si="4"/>
        <v>1</v>
      </c>
      <c r="Q39" s="270">
        <f t="shared" si="5"/>
        <v>1</v>
      </c>
      <c r="R39" s="1243"/>
      <c r="S39" s="1241" t="s">
        <v>581</v>
      </c>
      <c r="T39" s="1244"/>
      <c r="U39" s="1241"/>
      <c r="V39" s="1122"/>
      <c r="W39" s="1127"/>
      <c r="X39" s="1122"/>
      <c r="Y39" s="1022"/>
      <c r="Z39" s="1022"/>
      <c r="AA39" s="1022"/>
      <c r="AB39" s="828"/>
      <c r="AC39" s="201"/>
      <c r="AD39" s="48">
        <f t="shared" si="6"/>
        <v>1</v>
      </c>
      <c r="AE39" s="270">
        <f t="shared" si="7"/>
        <v>1</v>
      </c>
      <c r="AF39" s="25"/>
    </row>
    <row r="40" spans="1:32" ht="15.75" x14ac:dyDescent="0.25">
      <c r="A40" s="164"/>
      <c r="B40" s="164"/>
      <c r="C40" s="164"/>
      <c r="D40" s="164">
        <f t="shared" ref="D40:O40" si="8">COUNTIF(D10:D39,"X")</f>
        <v>2</v>
      </c>
      <c r="E40" s="164">
        <f t="shared" si="8"/>
        <v>2</v>
      </c>
      <c r="F40" s="164">
        <f t="shared" si="8"/>
        <v>27</v>
      </c>
      <c r="G40" s="164">
        <f t="shared" si="8"/>
        <v>2</v>
      </c>
      <c r="H40" s="164">
        <f t="shared" si="8"/>
        <v>8</v>
      </c>
      <c r="I40" s="164">
        <f t="shared" si="8"/>
        <v>1</v>
      </c>
      <c r="J40" s="164">
        <f t="shared" si="8"/>
        <v>3</v>
      </c>
      <c r="K40" s="164">
        <f t="shared" si="8"/>
        <v>0</v>
      </c>
      <c r="L40" s="164">
        <f t="shared" si="8"/>
        <v>0</v>
      </c>
      <c r="M40" s="164">
        <f t="shared" si="8"/>
        <v>0</v>
      </c>
      <c r="N40" s="164">
        <f t="shared" si="8"/>
        <v>0</v>
      </c>
      <c r="O40" s="164">
        <f t="shared" si="8"/>
        <v>0</v>
      </c>
      <c r="P40" s="164"/>
      <c r="Q40" s="164"/>
      <c r="R40" s="164">
        <f t="shared" ref="R40:AC40" si="9">COUNTIF(R10:R39,"X")</f>
        <v>12</v>
      </c>
      <c r="S40" s="164">
        <f t="shared" si="9"/>
        <v>30</v>
      </c>
      <c r="T40" s="164">
        <f t="shared" si="9"/>
        <v>2</v>
      </c>
      <c r="U40" s="164">
        <f t="shared" si="9"/>
        <v>5</v>
      </c>
      <c r="V40" s="164">
        <f t="shared" si="9"/>
        <v>0</v>
      </c>
      <c r="W40" s="164">
        <f t="shared" si="9"/>
        <v>0</v>
      </c>
      <c r="X40" s="164">
        <f t="shared" si="9"/>
        <v>0</v>
      </c>
      <c r="Y40" s="164">
        <f t="shared" si="9"/>
        <v>0</v>
      </c>
      <c r="Z40" s="164">
        <f t="shared" si="9"/>
        <v>0</v>
      </c>
      <c r="AA40" s="164">
        <f t="shared" si="9"/>
        <v>0</v>
      </c>
      <c r="AB40" s="164">
        <f t="shared" si="9"/>
        <v>0</v>
      </c>
      <c r="AC40" s="164">
        <f t="shared" si="9"/>
        <v>0</v>
      </c>
      <c r="AD40" s="164"/>
      <c r="AE40" s="164"/>
      <c r="AF40" s="164"/>
    </row>
    <row r="41" spans="1:32" ht="15.75" customHeight="1" x14ac:dyDescent="0.25">
      <c r="A41" s="1425" t="s">
        <v>578</v>
      </c>
      <c r="B41" s="1425"/>
      <c r="C41" s="1425"/>
      <c r="D41" s="1425"/>
      <c r="E41" s="1425"/>
      <c r="F41" s="1425"/>
      <c r="G41" s="1425"/>
      <c r="H41" s="1425"/>
      <c r="I41" s="1425"/>
      <c r="J41" s="1425"/>
      <c r="K41" s="1425"/>
      <c r="L41" s="1425"/>
      <c r="M41" s="1425"/>
      <c r="N41" s="1425"/>
      <c r="O41" s="1425"/>
      <c r="P41" s="1425"/>
      <c r="Q41" s="1425"/>
      <c r="R41" s="1425"/>
      <c r="S41" s="1425"/>
      <c r="T41" s="1425"/>
      <c r="U41" s="1425"/>
      <c r="V41" s="1425"/>
      <c r="W41" s="1425"/>
      <c r="X41" s="1425"/>
      <c r="Y41" s="1425"/>
      <c r="Z41" s="1425"/>
      <c r="AA41" s="1425"/>
      <c r="AB41" s="1425"/>
      <c r="AC41" s="1425"/>
      <c r="AD41" s="1425"/>
      <c r="AE41" s="1425"/>
      <c r="AF41" s="1425"/>
    </row>
    <row r="42" spans="1:32" ht="17.25" x14ac:dyDescent="0.3">
      <c r="A42" s="33"/>
      <c r="B42" s="33"/>
      <c r="C42" s="33"/>
      <c r="D42" s="211"/>
      <c r="E42" s="211"/>
      <c r="F42" s="211"/>
      <c r="G42" s="211"/>
      <c r="H42" s="211"/>
      <c r="I42" s="211"/>
      <c r="J42" s="211"/>
      <c r="K42" s="211"/>
      <c r="L42" s="211"/>
      <c r="M42" s="206"/>
      <c r="N42" s="35"/>
      <c r="O42" s="35"/>
      <c r="P42" s="35"/>
      <c r="Q42" s="35"/>
      <c r="R42" s="208"/>
      <c r="S42" s="113"/>
      <c r="T42" s="113" t="str">
        <f>'P.KH-TC'!P22</f>
        <v>TP. HCM, ngày 2 tháng 11 năm 2023</v>
      </c>
      <c r="U42" s="113"/>
      <c r="V42" s="113"/>
      <c r="W42" s="113"/>
      <c r="X42" s="113"/>
      <c r="Y42" s="113"/>
      <c r="Z42" s="113"/>
      <c r="AA42" s="113"/>
      <c r="AB42" s="113"/>
      <c r="AC42" s="113"/>
      <c r="AD42" s="113"/>
      <c r="AE42" s="113"/>
      <c r="AF42" s="113"/>
    </row>
    <row r="43" spans="1:32" ht="17.25" x14ac:dyDescent="0.3">
      <c r="A43" s="33"/>
      <c r="B43" s="33"/>
      <c r="C43" s="33"/>
      <c r="D43" s="211"/>
      <c r="E43" s="211"/>
      <c r="F43" s="211"/>
      <c r="G43" s="211"/>
      <c r="H43" s="211"/>
      <c r="I43" s="211"/>
      <c r="J43" s="211"/>
      <c r="K43" s="211"/>
      <c r="L43" s="211"/>
      <c r="S43" s="165"/>
      <c r="T43" s="1422" t="s">
        <v>579</v>
      </c>
      <c r="U43" s="1422"/>
      <c r="V43" s="1422"/>
      <c r="W43" s="1422"/>
      <c r="X43" s="1422"/>
      <c r="Y43" s="1422"/>
      <c r="Z43" s="1422"/>
      <c r="AA43" s="1422"/>
      <c r="AB43" s="1422"/>
      <c r="AC43" s="165"/>
      <c r="AD43" s="165"/>
      <c r="AE43" s="165"/>
      <c r="AF43" s="165"/>
    </row>
    <row r="44" spans="1:32" ht="18.75" x14ac:dyDescent="0.3">
      <c r="B44" s="344" t="s">
        <v>805</v>
      </c>
      <c r="C44" s="342" t="s">
        <v>802</v>
      </c>
    </row>
    <row r="45" spans="1:32" ht="18.75" x14ac:dyDescent="0.3">
      <c r="B45" s="343" t="s">
        <v>803</v>
      </c>
      <c r="C45" s="343" t="s">
        <v>804</v>
      </c>
    </row>
  </sheetData>
  <autoFilter ref="A8:AF43"/>
  <mergeCells count="12">
    <mergeCell ref="A1:C1"/>
    <mergeCell ref="A2:C2"/>
    <mergeCell ref="A3:C3"/>
    <mergeCell ref="D1:AF1"/>
    <mergeCell ref="D2:AF2"/>
    <mergeCell ref="A5:AF5"/>
    <mergeCell ref="T43:AB43"/>
    <mergeCell ref="D7:O7"/>
    <mergeCell ref="R7:AC7"/>
    <mergeCell ref="A41:AF41"/>
    <mergeCell ref="A7:A8"/>
    <mergeCell ref="B7:C7"/>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X27"/>
  <sheetViews>
    <sheetView showZeros="0" topLeftCell="A4" workbookViewId="0">
      <selection activeCell="N10" sqref="N10:O18"/>
    </sheetView>
  </sheetViews>
  <sheetFormatPr defaultRowHeight="15" x14ac:dyDescent="0.25"/>
  <cols>
    <col min="1" max="1" width="5.28515625" style="356" customWidth="1"/>
    <col min="2" max="2" width="30.42578125" style="356" customWidth="1"/>
    <col min="3" max="3" width="11.7109375" style="356" customWidth="1"/>
    <col min="4" max="23" width="6.7109375" style="388" customWidth="1"/>
    <col min="24" max="24" width="18.140625" style="388" customWidth="1"/>
    <col min="25" max="16384" width="9.140625" style="356"/>
  </cols>
  <sheetData>
    <row r="1" spans="1:24" ht="15.75" x14ac:dyDescent="0.25">
      <c r="A1" s="1400" t="s">
        <v>559</v>
      </c>
      <c r="B1" s="1400"/>
      <c r="C1" s="1400"/>
      <c r="D1" s="16"/>
      <c r="E1" s="16"/>
      <c r="F1" s="16"/>
      <c r="G1" s="16"/>
      <c r="H1" s="16"/>
      <c r="I1" s="16"/>
      <c r="J1" s="17"/>
      <c r="K1" s="17"/>
      <c r="L1" s="17"/>
      <c r="M1" s="17"/>
      <c r="N1" s="1401" t="s">
        <v>560</v>
      </c>
      <c r="O1" s="1401"/>
      <c r="P1" s="1401"/>
      <c r="Q1" s="1401"/>
      <c r="R1" s="1401"/>
      <c r="S1" s="1401"/>
      <c r="T1" s="1402"/>
      <c r="U1" s="1402"/>
      <c r="V1" s="1402"/>
      <c r="W1" s="1402"/>
      <c r="X1" s="1402"/>
    </row>
    <row r="2" spans="1:24" ht="15.75" x14ac:dyDescent="0.25">
      <c r="A2" s="1400" t="s">
        <v>561</v>
      </c>
      <c r="B2" s="1400"/>
      <c r="C2" s="1400"/>
      <c r="D2" s="16"/>
      <c r="E2" s="16"/>
      <c r="F2" s="16"/>
      <c r="G2" s="16"/>
      <c r="H2" s="16"/>
      <c r="I2" s="16"/>
      <c r="J2" s="17"/>
      <c r="K2" s="17"/>
      <c r="L2" s="17"/>
      <c r="M2" s="17"/>
      <c r="N2" s="1401" t="s">
        <v>562</v>
      </c>
      <c r="O2" s="1401"/>
      <c r="P2" s="1401"/>
      <c r="Q2" s="1401"/>
      <c r="R2" s="1401"/>
      <c r="S2" s="1401"/>
      <c r="T2" s="1401"/>
      <c r="U2" s="1401"/>
      <c r="V2" s="1401"/>
      <c r="W2" s="1401"/>
      <c r="X2" s="1401"/>
    </row>
    <row r="3" spans="1:24" ht="15.75" x14ac:dyDescent="0.25">
      <c r="A3" s="1401" t="s">
        <v>531</v>
      </c>
      <c r="B3" s="1401"/>
      <c r="C3" s="1401"/>
      <c r="D3" s="16"/>
      <c r="E3" s="16"/>
      <c r="F3" s="16"/>
      <c r="G3" s="16"/>
      <c r="H3" s="16"/>
      <c r="I3" s="16"/>
      <c r="J3" s="17"/>
      <c r="K3" s="17"/>
      <c r="L3" s="17"/>
      <c r="M3" s="17"/>
      <c r="N3" s="17"/>
      <c r="O3" s="17"/>
      <c r="P3" s="17"/>
      <c r="Q3" s="17"/>
      <c r="R3" s="17"/>
      <c r="S3" s="17"/>
      <c r="T3" s="17"/>
      <c r="U3" s="17"/>
      <c r="V3" s="17"/>
      <c r="W3" s="17"/>
      <c r="X3" s="17"/>
    </row>
    <row r="4" spans="1:24" ht="15.75" x14ac:dyDescent="0.25">
      <c r="A4" s="18"/>
      <c r="B4" s="18"/>
      <c r="C4" s="18"/>
      <c r="D4" s="16"/>
      <c r="E4" s="16"/>
      <c r="F4" s="16"/>
      <c r="G4" s="16"/>
      <c r="H4" s="16"/>
      <c r="I4" s="16"/>
      <c r="J4" s="17"/>
      <c r="K4" s="17"/>
      <c r="L4" s="17"/>
      <c r="M4" s="17"/>
      <c r="N4" s="17"/>
      <c r="O4" s="17"/>
      <c r="P4" s="17"/>
      <c r="Q4" s="17"/>
      <c r="R4" s="17"/>
      <c r="S4" s="17"/>
      <c r="T4" s="17"/>
      <c r="U4" s="17"/>
      <c r="V4" s="17"/>
      <c r="W4" s="17"/>
      <c r="X4" s="19" t="s">
        <v>563</v>
      </c>
    </row>
    <row r="5" spans="1:24" ht="20.25" x14ac:dyDescent="0.25">
      <c r="A5" s="1390" t="str">
        <f>'K.Đ-ĐTỬ'!A5:AF5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row>
    <row r="7" spans="1:24" s="493" customFormat="1" ht="16.5" customHeight="1" x14ac:dyDescent="0.25">
      <c r="A7" s="1396" t="s">
        <v>0</v>
      </c>
      <c r="B7" s="1409" t="s">
        <v>564</v>
      </c>
      <c r="C7" s="1409"/>
      <c r="D7" s="1391" t="s">
        <v>110</v>
      </c>
      <c r="E7" s="1392"/>
      <c r="F7" s="1392"/>
      <c r="G7" s="1392"/>
      <c r="H7" s="1392"/>
      <c r="I7" s="1392"/>
      <c r="J7" s="1392"/>
      <c r="K7" s="1392"/>
      <c r="L7" s="1392"/>
      <c r="M7" s="358"/>
      <c r="N7" s="1391" t="s">
        <v>565</v>
      </c>
      <c r="O7" s="1392"/>
      <c r="P7" s="1392"/>
      <c r="Q7" s="1392"/>
      <c r="R7" s="1392"/>
      <c r="S7" s="1392"/>
      <c r="T7" s="1392"/>
      <c r="U7" s="1392"/>
      <c r="V7" s="1393"/>
      <c r="W7" s="359"/>
      <c r="X7" s="360" t="s">
        <v>4</v>
      </c>
    </row>
    <row r="8" spans="1:24" s="493" customFormat="1" ht="24" x14ac:dyDescent="0.25">
      <c r="A8" s="1397"/>
      <c r="B8" s="372" t="s">
        <v>461</v>
      </c>
      <c r="C8" s="494" t="s">
        <v>566</v>
      </c>
      <c r="D8" s="212" t="s">
        <v>567</v>
      </c>
      <c r="E8" s="212" t="s">
        <v>568</v>
      </c>
      <c r="F8" s="212" t="s">
        <v>569</v>
      </c>
      <c r="G8" s="212" t="s">
        <v>570</v>
      </c>
      <c r="H8" s="212" t="s">
        <v>571</v>
      </c>
      <c r="I8" s="212" t="s">
        <v>572</v>
      </c>
      <c r="J8" s="212" t="s">
        <v>573</v>
      </c>
      <c r="K8" s="212" t="s">
        <v>703</v>
      </c>
      <c r="L8" s="134" t="s">
        <v>588</v>
      </c>
      <c r="M8" s="361" t="s">
        <v>795</v>
      </c>
      <c r="N8" s="132" t="s">
        <v>567</v>
      </c>
      <c r="O8" s="132" t="s">
        <v>568</v>
      </c>
      <c r="P8" s="132" t="s">
        <v>569</v>
      </c>
      <c r="Q8" s="132" t="s">
        <v>570</v>
      </c>
      <c r="R8" s="132" t="s">
        <v>571</v>
      </c>
      <c r="S8" s="132" t="s">
        <v>572</v>
      </c>
      <c r="T8" s="132" t="s">
        <v>573</v>
      </c>
      <c r="U8" s="132" t="s">
        <v>703</v>
      </c>
      <c r="V8" s="134" t="s">
        <v>588</v>
      </c>
      <c r="W8" s="361" t="s">
        <v>795</v>
      </c>
      <c r="X8" s="360"/>
    </row>
    <row r="9" spans="1:24" ht="15.75" x14ac:dyDescent="0.25">
      <c r="A9" s="362" t="s">
        <v>574</v>
      </c>
      <c r="B9" s="352"/>
      <c r="C9" s="273">
        <v>-1</v>
      </c>
      <c r="D9" s="273">
        <v>-2</v>
      </c>
      <c r="E9" s="273">
        <v>-3</v>
      </c>
      <c r="F9" s="273">
        <v>-4</v>
      </c>
      <c r="G9" s="273">
        <v>-5</v>
      </c>
      <c r="H9" s="273">
        <v>-6</v>
      </c>
      <c r="I9" s="273">
        <v>-7</v>
      </c>
      <c r="J9" s="273">
        <v>-8</v>
      </c>
      <c r="K9" s="273">
        <v>-9</v>
      </c>
      <c r="L9" s="273">
        <v>-10</v>
      </c>
      <c r="M9" s="274">
        <v>-11</v>
      </c>
      <c r="N9" s="273">
        <v>-12</v>
      </c>
      <c r="O9" s="273">
        <v>-13</v>
      </c>
      <c r="P9" s="273">
        <v>-14</v>
      </c>
      <c r="Q9" s="273">
        <v>-15</v>
      </c>
      <c r="R9" s="273">
        <v>-16</v>
      </c>
      <c r="S9" s="273">
        <v>-17</v>
      </c>
      <c r="T9" s="273">
        <v>-18</v>
      </c>
      <c r="U9" s="273">
        <v>-19</v>
      </c>
      <c r="V9" s="273">
        <v>-20</v>
      </c>
      <c r="W9" s="274">
        <v>-21</v>
      </c>
      <c r="X9" s="273">
        <v>-22</v>
      </c>
    </row>
    <row r="10" spans="1:24" ht="16.5" x14ac:dyDescent="0.25">
      <c r="A10" s="408">
        <v>1</v>
      </c>
      <c r="B10" s="364" t="s">
        <v>405</v>
      </c>
      <c r="C10" s="400" t="s">
        <v>674</v>
      </c>
      <c r="D10" s="1240" t="s">
        <v>581</v>
      </c>
      <c r="E10" s="1240"/>
      <c r="F10" s="1240"/>
      <c r="G10" s="959"/>
      <c r="H10" s="29"/>
      <c r="I10" s="371"/>
      <c r="J10" s="202"/>
      <c r="K10" s="371"/>
      <c r="L10" s="455">
        <f>SUM(COUNTIF(D10:K10,"X"),COUNTIF(D10:K10,"A"))</f>
        <v>1</v>
      </c>
      <c r="M10" s="456">
        <f>SUM(COUNTIF(D10:K10,"X"),COUNTIF(D10:K10,"B"))</f>
        <v>1</v>
      </c>
      <c r="N10" s="1248" t="s">
        <v>581</v>
      </c>
      <c r="O10" s="1243"/>
      <c r="P10" s="1082"/>
      <c r="Q10" s="1082"/>
      <c r="R10" s="830"/>
      <c r="S10" s="830"/>
      <c r="T10" s="830"/>
      <c r="U10" s="203"/>
      <c r="V10" s="455">
        <f>SUM(COUNTIF(N10:U10,"X"),COUNTIF(N10:U10,"A"))</f>
        <v>1</v>
      </c>
      <c r="W10" s="456">
        <f>SUM(COUNTIF(N10:U10,"X"),COUNTIF(N10:U10,"B"))</f>
        <v>1</v>
      </c>
      <c r="X10" s="495"/>
    </row>
    <row r="11" spans="1:24" ht="16.5" x14ac:dyDescent="0.25">
      <c r="A11" s="408">
        <v>2</v>
      </c>
      <c r="B11" s="364" t="s">
        <v>399</v>
      </c>
      <c r="C11" s="400" t="s">
        <v>668</v>
      </c>
      <c r="D11" s="1246"/>
      <c r="E11" s="1247"/>
      <c r="F11" s="1243" t="s">
        <v>581</v>
      </c>
      <c r="G11" s="707"/>
      <c r="H11" s="29"/>
      <c r="I11" s="370"/>
      <c r="J11" s="370"/>
      <c r="K11" s="370"/>
      <c r="L11" s="455">
        <f t="shared" ref="L11:L21" si="0">SUM(COUNTIF(D11:K11,"X"),COUNTIF(D11:K11,"A"))</f>
        <v>1</v>
      </c>
      <c r="M11" s="456">
        <f t="shared" ref="M11:M21" si="1">SUM(COUNTIF(D11:K11,"X"),COUNTIF(D11:K11,"B"))</f>
        <v>1</v>
      </c>
      <c r="N11" s="1248"/>
      <c r="O11" s="1243"/>
      <c r="P11" s="1082"/>
      <c r="Q11" s="1082"/>
      <c r="R11" s="1022"/>
      <c r="S11" s="1022"/>
      <c r="T11" s="828"/>
      <c r="U11" s="828"/>
      <c r="V11" s="455">
        <f t="shared" ref="V11:V21" si="2">SUM(COUNTIF(N11:U11,"X"),COUNTIF(N11:U11,"A"))</f>
        <v>0</v>
      </c>
      <c r="W11" s="456">
        <f t="shared" ref="W11:W21" si="3">SUM(COUNTIF(N11:U11,"X"),COUNTIF(N11:U11,"B"))</f>
        <v>0</v>
      </c>
      <c r="X11" s="369"/>
    </row>
    <row r="12" spans="1:24" ht="16.5" x14ac:dyDescent="0.25">
      <c r="A12" s="408">
        <v>3</v>
      </c>
      <c r="B12" s="364" t="s">
        <v>400</v>
      </c>
      <c r="C12" s="400" t="s">
        <v>669</v>
      </c>
      <c r="D12" s="1246"/>
      <c r="E12" s="1247"/>
      <c r="F12" s="1243"/>
      <c r="G12" s="707"/>
      <c r="H12" s="29"/>
      <c r="I12" s="371"/>
      <c r="J12" s="371"/>
      <c r="K12" s="371"/>
      <c r="L12" s="455">
        <f t="shared" si="0"/>
        <v>0</v>
      </c>
      <c r="M12" s="456">
        <f t="shared" si="1"/>
        <v>0</v>
      </c>
      <c r="N12" s="1248"/>
      <c r="O12" s="1243"/>
      <c r="P12" s="1082"/>
      <c r="Q12" s="1082"/>
      <c r="R12" s="1022"/>
      <c r="S12" s="1022"/>
      <c r="T12" s="828"/>
      <c r="U12" s="828"/>
      <c r="V12" s="455">
        <f t="shared" si="2"/>
        <v>0</v>
      </c>
      <c r="W12" s="456">
        <f t="shared" si="3"/>
        <v>0</v>
      </c>
      <c r="X12" s="495"/>
    </row>
    <row r="13" spans="1:24" ht="16.5" x14ac:dyDescent="0.25">
      <c r="A13" s="408">
        <v>4</v>
      </c>
      <c r="B13" s="364" t="s">
        <v>401</v>
      </c>
      <c r="C13" s="400" t="s">
        <v>670</v>
      </c>
      <c r="D13" s="1246"/>
      <c r="E13" s="1247" t="s">
        <v>581</v>
      </c>
      <c r="F13" s="1243"/>
      <c r="G13" s="707"/>
      <c r="H13" s="29"/>
      <c r="I13" s="371"/>
      <c r="J13" s="371"/>
      <c r="K13" s="371"/>
      <c r="L13" s="455">
        <f t="shared" si="0"/>
        <v>1</v>
      </c>
      <c r="M13" s="456">
        <f t="shared" si="1"/>
        <v>1</v>
      </c>
      <c r="N13" s="1248"/>
      <c r="O13" s="1243" t="s">
        <v>581</v>
      </c>
      <c r="P13" s="1082"/>
      <c r="Q13" s="1082"/>
      <c r="R13" s="1022"/>
      <c r="S13" s="1022"/>
      <c r="T13" s="828"/>
      <c r="U13" s="828"/>
      <c r="V13" s="455">
        <f t="shared" si="2"/>
        <v>1</v>
      </c>
      <c r="W13" s="456">
        <f t="shared" si="3"/>
        <v>1</v>
      </c>
      <c r="X13" s="495"/>
    </row>
    <row r="14" spans="1:24" ht="16.5" x14ac:dyDescent="0.25">
      <c r="A14" s="408">
        <v>5</v>
      </c>
      <c r="B14" s="364" t="s">
        <v>402</v>
      </c>
      <c r="C14" s="400" t="s">
        <v>671</v>
      </c>
      <c r="D14" s="1246"/>
      <c r="E14" s="1247"/>
      <c r="F14" s="1243"/>
      <c r="G14" s="707"/>
      <c r="H14" s="29"/>
      <c r="I14" s="371"/>
      <c r="J14" s="371"/>
      <c r="K14" s="371"/>
      <c r="L14" s="455">
        <f t="shared" si="0"/>
        <v>0</v>
      </c>
      <c r="M14" s="456">
        <f t="shared" si="1"/>
        <v>0</v>
      </c>
      <c r="N14" s="1248"/>
      <c r="O14" s="1243"/>
      <c r="P14" s="1082"/>
      <c r="Q14" s="1082"/>
      <c r="R14" s="1022"/>
      <c r="S14" s="1022"/>
      <c r="T14" s="828"/>
      <c r="U14" s="828"/>
      <c r="V14" s="455">
        <f t="shared" si="2"/>
        <v>0</v>
      </c>
      <c r="W14" s="456">
        <f t="shared" si="3"/>
        <v>0</v>
      </c>
      <c r="X14" s="495"/>
    </row>
    <row r="15" spans="1:24" ht="16.5" x14ac:dyDescent="0.25">
      <c r="A15" s="408">
        <v>6</v>
      </c>
      <c r="B15" s="364" t="s">
        <v>403</v>
      </c>
      <c r="C15" s="400" t="s">
        <v>672</v>
      </c>
      <c r="D15" s="1246"/>
      <c r="E15" s="1247"/>
      <c r="F15" s="1243"/>
      <c r="G15" s="696"/>
      <c r="H15" s="29"/>
      <c r="I15" s="371"/>
      <c r="J15" s="371"/>
      <c r="K15" s="371"/>
      <c r="L15" s="455">
        <f t="shared" si="0"/>
        <v>0</v>
      </c>
      <c r="M15" s="456">
        <f t="shared" si="1"/>
        <v>0</v>
      </c>
      <c r="N15" s="1248"/>
      <c r="O15" s="1243"/>
      <c r="P15" s="1082"/>
      <c r="Q15" s="1082"/>
      <c r="R15" s="1022"/>
      <c r="S15" s="1022"/>
      <c r="T15" s="828"/>
      <c r="U15" s="828"/>
      <c r="V15" s="455">
        <f t="shared" si="2"/>
        <v>0</v>
      </c>
      <c r="W15" s="456">
        <f t="shared" si="3"/>
        <v>0</v>
      </c>
      <c r="X15" s="495"/>
    </row>
    <row r="16" spans="1:24" ht="16.5" x14ac:dyDescent="0.25">
      <c r="A16" s="408">
        <v>7</v>
      </c>
      <c r="B16" s="364" t="s">
        <v>404</v>
      </c>
      <c r="C16" s="400" t="s">
        <v>673</v>
      </c>
      <c r="D16" s="1246"/>
      <c r="E16" s="1247" t="s">
        <v>581</v>
      </c>
      <c r="F16" s="1243"/>
      <c r="G16" s="707"/>
      <c r="H16" s="29"/>
      <c r="I16" s="371"/>
      <c r="J16" s="371"/>
      <c r="K16" s="371"/>
      <c r="L16" s="455">
        <f t="shared" si="0"/>
        <v>1</v>
      </c>
      <c r="M16" s="456">
        <f t="shared" si="1"/>
        <v>1</v>
      </c>
      <c r="N16" s="1248"/>
      <c r="O16" s="1243" t="s">
        <v>581</v>
      </c>
      <c r="P16" s="1082"/>
      <c r="Q16" s="1082"/>
      <c r="R16" s="1022"/>
      <c r="S16" s="1022"/>
      <c r="T16" s="828"/>
      <c r="U16" s="828"/>
      <c r="V16" s="455">
        <f t="shared" si="2"/>
        <v>1</v>
      </c>
      <c r="W16" s="456">
        <f t="shared" si="3"/>
        <v>1</v>
      </c>
      <c r="X16" s="495"/>
    </row>
    <row r="17" spans="1:24" ht="16.5" x14ac:dyDescent="0.25">
      <c r="A17" s="408">
        <v>8</v>
      </c>
      <c r="B17" s="364" t="s">
        <v>406</v>
      </c>
      <c r="C17" s="400" t="s">
        <v>675</v>
      </c>
      <c r="D17" s="1246"/>
      <c r="E17" s="1247"/>
      <c r="F17" s="1243"/>
      <c r="G17" s="707"/>
      <c r="H17" s="29"/>
      <c r="I17" s="371"/>
      <c r="J17" s="202"/>
      <c r="K17" s="371"/>
      <c r="L17" s="455">
        <f t="shared" si="0"/>
        <v>0</v>
      </c>
      <c r="M17" s="456">
        <f t="shared" si="1"/>
        <v>0</v>
      </c>
      <c r="N17" s="1248"/>
      <c r="O17" s="1243"/>
      <c r="P17" s="1082"/>
      <c r="Q17" s="1082"/>
      <c r="R17" s="1022"/>
      <c r="S17" s="1022"/>
      <c r="T17" s="828"/>
      <c r="U17" s="828"/>
      <c r="V17" s="455">
        <f t="shared" si="2"/>
        <v>0</v>
      </c>
      <c r="W17" s="456">
        <f t="shared" si="3"/>
        <v>0</v>
      </c>
      <c r="X17" s="495"/>
    </row>
    <row r="18" spans="1:24" ht="16.5" x14ac:dyDescent="0.25">
      <c r="A18" s="408">
        <v>9</v>
      </c>
      <c r="B18" s="364" t="s">
        <v>407</v>
      </c>
      <c r="C18" s="400" t="s">
        <v>676</v>
      </c>
      <c r="D18" s="1246"/>
      <c r="E18" s="1247" t="s">
        <v>581</v>
      </c>
      <c r="F18" s="1243"/>
      <c r="G18" s="707"/>
      <c r="H18" s="371"/>
      <c r="I18" s="371"/>
      <c r="J18" s="371"/>
      <c r="K18" s="371"/>
      <c r="L18" s="455">
        <f t="shared" si="0"/>
        <v>1</v>
      </c>
      <c r="M18" s="456">
        <f t="shared" si="1"/>
        <v>1</v>
      </c>
      <c r="N18" s="1248"/>
      <c r="O18" s="1243"/>
      <c r="P18" s="1082"/>
      <c r="Q18" s="1082"/>
      <c r="R18" s="1022"/>
      <c r="S18" s="1022"/>
      <c r="T18" s="828"/>
      <c r="U18" s="828"/>
      <c r="V18" s="455">
        <f t="shared" si="2"/>
        <v>0</v>
      </c>
      <c r="W18" s="456">
        <f t="shared" si="3"/>
        <v>0</v>
      </c>
      <c r="X18" s="495"/>
    </row>
    <row r="19" spans="1:24" ht="18.75" hidden="1" x14ac:dyDescent="0.25">
      <c r="A19" s="408">
        <v>10</v>
      </c>
      <c r="B19" s="364"/>
      <c r="C19" s="364"/>
      <c r="D19" s="370"/>
      <c r="E19" s="370"/>
      <c r="F19" s="370"/>
      <c r="G19" s="370"/>
      <c r="H19" s="370"/>
      <c r="I19" s="370"/>
      <c r="J19" s="202"/>
      <c r="K19" s="202"/>
      <c r="L19" s="398">
        <f t="shared" si="0"/>
        <v>0</v>
      </c>
      <c r="M19" s="411">
        <f t="shared" si="1"/>
        <v>0</v>
      </c>
      <c r="N19" s="202"/>
      <c r="O19" s="202"/>
      <c r="P19" s="202"/>
      <c r="Q19" s="202"/>
      <c r="R19" s="202"/>
      <c r="S19" s="202"/>
      <c r="T19" s="29"/>
      <c r="U19" s="29"/>
      <c r="V19" s="455">
        <f t="shared" si="2"/>
        <v>0</v>
      </c>
      <c r="W19" s="456">
        <f t="shared" si="3"/>
        <v>0</v>
      </c>
      <c r="X19" s="29"/>
    </row>
    <row r="20" spans="1:24" ht="18.75" hidden="1" x14ac:dyDescent="0.25">
      <c r="A20" s="408">
        <v>11</v>
      </c>
      <c r="B20" s="364"/>
      <c r="C20" s="364"/>
      <c r="D20" s="370"/>
      <c r="E20" s="370"/>
      <c r="F20" s="370"/>
      <c r="G20" s="370"/>
      <c r="H20" s="370"/>
      <c r="I20" s="370"/>
      <c r="J20" s="202"/>
      <c r="K20" s="202"/>
      <c r="L20" s="398">
        <f t="shared" si="0"/>
        <v>0</v>
      </c>
      <c r="M20" s="411">
        <f t="shared" si="1"/>
        <v>0</v>
      </c>
      <c r="N20" s="202"/>
      <c r="O20" s="202"/>
      <c r="P20" s="202"/>
      <c r="Q20" s="202"/>
      <c r="R20" s="202"/>
      <c r="S20" s="202"/>
      <c r="T20" s="29"/>
      <c r="U20" s="29"/>
      <c r="V20" s="455">
        <f t="shared" si="2"/>
        <v>0</v>
      </c>
      <c r="W20" s="456">
        <f t="shared" si="3"/>
        <v>0</v>
      </c>
      <c r="X20" s="369"/>
    </row>
    <row r="21" spans="1:24" ht="18.75" hidden="1" x14ac:dyDescent="0.25">
      <c r="A21" s="408">
        <v>12</v>
      </c>
      <c r="B21" s="364"/>
      <c r="C21" s="364"/>
      <c r="D21" s="370"/>
      <c r="E21" s="370"/>
      <c r="F21" s="370"/>
      <c r="G21" s="370"/>
      <c r="H21" s="370"/>
      <c r="I21" s="370"/>
      <c r="J21" s="202"/>
      <c r="K21" s="202"/>
      <c r="L21" s="398">
        <f t="shared" si="0"/>
        <v>0</v>
      </c>
      <c r="M21" s="411">
        <f t="shared" si="1"/>
        <v>0</v>
      </c>
      <c r="N21" s="202"/>
      <c r="O21" s="202"/>
      <c r="P21" s="202"/>
      <c r="Q21" s="202"/>
      <c r="R21" s="202"/>
      <c r="S21" s="202"/>
      <c r="T21" s="29"/>
      <c r="U21" s="29"/>
      <c r="V21" s="455">
        <f t="shared" si="2"/>
        <v>0</v>
      </c>
      <c r="W21" s="456">
        <f t="shared" si="3"/>
        <v>0</v>
      </c>
      <c r="X21" s="369"/>
    </row>
    <row r="22" spans="1:24" ht="15.75" x14ac:dyDescent="0.25">
      <c r="A22" s="1440"/>
      <c r="B22" s="1440"/>
      <c r="C22" s="1440"/>
      <c r="D22" s="1440"/>
      <c r="E22" s="1440"/>
      <c r="F22" s="1440"/>
      <c r="G22" s="1440"/>
      <c r="H22" s="1440"/>
      <c r="I22" s="1440"/>
      <c r="J22" s="1440"/>
      <c r="K22" s="1440"/>
      <c r="L22" s="1440"/>
      <c r="M22" s="1440"/>
      <c r="N22" s="1440"/>
      <c r="O22" s="1440"/>
      <c r="P22" s="1440"/>
      <c r="Q22" s="1440"/>
      <c r="R22" s="1440"/>
      <c r="S22" s="1440"/>
      <c r="T22" s="1440"/>
      <c r="U22" s="1440"/>
      <c r="V22" s="1440"/>
      <c r="W22" s="1440"/>
      <c r="X22" s="1440"/>
    </row>
    <row r="23" spans="1:24" ht="15.75" x14ac:dyDescent="0.25">
      <c r="A23" s="1395" t="s">
        <v>578</v>
      </c>
      <c r="B23" s="1441"/>
      <c r="C23" s="1441"/>
      <c r="D23" s="1441"/>
      <c r="E23" s="1441"/>
      <c r="F23" s="1441"/>
      <c r="G23" s="1441"/>
      <c r="H23" s="1441"/>
      <c r="I23" s="1441"/>
      <c r="J23" s="1441"/>
      <c r="K23" s="1441"/>
      <c r="L23" s="1441"/>
      <c r="M23" s="1441"/>
      <c r="N23" s="1441"/>
      <c r="O23" s="1441"/>
      <c r="P23" s="1441"/>
      <c r="Q23" s="1441"/>
      <c r="R23" s="1441"/>
      <c r="S23" s="1441"/>
      <c r="T23" s="1441"/>
      <c r="U23" s="1441"/>
      <c r="V23" s="1441"/>
      <c r="W23" s="1441"/>
      <c r="X23" s="1441"/>
    </row>
    <row r="24" spans="1:24" ht="17.25" x14ac:dyDescent="0.3">
      <c r="A24" s="375"/>
      <c r="B24" s="375"/>
      <c r="C24" s="375"/>
      <c r="D24" s="376"/>
      <c r="E24" s="376"/>
      <c r="F24" s="376"/>
      <c r="G24" s="376"/>
      <c r="H24" s="376"/>
      <c r="I24" s="376"/>
      <c r="J24" s="377"/>
      <c r="K24" s="377"/>
      <c r="L24" s="377"/>
      <c r="M24" s="377"/>
      <c r="N24" s="224" t="str">
        <f>'P.KH-TC'!P22</f>
        <v>TP. HCM, ngày 2 tháng 11 năm 2023</v>
      </c>
      <c r="O24" s="224"/>
      <c r="P24" s="224"/>
      <c r="Q24" s="224"/>
      <c r="R24" s="224"/>
      <c r="S24" s="224"/>
      <c r="T24" s="224"/>
      <c r="U24" s="224"/>
      <c r="V24" s="224"/>
      <c r="W24" s="224"/>
      <c r="X24" s="224"/>
    </row>
    <row r="25" spans="1:24" ht="17.25" x14ac:dyDescent="0.3">
      <c r="A25" s="375"/>
      <c r="B25" s="375"/>
      <c r="C25" s="375"/>
      <c r="D25" s="376"/>
      <c r="E25" s="376"/>
      <c r="F25" s="376"/>
      <c r="G25" s="376"/>
      <c r="H25" s="376"/>
      <c r="I25" s="376"/>
      <c r="N25" s="1403" t="s">
        <v>579</v>
      </c>
      <c r="O25" s="1403"/>
      <c r="P25" s="1403"/>
      <c r="Q25" s="1403"/>
      <c r="R25" s="1403"/>
      <c r="S25" s="1403"/>
      <c r="T25" s="1403"/>
      <c r="U25" s="1403"/>
      <c r="V25" s="403"/>
      <c r="W25" s="403"/>
      <c r="X25" s="403"/>
    </row>
    <row r="26" spans="1:24" ht="18.75" x14ac:dyDescent="0.3">
      <c r="B26" s="381" t="s">
        <v>805</v>
      </c>
      <c r="C26" s="382" t="s">
        <v>802</v>
      </c>
    </row>
    <row r="27" spans="1:24" ht="18.75" x14ac:dyDescent="0.3">
      <c r="B27" s="382" t="s">
        <v>803</v>
      </c>
      <c r="C27" s="382" t="s">
        <v>804</v>
      </c>
    </row>
  </sheetData>
  <mergeCells count="13">
    <mergeCell ref="N25:U25"/>
    <mergeCell ref="A7:A8"/>
    <mergeCell ref="B7:C7"/>
    <mergeCell ref="A22:X22"/>
    <mergeCell ref="A23:X23"/>
    <mergeCell ref="D7:L7"/>
    <mergeCell ref="N7:V7"/>
    <mergeCell ref="A5:X5"/>
    <mergeCell ref="A1:C1"/>
    <mergeCell ref="N1:X1"/>
    <mergeCell ref="A2:C2"/>
    <mergeCell ref="N2:X2"/>
    <mergeCell ref="A3:C3"/>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Y23"/>
  <sheetViews>
    <sheetView topLeftCell="A7" workbookViewId="0">
      <selection activeCell="N10" sqref="N10:O17"/>
    </sheetView>
  </sheetViews>
  <sheetFormatPr defaultRowHeight="15" x14ac:dyDescent="0.25"/>
  <cols>
    <col min="1" max="1" width="5.28515625" customWidth="1"/>
    <col min="2" max="2" width="20" customWidth="1"/>
    <col min="3" max="3" width="12.85546875" customWidth="1"/>
    <col min="4" max="12" width="6.7109375" style="20" customWidth="1"/>
    <col min="13" max="13" width="6.7109375" style="203" customWidth="1"/>
    <col min="14" max="16" width="6.7109375" style="20" customWidth="1"/>
    <col min="17" max="18" width="6.7109375" style="203" customWidth="1"/>
    <col min="19" max="22" width="6.7109375" style="20" customWidth="1"/>
    <col min="23" max="23" width="6.7109375" style="203" customWidth="1"/>
    <col min="24" max="24" width="15.7109375" style="20" customWidth="1"/>
  </cols>
  <sheetData>
    <row r="1" spans="1:24" ht="15.75" x14ac:dyDescent="0.25">
      <c r="A1" s="1400" t="s">
        <v>559</v>
      </c>
      <c r="B1" s="1400"/>
      <c r="C1" s="1400"/>
      <c r="D1" s="16"/>
      <c r="E1" s="16"/>
      <c r="F1" s="16"/>
      <c r="G1" s="16"/>
      <c r="H1" s="16"/>
      <c r="I1" s="16"/>
      <c r="J1" s="17"/>
      <c r="K1" s="17"/>
      <c r="L1" s="17"/>
      <c r="M1" s="17"/>
      <c r="N1" s="1401" t="s">
        <v>560</v>
      </c>
      <c r="O1" s="1401"/>
      <c r="P1" s="1401"/>
      <c r="Q1" s="1401"/>
      <c r="R1" s="1401"/>
      <c r="S1" s="1401"/>
      <c r="T1" s="1402"/>
      <c r="U1" s="1402"/>
      <c r="V1" s="1402"/>
      <c r="W1" s="1402"/>
      <c r="X1" s="1402"/>
    </row>
    <row r="2" spans="1:24" ht="15.75" x14ac:dyDescent="0.25">
      <c r="A2" s="1400" t="s">
        <v>561</v>
      </c>
      <c r="B2" s="1400"/>
      <c r="C2" s="1400"/>
      <c r="D2" s="16"/>
      <c r="E2" s="16"/>
      <c r="F2" s="16"/>
      <c r="G2" s="16"/>
      <c r="H2" s="16"/>
      <c r="I2" s="16"/>
      <c r="J2" s="17"/>
      <c r="K2" s="17"/>
      <c r="L2" s="17"/>
      <c r="M2" s="17"/>
      <c r="N2" s="1401" t="s">
        <v>562</v>
      </c>
      <c r="O2" s="1401"/>
      <c r="P2" s="1401"/>
      <c r="Q2" s="1401"/>
      <c r="R2" s="1401"/>
      <c r="S2" s="1401"/>
      <c r="T2" s="1401"/>
      <c r="U2" s="1401"/>
      <c r="V2" s="1401"/>
      <c r="W2" s="1401"/>
      <c r="X2" s="1401"/>
    </row>
    <row r="3" spans="1:24" ht="15.75" x14ac:dyDescent="0.25">
      <c r="A3" s="1442" t="s">
        <v>598</v>
      </c>
      <c r="B3" s="1442"/>
      <c r="C3" s="1442"/>
      <c r="D3" s="16"/>
      <c r="E3" s="16"/>
      <c r="F3" s="16"/>
      <c r="G3" s="16"/>
      <c r="H3" s="16"/>
      <c r="I3" s="16"/>
      <c r="J3" s="17"/>
      <c r="K3" s="17"/>
      <c r="L3" s="17"/>
      <c r="M3" s="17"/>
      <c r="N3" s="17"/>
      <c r="O3" s="17"/>
      <c r="P3" s="17"/>
      <c r="Q3" s="17"/>
      <c r="R3" s="17"/>
      <c r="S3" s="17"/>
      <c r="T3" s="17"/>
      <c r="U3" s="17"/>
      <c r="V3" s="17"/>
      <c r="W3" s="17"/>
      <c r="X3" s="17"/>
    </row>
    <row r="4" spans="1:24" ht="15.75" x14ac:dyDescent="0.25">
      <c r="A4" s="18"/>
      <c r="B4" s="18"/>
      <c r="C4" s="18"/>
      <c r="D4" s="16"/>
      <c r="E4" s="16"/>
      <c r="F4" s="16"/>
      <c r="G4" s="16"/>
      <c r="H4" s="16"/>
      <c r="I4" s="16"/>
      <c r="J4" s="17"/>
      <c r="K4" s="17"/>
      <c r="L4" s="17"/>
      <c r="M4" s="17"/>
      <c r="N4" s="17"/>
      <c r="O4" s="17"/>
      <c r="P4" s="17"/>
      <c r="Q4" s="17"/>
      <c r="R4" s="17"/>
      <c r="S4" s="17"/>
      <c r="T4" s="17"/>
      <c r="U4" s="17"/>
      <c r="V4" s="17"/>
      <c r="W4" s="17"/>
      <c r="X4" s="19" t="s">
        <v>563</v>
      </c>
    </row>
    <row r="5" spans="1:24" ht="20.25" x14ac:dyDescent="0.25">
      <c r="A5" s="1412" t="str">
        <f>'K.Đ-ĐTỬ'!A5:AF5</f>
        <v>THỐNG KÊ CHI TIẾT KHỐI LƯỢNG CÔNG VIỆC THỰC HIỆN THÁNG 10/2023</v>
      </c>
      <c r="B5" s="1412"/>
      <c r="C5" s="1412"/>
      <c r="D5" s="1412"/>
      <c r="E5" s="1412"/>
      <c r="F5" s="1412"/>
      <c r="G5" s="1412"/>
      <c r="H5" s="1412"/>
      <c r="I5" s="1412"/>
      <c r="J5" s="1412"/>
      <c r="K5" s="1412"/>
      <c r="L5" s="1412"/>
      <c r="M5" s="1412"/>
      <c r="N5" s="1412"/>
      <c r="O5" s="1412"/>
      <c r="P5" s="1412"/>
      <c r="Q5" s="1412"/>
      <c r="R5" s="1412"/>
      <c r="S5" s="1412"/>
      <c r="T5" s="1412"/>
      <c r="U5" s="1412"/>
      <c r="V5" s="1412"/>
      <c r="W5" s="1412"/>
      <c r="X5" s="1412"/>
    </row>
    <row r="7" spans="1:24" ht="16.5" x14ac:dyDescent="0.25">
      <c r="A7" s="1416" t="s">
        <v>0</v>
      </c>
      <c r="B7" s="1436" t="s">
        <v>564</v>
      </c>
      <c r="C7" s="1436"/>
      <c r="D7" s="1437" t="s">
        <v>110</v>
      </c>
      <c r="E7" s="1438"/>
      <c r="F7" s="1438"/>
      <c r="G7" s="1438"/>
      <c r="H7" s="1438"/>
      <c r="I7" s="1438"/>
      <c r="J7" s="1438"/>
      <c r="K7" s="1439"/>
      <c r="L7" s="39"/>
      <c r="M7" s="39"/>
      <c r="N7" s="1437" t="s">
        <v>565</v>
      </c>
      <c r="O7" s="1438"/>
      <c r="P7" s="1438"/>
      <c r="Q7" s="1438"/>
      <c r="R7" s="1438"/>
      <c r="S7" s="1438"/>
      <c r="T7" s="1438"/>
      <c r="U7" s="1439"/>
      <c r="V7" s="40"/>
      <c r="W7" s="40"/>
      <c r="X7" s="21" t="s">
        <v>4</v>
      </c>
    </row>
    <row r="8" spans="1:24" ht="24" x14ac:dyDescent="0.25">
      <c r="A8" s="1417"/>
      <c r="B8" s="139" t="s">
        <v>461</v>
      </c>
      <c r="C8" s="140" t="s">
        <v>566</v>
      </c>
      <c r="D8" s="128" t="s">
        <v>567</v>
      </c>
      <c r="E8" s="128" t="s">
        <v>568</v>
      </c>
      <c r="F8" s="128" t="s">
        <v>569</v>
      </c>
      <c r="G8" s="128" t="s">
        <v>570</v>
      </c>
      <c r="H8" s="128" t="s">
        <v>571</v>
      </c>
      <c r="I8" s="128" t="s">
        <v>572</v>
      </c>
      <c r="J8" s="128" t="s">
        <v>573</v>
      </c>
      <c r="K8" s="128" t="s">
        <v>703</v>
      </c>
      <c r="L8" s="126" t="s">
        <v>588</v>
      </c>
      <c r="M8" s="267" t="s">
        <v>795</v>
      </c>
      <c r="N8" s="122" t="s">
        <v>567</v>
      </c>
      <c r="O8" s="122" t="s">
        <v>568</v>
      </c>
      <c r="P8" s="122" t="s">
        <v>569</v>
      </c>
      <c r="Q8" s="122" t="s">
        <v>570</v>
      </c>
      <c r="R8" s="122" t="s">
        <v>571</v>
      </c>
      <c r="S8" s="122" t="s">
        <v>572</v>
      </c>
      <c r="T8" s="122" t="s">
        <v>573</v>
      </c>
      <c r="U8" s="122" t="s">
        <v>703</v>
      </c>
      <c r="V8" s="126" t="s">
        <v>588</v>
      </c>
      <c r="W8" s="267" t="s">
        <v>795</v>
      </c>
      <c r="X8" s="21"/>
    </row>
    <row r="9" spans="1:24" ht="15.75" x14ac:dyDescent="0.25">
      <c r="A9" s="22" t="s">
        <v>574</v>
      </c>
      <c r="B9" s="23"/>
      <c r="C9" s="268">
        <v>-1</v>
      </c>
      <c r="D9" s="268">
        <v>-2</v>
      </c>
      <c r="E9" s="268">
        <v>-3</v>
      </c>
      <c r="F9" s="268">
        <v>-4</v>
      </c>
      <c r="G9" s="268">
        <v>-5</v>
      </c>
      <c r="H9" s="268">
        <v>-6</v>
      </c>
      <c r="I9" s="268">
        <v>-7</v>
      </c>
      <c r="J9" s="268">
        <v>-8</v>
      </c>
      <c r="K9" s="268">
        <v>-9</v>
      </c>
      <c r="L9" s="268">
        <v>-10</v>
      </c>
      <c r="M9" s="269">
        <v>-11</v>
      </c>
      <c r="N9" s="268">
        <v>-12</v>
      </c>
      <c r="O9" s="268">
        <v>-13</v>
      </c>
      <c r="P9" s="268">
        <v>-14</v>
      </c>
      <c r="Q9" s="268">
        <v>-15</v>
      </c>
      <c r="R9" s="268">
        <v>-16</v>
      </c>
      <c r="S9" s="268">
        <v>-17</v>
      </c>
      <c r="T9" s="268">
        <v>-18</v>
      </c>
      <c r="U9" s="268">
        <v>-19</v>
      </c>
      <c r="V9" s="268">
        <v>-20</v>
      </c>
      <c r="W9" s="269">
        <v>-21</v>
      </c>
      <c r="X9" s="268">
        <v>-22</v>
      </c>
    </row>
    <row r="10" spans="1:24" ht="16.5" x14ac:dyDescent="0.25">
      <c r="A10" s="26" t="s">
        <v>5</v>
      </c>
      <c r="B10" s="54" t="s">
        <v>408</v>
      </c>
      <c r="C10" s="26" t="s">
        <v>533</v>
      </c>
      <c r="D10" s="1240" t="s">
        <v>1141</v>
      </c>
      <c r="E10" s="1240" t="s">
        <v>1141</v>
      </c>
      <c r="F10" s="1240"/>
      <c r="G10" s="1246"/>
      <c r="H10" s="31"/>
      <c r="I10" s="31"/>
      <c r="J10" s="31"/>
      <c r="K10" s="31"/>
      <c r="L10" s="56">
        <f>SUM(COUNTIF(D10:K10,"X"),COUNTIF(D10:K10,"A"))</f>
        <v>2</v>
      </c>
      <c r="M10" s="275">
        <f>SUM(COUNTIF(D10:K10,"X"),COUNTIF(D10:K10,"B"))</f>
        <v>2</v>
      </c>
      <c r="N10" s="1243" t="s">
        <v>1141</v>
      </c>
      <c r="O10" s="1243"/>
      <c r="P10" s="1082"/>
      <c r="Q10" s="834"/>
      <c r="R10" s="834"/>
      <c r="S10" s="834"/>
      <c r="T10" s="28"/>
      <c r="U10" s="28"/>
      <c r="V10" s="56">
        <f>SUM(COUNTIF(N10:U10,"X"),COUNTIF(N10:U10,"A"))</f>
        <v>1</v>
      </c>
      <c r="W10" s="275">
        <f>SUM(COUNTIF(N10:U10,"X"),COUNTIF(N10:U10,"B"))</f>
        <v>1</v>
      </c>
      <c r="X10" s="25"/>
    </row>
    <row r="11" spans="1:24" ht="16.5" x14ac:dyDescent="0.25">
      <c r="A11" s="26" t="s">
        <v>6</v>
      </c>
      <c r="B11" s="55" t="s">
        <v>409</v>
      </c>
      <c r="C11" s="26" t="s">
        <v>534</v>
      </c>
      <c r="D11" s="1240"/>
      <c r="E11" s="1240"/>
      <c r="F11" s="1240"/>
      <c r="G11" s="1246" t="s">
        <v>1141</v>
      </c>
      <c r="H11" s="31"/>
      <c r="I11" s="31"/>
      <c r="J11" s="31"/>
      <c r="K11" s="31"/>
      <c r="L11" s="56">
        <f t="shared" ref="L11:L18" si="0">SUM(COUNTIF(D11:K11,"X"),COUNTIF(D11:K11,"A"))</f>
        <v>1</v>
      </c>
      <c r="M11" s="275">
        <f t="shared" ref="M11:M18" si="1">SUM(COUNTIF(D11:K11,"X"),COUNTIF(D11:K11,"B"))</f>
        <v>1</v>
      </c>
      <c r="N11" s="1243"/>
      <c r="O11" s="1243"/>
      <c r="P11" s="1082"/>
      <c r="Q11" s="834"/>
      <c r="R11" s="834"/>
      <c r="S11" s="834"/>
      <c r="T11" s="28"/>
      <c r="U11" s="28"/>
      <c r="V11" s="56">
        <f t="shared" ref="V11:V18" si="2">SUM(COUNTIF(N11:U11,"X"),COUNTIF(N11:U11,"A"))</f>
        <v>0</v>
      </c>
      <c r="W11" s="275">
        <f t="shared" ref="W11:W18" si="3">SUM(COUNTIF(N11:U11,"X"),COUNTIF(N11:U11,"B"))</f>
        <v>0</v>
      </c>
      <c r="X11" s="25"/>
    </row>
    <row r="12" spans="1:24" ht="16.5" x14ac:dyDescent="0.25">
      <c r="A12" s="26" t="s">
        <v>10</v>
      </c>
      <c r="B12" s="54" t="s">
        <v>410</v>
      </c>
      <c r="C12" s="173" t="s">
        <v>772</v>
      </c>
      <c r="D12" s="1240"/>
      <c r="E12" s="1240"/>
      <c r="F12" s="1240" t="s">
        <v>1141</v>
      </c>
      <c r="G12" s="1246"/>
      <c r="H12" s="31"/>
      <c r="I12" s="31"/>
      <c r="J12" s="31"/>
      <c r="K12" s="31"/>
      <c r="L12" s="56">
        <f t="shared" si="0"/>
        <v>1</v>
      </c>
      <c r="M12" s="275">
        <f t="shared" si="1"/>
        <v>1</v>
      </c>
      <c r="N12" s="1243" t="s">
        <v>1141</v>
      </c>
      <c r="O12" s="1243" t="s">
        <v>1141</v>
      </c>
      <c r="P12" s="1082"/>
      <c r="Q12" s="834"/>
      <c r="R12" s="834"/>
      <c r="S12" s="834"/>
      <c r="T12" s="28"/>
      <c r="U12" s="28"/>
      <c r="V12" s="56">
        <f t="shared" si="2"/>
        <v>2</v>
      </c>
      <c r="W12" s="275">
        <f t="shared" si="3"/>
        <v>2</v>
      </c>
      <c r="X12" s="25"/>
    </row>
    <row r="13" spans="1:24" ht="16.5" x14ac:dyDescent="0.25">
      <c r="A13" s="26" t="s">
        <v>11</v>
      </c>
      <c r="B13" s="54" t="s">
        <v>413</v>
      </c>
      <c r="C13" s="26" t="s">
        <v>537</v>
      </c>
      <c r="D13" s="1240"/>
      <c r="E13" s="1240" t="s">
        <v>1141</v>
      </c>
      <c r="F13" s="1240"/>
      <c r="G13" s="1246" t="s">
        <v>1141</v>
      </c>
      <c r="H13" s="571"/>
      <c r="I13" s="32"/>
      <c r="J13" s="31"/>
      <c r="K13" s="32"/>
      <c r="L13" s="56">
        <f t="shared" si="0"/>
        <v>2</v>
      </c>
      <c r="M13" s="275">
        <f t="shared" si="1"/>
        <v>2</v>
      </c>
      <c r="N13" s="1243" t="s">
        <v>1141</v>
      </c>
      <c r="O13" s="1243"/>
      <c r="P13" s="1082"/>
      <c r="Q13" s="834"/>
      <c r="R13" s="834"/>
      <c r="S13" s="834"/>
      <c r="T13" s="28"/>
      <c r="U13" s="28"/>
      <c r="V13" s="56">
        <f t="shared" si="2"/>
        <v>1</v>
      </c>
      <c r="W13" s="275">
        <f t="shared" si="3"/>
        <v>1</v>
      </c>
      <c r="X13" s="25"/>
    </row>
    <row r="14" spans="1:24" ht="16.5" x14ac:dyDescent="0.25">
      <c r="A14" s="26" t="s">
        <v>12</v>
      </c>
      <c r="B14" s="54" t="s">
        <v>414</v>
      </c>
      <c r="C14" s="26" t="s">
        <v>538</v>
      </c>
      <c r="D14" s="1240"/>
      <c r="E14" s="1240"/>
      <c r="F14" s="1240"/>
      <c r="G14" s="1246" t="s">
        <v>1141</v>
      </c>
      <c r="H14" s="571"/>
      <c r="I14" s="32"/>
      <c r="J14" s="31"/>
      <c r="K14" s="32"/>
      <c r="L14" s="56">
        <f t="shared" si="0"/>
        <v>1</v>
      </c>
      <c r="M14" s="275">
        <f t="shared" si="1"/>
        <v>1</v>
      </c>
      <c r="N14" s="1243" t="s">
        <v>1141</v>
      </c>
      <c r="O14" s="1243"/>
      <c r="P14" s="1082"/>
      <c r="Q14" s="834"/>
      <c r="R14" s="834"/>
      <c r="S14" s="834"/>
      <c r="T14" s="28"/>
      <c r="U14" s="28"/>
      <c r="V14" s="56">
        <f t="shared" si="2"/>
        <v>1</v>
      </c>
      <c r="W14" s="275">
        <f t="shared" si="3"/>
        <v>1</v>
      </c>
      <c r="X14" s="25"/>
    </row>
    <row r="15" spans="1:24" ht="16.5" x14ac:dyDescent="0.25">
      <c r="A15" s="26" t="s">
        <v>13</v>
      </c>
      <c r="B15" s="54" t="s">
        <v>411</v>
      </c>
      <c r="C15" s="26" t="s">
        <v>535</v>
      </c>
      <c r="D15" s="1240"/>
      <c r="E15" s="1240"/>
      <c r="F15" s="1240" t="s">
        <v>1141</v>
      </c>
      <c r="G15" s="1246"/>
      <c r="H15" s="31"/>
      <c r="I15" s="31"/>
      <c r="J15" s="31"/>
      <c r="K15" s="31"/>
      <c r="L15" s="56">
        <f t="shared" si="0"/>
        <v>1</v>
      </c>
      <c r="M15" s="275">
        <f t="shared" si="1"/>
        <v>1</v>
      </c>
      <c r="N15" s="1243"/>
      <c r="O15" s="1243"/>
      <c r="P15" s="1082"/>
      <c r="Q15" s="834"/>
      <c r="R15" s="834"/>
      <c r="S15" s="834"/>
      <c r="T15" s="28"/>
      <c r="U15" s="28"/>
      <c r="V15" s="56">
        <f t="shared" si="2"/>
        <v>0</v>
      </c>
      <c r="W15" s="275">
        <f t="shared" si="3"/>
        <v>0</v>
      </c>
      <c r="X15" s="25"/>
    </row>
    <row r="16" spans="1:24" ht="16.5" x14ac:dyDescent="0.25">
      <c r="A16" s="26" t="s">
        <v>14</v>
      </c>
      <c r="B16" s="54" t="s">
        <v>412</v>
      </c>
      <c r="C16" s="26" t="s">
        <v>536</v>
      </c>
      <c r="D16" s="1240"/>
      <c r="E16" s="1240"/>
      <c r="F16" s="1240" t="s">
        <v>1141</v>
      </c>
      <c r="G16" s="1246"/>
      <c r="H16" s="31"/>
      <c r="I16" s="32"/>
      <c r="J16" s="31"/>
      <c r="K16" s="32"/>
      <c r="L16" s="56">
        <f t="shared" si="0"/>
        <v>1</v>
      </c>
      <c r="M16" s="275">
        <f t="shared" si="1"/>
        <v>1</v>
      </c>
      <c r="N16" s="1243"/>
      <c r="O16" s="1243"/>
      <c r="P16" s="1082"/>
      <c r="Q16" s="834"/>
      <c r="R16" s="834"/>
      <c r="S16" s="834"/>
      <c r="T16" s="28"/>
      <c r="U16" s="28"/>
      <c r="V16" s="56">
        <f t="shared" si="2"/>
        <v>0</v>
      </c>
      <c r="W16" s="275">
        <f t="shared" si="3"/>
        <v>0</v>
      </c>
      <c r="X16" s="25"/>
    </row>
    <row r="17" spans="1:25" ht="16.5" x14ac:dyDescent="0.25">
      <c r="A17" s="26" t="s">
        <v>15</v>
      </c>
      <c r="B17" s="71" t="s">
        <v>415</v>
      </c>
      <c r="C17" s="7" t="s">
        <v>539</v>
      </c>
      <c r="D17" s="1240"/>
      <c r="E17" s="1240"/>
      <c r="F17" s="1240" t="s">
        <v>1141</v>
      </c>
      <c r="G17" s="1246"/>
      <c r="H17" s="31"/>
      <c r="I17" s="32"/>
      <c r="J17" s="31"/>
      <c r="K17" s="32"/>
      <c r="L17" s="56">
        <f t="shared" si="0"/>
        <v>1</v>
      </c>
      <c r="M17" s="275">
        <f t="shared" si="1"/>
        <v>1</v>
      </c>
      <c r="N17" s="1243"/>
      <c r="O17" s="1243"/>
      <c r="P17" s="1082"/>
      <c r="Q17" s="834"/>
      <c r="R17" s="834"/>
      <c r="S17" s="834"/>
      <c r="T17" s="28"/>
      <c r="U17" s="28"/>
      <c r="V17" s="56">
        <f t="shared" si="2"/>
        <v>0</v>
      </c>
      <c r="W17" s="275">
        <f t="shared" si="3"/>
        <v>0</v>
      </c>
      <c r="X17" s="25"/>
    </row>
    <row r="18" spans="1:25" ht="16.5" x14ac:dyDescent="0.25">
      <c r="A18" s="26" t="s">
        <v>16</v>
      </c>
      <c r="B18" s="71" t="s">
        <v>717</v>
      </c>
      <c r="C18" s="7" t="s">
        <v>718</v>
      </c>
      <c r="D18" s="1240"/>
      <c r="E18" s="1240"/>
      <c r="F18" s="1240"/>
      <c r="G18" s="1246" t="s">
        <v>1141</v>
      </c>
      <c r="H18" s="571"/>
      <c r="I18" s="32"/>
      <c r="J18" s="31"/>
      <c r="K18" s="32"/>
      <c r="L18" s="56">
        <f t="shared" si="0"/>
        <v>1</v>
      </c>
      <c r="M18" s="275">
        <f t="shared" si="1"/>
        <v>1</v>
      </c>
      <c r="N18" s="1155"/>
      <c r="O18" s="1155"/>
      <c r="P18" s="1082"/>
      <c r="Q18" s="834"/>
      <c r="R18" s="834"/>
      <c r="S18" s="834"/>
      <c r="T18" s="28"/>
      <c r="U18" s="28"/>
      <c r="V18" s="56">
        <f t="shared" si="2"/>
        <v>0</v>
      </c>
      <c r="W18" s="275">
        <f t="shared" si="3"/>
        <v>0</v>
      </c>
      <c r="X18" s="25"/>
    </row>
    <row r="19" spans="1:25" ht="15.75" x14ac:dyDescent="0.25">
      <c r="A19" s="225"/>
      <c r="B19" s="225"/>
      <c r="C19" s="225"/>
      <c r="D19" s="225">
        <f>COUNTIF(D10:D18,"X")</f>
        <v>1</v>
      </c>
      <c r="E19" s="225">
        <f>COUNTIF(E10:E18,"X")</f>
        <v>2</v>
      </c>
      <c r="F19" s="225">
        <f>COUNTIF(F10:F18,"X")</f>
        <v>4</v>
      </c>
      <c r="G19" s="225">
        <f>COUNTIF(G10:G18,"X")</f>
        <v>4</v>
      </c>
      <c r="H19" s="225"/>
      <c r="I19" s="225"/>
      <c r="J19" s="225"/>
      <c r="K19" s="225"/>
      <c r="L19" s="225"/>
      <c r="M19" s="225"/>
      <c r="N19" s="225">
        <f>COUNTIF(N10:N18,"X")</f>
        <v>4</v>
      </c>
      <c r="O19" s="225">
        <f>COUNTIF(O10:O18,"X")</f>
        <v>1</v>
      </c>
      <c r="P19" s="225">
        <f>COUNTIF(P10:P18,"X")</f>
        <v>0</v>
      </c>
      <c r="Q19" s="225">
        <f>COUNTIF(Q10:Q18,"X")</f>
        <v>0</v>
      </c>
      <c r="R19" s="225">
        <f t="shared" ref="R19:S19" si="4">COUNTIF(R10:R18,"X")</f>
        <v>0</v>
      </c>
      <c r="S19" s="225">
        <f t="shared" si="4"/>
        <v>0</v>
      </c>
      <c r="T19" s="225"/>
      <c r="U19" s="225"/>
      <c r="V19" s="225"/>
      <c r="W19" s="225"/>
      <c r="X19" s="225"/>
    </row>
    <row r="20" spans="1:25" ht="15.75" x14ac:dyDescent="0.25">
      <c r="A20" s="1425" t="s">
        <v>578</v>
      </c>
      <c r="B20" s="1444"/>
      <c r="C20" s="1444"/>
      <c r="D20" s="1444"/>
      <c r="E20" s="1444"/>
      <c r="F20" s="1444"/>
      <c r="G20" s="1444"/>
      <c r="H20" s="1444"/>
      <c r="I20" s="1444"/>
      <c r="J20" s="1444"/>
      <c r="K20" s="1444"/>
      <c r="L20" s="1444"/>
      <c r="M20" s="1444"/>
      <c r="N20" s="1444"/>
      <c r="O20" s="1444"/>
      <c r="P20" s="1444"/>
      <c r="Q20" s="1444"/>
      <c r="R20" s="1444"/>
      <c r="S20" s="1444"/>
      <c r="T20" s="1444"/>
      <c r="U20" s="1444"/>
      <c r="V20" s="1444"/>
      <c r="W20" s="1444"/>
      <c r="X20" s="1444"/>
    </row>
    <row r="21" spans="1:25" ht="17.25" x14ac:dyDescent="0.3">
      <c r="A21" s="33"/>
      <c r="B21" s="33"/>
      <c r="C21" s="33"/>
      <c r="D21" s="34"/>
      <c r="E21" s="34"/>
      <c r="F21" s="34"/>
      <c r="G21" s="34"/>
      <c r="H21" s="34"/>
      <c r="I21" s="34"/>
      <c r="J21" s="35"/>
      <c r="K21" s="35"/>
      <c r="L21" s="35"/>
      <c r="M21" s="35"/>
      <c r="N21" s="195" t="str">
        <f>'P.KH-TC'!P22</f>
        <v>TP. HCM, ngày 2 tháng 11 năm 2023</v>
      </c>
      <c r="O21" s="195"/>
      <c r="P21" s="195"/>
      <c r="Q21" s="195"/>
      <c r="R21" s="195"/>
      <c r="S21" s="195"/>
      <c r="T21" s="195"/>
      <c r="U21" s="195"/>
      <c r="V21" s="195"/>
      <c r="W21" s="195"/>
      <c r="X21" s="195"/>
      <c r="Y21" s="195"/>
    </row>
    <row r="22" spans="1:25" ht="18.75" x14ac:dyDescent="0.3">
      <c r="A22" s="33"/>
      <c r="B22" s="344" t="s">
        <v>805</v>
      </c>
      <c r="C22" s="342" t="s">
        <v>802</v>
      </c>
      <c r="D22" s="34"/>
      <c r="E22" s="34"/>
      <c r="F22" s="34"/>
      <c r="G22" s="34"/>
      <c r="H22" s="34"/>
      <c r="I22" s="34"/>
      <c r="N22" s="1443" t="s">
        <v>579</v>
      </c>
      <c r="O22" s="1443"/>
      <c r="P22" s="1443"/>
      <c r="Q22" s="1443"/>
      <c r="R22" s="1443"/>
      <c r="S22" s="1443"/>
      <c r="T22" s="1443"/>
      <c r="U22" s="1443"/>
      <c r="V22" s="196"/>
      <c r="W22" s="196"/>
      <c r="X22" s="196"/>
      <c r="Y22" s="196"/>
    </row>
    <row r="23" spans="1:25" ht="18.75" x14ac:dyDescent="0.3">
      <c r="B23" s="343" t="s">
        <v>803</v>
      </c>
      <c r="C23" s="343" t="s">
        <v>804</v>
      </c>
    </row>
  </sheetData>
  <mergeCells count="12">
    <mergeCell ref="N22:U22"/>
    <mergeCell ref="A7:A8"/>
    <mergeCell ref="B7:C7"/>
    <mergeCell ref="D7:K7"/>
    <mergeCell ref="N7:U7"/>
    <mergeCell ref="A20:X20"/>
    <mergeCell ref="A5:X5"/>
    <mergeCell ref="A1:C1"/>
    <mergeCell ref="N1:X1"/>
    <mergeCell ref="A2:C2"/>
    <mergeCell ref="N2:X2"/>
    <mergeCell ref="A3:C3"/>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D35"/>
  <sheetViews>
    <sheetView showZeros="0" topLeftCell="A21" zoomScale="80" zoomScaleNormal="80" workbookViewId="0">
      <selection activeCell="U17" sqref="U17"/>
    </sheetView>
  </sheetViews>
  <sheetFormatPr defaultRowHeight="15" x14ac:dyDescent="0.25"/>
  <cols>
    <col min="1" max="1" width="5.28515625" style="356" customWidth="1"/>
    <col min="2" max="2" width="25.28515625" style="356" customWidth="1"/>
    <col min="3" max="3" width="14.7109375" style="356" customWidth="1"/>
    <col min="4" max="4" width="6.7109375" style="449" customWidth="1"/>
    <col min="5" max="19" width="6.7109375" style="388" customWidth="1"/>
    <col min="20" max="20" width="7.7109375" style="449" customWidth="1"/>
    <col min="21" max="25" width="7.85546875" style="449" customWidth="1"/>
    <col min="26" max="26" width="9.28515625" style="388" customWidth="1"/>
    <col min="27" max="29" width="6.7109375" style="388" customWidth="1"/>
    <col min="30" max="30" width="15.7109375" style="388" customWidth="1"/>
    <col min="31" max="16384" width="9.140625" style="356"/>
  </cols>
  <sheetData>
    <row r="1" spans="1:30" ht="15" customHeight="1" x14ac:dyDescent="0.25">
      <c r="A1" s="1400" t="s">
        <v>559</v>
      </c>
      <c r="B1" s="1400"/>
      <c r="C1" s="1400"/>
      <c r="D1" s="16"/>
      <c r="E1" s="16"/>
      <c r="F1" s="16"/>
      <c r="G1" s="16"/>
      <c r="H1" s="16"/>
      <c r="I1" s="16"/>
      <c r="J1" s="16"/>
      <c r="K1" s="16"/>
      <c r="L1" s="17"/>
      <c r="M1" s="17"/>
      <c r="N1" s="17"/>
      <c r="O1" s="17"/>
      <c r="P1" s="1401" t="s">
        <v>560</v>
      </c>
      <c r="Q1" s="1401"/>
      <c r="R1" s="1401"/>
      <c r="S1" s="1401"/>
      <c r="T1" s="1401"/>
      <c r="U1" s="1401"/>
      <c r="V1" s="1401"/>
      <c r="W1" s="1401"/>
      <c r="X1" s="1401"/>
      <c r="Y1" s="1401"/>
      <c r="Z1" s="1401"/>
      <c r="AA1" s="1402"/>
      <c r="AB1" s="1402"/>
      <c r="AC1" s="1402"/>
      <c r="AD1" s="1402"/>
    </row>
    <row r="2" spans="1:30" ht="15" customHeight="1" x14ac:dyDescent="0.25">
      <c r="A2" s="1400" t="s">
        <v>561</v>
      </c>
      <c r="B2" s="1400"/>
      <c r="C2" s="1400"/>
      <c r="D2" s="16"/>
      <c r="E2" s="16"/>
      <c r="F2" s="16"/>
      <c r="G2" s="16"/>
      <c r="H2" s="16"/>
      <c r="I2" s="16"/>
      <c r="J2" s="16"/>
      <c r="K2" s="16"/>
      <c r="L2" s="17"/>
      <c r="M2" s="17"/>
      <c r="N2" s="17"/>
      <c r="O2" s="17"/>
      <c r="P2" s="1401" t="s">
        <v>562</v>
      </c>
      <c r="Q2" s="1401"/>
      <c r="R2" s="1401"/>
      <c r="S2" s="1401"/>
      <c r="T2" s="1401"/>
      <c r="U2" s="1401"/>
      <c r="V2" s="1401"/>
      <c r="W2" s="1401"/>
      <c r="X2" s="1401"/>
      <c r="Y2" s="1401"/>
      <c r="Z2" s="1401"/>
      <c r="AA2" s="1401"/>
      <c r="AB2" s="1401"/>
      <c r="AC2" s="1401"/>
      <c r="AD2" s="1401"/>
    </row>
    <row r="3" spans="1:30" ht="15" customHeight="1" x14ac:dyDescent="0.25">
      <c r="A3" s="1401" t="s">
        <v>599</v>
      </c>
      <c r="B3" s="1401"/>
      <c r="C3" s="1401"/>
      <c r="D3" s="16"/>
      <c r="E3" s="16"/>
      <c r="F3" s="16"/>
      <c r="G3" s="16"/>
      <c r="H3" s="16"/>
      <c r="I3" s="16"/>
      <c r="J3" s="16"/>
      <c r="K3" s="16"/>
      <c r="L3" s="17"/>
      <c r="M3" s="17"/>
      <c r="N3" s="17"/>
      <c r="O3" s="17"/>
      <c r="P3" s="17"/>
      <c r="Q3" s="17"/>
      <c r="R3" s="17"/>
      <c r="S3" s="17"/>
      <c r="T3" s="17"/>
      <c r="U3" s="17"/>
      <c r="V3" s="17"/>
      <c r="W3" s="17"/>
      <c r="X3" s="17"/>
      <c r="Y3" s="17"/>
      <c r="Z3" s="17"/>
      <c r="AA3" s="17"/>
      <c r="AB3" s="17"/>
      <c r="AC3" s="17"/>
      <c r="AD3" s="17"/>
    </row>
    <row r="4" spans="1:30" ht="15" customHeight="1" x14ac:dyDescent="0.25">
      <c r="A4" s="18"/>
      <c r="B4" s="18"/>
      <c r="C4" s="18"/>
      <c r="D4" s="16"/>
      <c r="E4" s="16"/>
      <c r="F4" s="16"/>
      <c r="G4" s="16"/>
      <c r="H4" s="16"/>
      <c r="I4" s="16"/>
      <c r="J4" s="16"/>
      <c r="K4" s="16"/>
      <c r="L4" s="17"/>
      <c r="M4" s="17"/>
      <c r="N4" s="17"/>
      <c r="O4" s="17"/>
      <c r="P4" s="17"/>
      <c r="Q4" s="17"/>
      <c r="R4" s="17"/>
      <c r="S4" s="17"/>
      <c r="T4" s="17"/>
      <c r="U4" s="17"/>
      <c r="V4" s="17"/>
      <c r="W4" s="17"/>
      <c r="X4" s="17"/>
      <c r="Y4" s="17"/>
      <c r="Z4" s="17"/>
      <c r="AA4" s="17"/>
      <c r="AB4" s="17"/>
      <c r="AC4" s="17"/>
      <c r="AD4" s="19" t="s">
        <v>563</v>
      </c>
    </row>
    <row r="5" spans="1:30" ht="29.25" customHeight="1" x14ac:dyDescent="0.25">
      <c r="A5" s="1390" t="str">
        <f>'K.NHIỆT-LẠNH'!A5:X5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c r="AC5" s="1390"/>
      <c r="AD5" s="1390"/>
    </row>
    <row r="7" spans="1:30" s="452" customFormat="1" ht="33.75" customHeight="1" x14ac:dyDescent="0.25">
      <c r="A7" s="1429" t="s">
        <v>0</v>
      </c>
      <c r="B7" s="1446" t="s">
        <v>564</v>
      </c>
      <c r="C7" s="1447"/>
      <c r="D7" s="1330" t="s">
        <v>110</v>
      </c>
      <c r="E7" s="1344"/>
      <c r="F7" s="1344"/>
      <c r="G7" s="1344"/>
      <c r="H7" s="1344"/>
      <c r="I7" s="1344"/>
      <c r="J7" s="1344"/>
      <c r="K7" s="1344"/>
      <c r="L7" s="1344"/>
      <c r="M7" s="1344"/>
      <c r="N7" s="1331"/>
      <c r="O7" s="451"/>
      <c r="P7" s="1330" t="s">
        <v>565</v>
      </c>
      <c r="Q7" s="1344"/>
      <c r="R7" s="1344"/>
      <c r="S7" s="1344"/>
      <c r="T7" s="1344"/>
      <c r="U7" s="1344"/>
      <c r="V7" s="1344"/>
      <c r="W7" s="1448"/>
      <c r="X7" s="1448"/>
      <c r="Y7" s="1344"/>
      <c r="Z7" s="1344"/>
      <c r="AA7" s="1344"/>
      <c r="AB7" s="1331"/>
      <c r="AC7" s="432"/>
      <c r="AD7" s="352" t="s">
        <v>4</v>
      </c>
    </row>
    <row r="8" spans="1:30" s="452" customFormat="1" ht="91.5" customHeight="1" x14ac:dyDescent="0.25">
      <c r="A8" s="1430"/>
      <c r="B8" s="1" t="s">
        <v>461</v>
      </c>
      <c r="C8" s="453" t="s">
        <v>566</v>
      </c>
      <c r="D8" s="132" t="s">
        <v>567</v>
      </c>
      <c r="E8" s="212" t="s">
        <v>568</v>
      </c>
      <c r="F8" s="212" t="s">
        <v>569</v>
      </c>
      <c r="G8" s="212" t="s">
        <v>570</v>
      </c>
      <c r="H8" s="212" t="s">
        <v>571</v>
      </c>
      <c r="I8" s="212" t="s">
        <v>572</v>
      </c>
      <c r="J8" s="212" t="s">
        <v>573</v>
      </c>
      <c r="K8" s="212" t="s">
        <v>703</v>
      </c>
      <c r="L8" s="212" t="s">
        <v>704</v>
      </c>
      <c r="M8" s="212" t="s">
        <v>748</v>
      </c>
      <c r="N8" s="134" t="s">
        <v>588</v>
      </c>
      <c r="O8" s="361" t="s">
        <v>795</v>
      </c>
      <c r="P8" s="132" t="s">
        <v>567</v>
      </c>
      <c r="Q8" s="132" t="s">
        <v>568</v>
      </c>
      <c r="R8" s="132" t="s">
        <v>569</v>
      </c>
      <c r="S8" s="132" t="s">
        <v>570</v>
      </c>
      <c r="T8" s="132" t="s">
        <v>571</v>
      </c>
      <c r="U8" s="132" t="s">
        <v>572</v>
      </c>
      <c r="V8" s="132" t="s">
        <v>573</v>
      </c>
      <c r="W8" s="132" t="s">
        <v>703</v>
      </c>
      <c r="X8" s="132" t="s">
        <v>704</v>
      </c>
      <c r="Y8" s="132" t="s">
        <v>748</v>
      </c>
      <c r="Z8" s="132" t="s">
        <v>749</v>
      </c>
      <c r="AA8" s="132" t="s">
        <v>750</v>
      </c>
      <c r="AB8" s="134" t="s">
        <v>588</v>
      </c>
      <c r="AC8" s="361" t="s">
        <v>795</v>
      </c>
      <c r="AD8" s="352"/>
    </row>
    <row r="9" spans="1:30" s="452" customFormat="1" ht="24.75" customHeight="1" x14ac:dyDescent="0.25">
      <c r="A9" s="362" t="s">
        <v>574</v>
      </c>
      <c r="B9" s="352"/>
      <c r="C9" s="273">
        <v>-1</v>
      </c>
      <c r="D9" s="273">
        <v>-2</v>
      </c>
      <c r="E9" s="273">
        <v>-3</v>
      </c>
      <c r="F9" s="273">
        <v>-4</v>
      </c>
      <c r="G9" s="273">
        <v>-5</v>
      </c>
      <c r="H9" s="273">
        <v>-6</v>
      </c>
      <c r="I9" s="273">
        <v>-7</v>
      </c>
      <c r="J9" s="273">
        <v>-8</v>
      </c>
      <c r="K9" s="273">
        <v>-9</v>
      </c>
      <c r="L9" s="273">
        <v>-10</v>
      </c>
      <c r="M9" s="273">
        <v>-11</v>
      </c>
      <c r="N9" s="273">
        <v>-12</v>
      </c>
      <c r="O9" s="274">
        <v>-13</v>
      </c>
      <c r="P9" s="273">
        <v>-14</v>
      </c>
      <c r="Q9" s="273">
        <v>-15</v>
      </c>
      <c r="R9" s="273">
        <v>-16</v>
      </c>
      <c r="S9" s="273">
        <v>-17</v>
      </c>
      <c r="T9" s="273">
        <v>-18</v>
      </c>
      <c r="U9" s="273">
        <v>-19</v>
      </c>
      <c r="V9" s="273">
        <v>-20</v>
      </c>
      <c r="W9" s="273">
        <v>-21</v>
      </c>
      <c r="X9" s="273">
        <v>-22</v>
      </c>
      <c r="Y9" s="273">
        <v>-23</v>
      </c>
      <c r="Z9" s="273">
        <v>-24</v>
      </c>
      <c r="AA9" s="273">
        <v>-25</v>
      </c>
      <c r="AB9" s="273">
        <v>-26</v>
      </c>
      <c r="AC9" s="273">
        <v>-27</v>
      </c>
      <c r="AD9" s="273">
        <v>-28</v>
      </c>
    </row>
    <row r="10" spans="1:30" s="452" customFormat="1" ht="24" customHeight="1" x14ac:dyDescent="0.25">
      <c r="A10" s="143" t="s">
        <v>5</v>
      </c>
      <c r="B10" s="71" t="s">
        <v>165</v>
      </c>
      <c r="C10" s="89" t="s">
        <v>108</v>
      </c>
      <c r="D10" s="1249" t="s">
        <v>45</v>
      </c>
      <c r="E10" s="1250"/>
      <c r="F10" s="1250"/>
      <c r="G10" s="1250"/>
      <c r="H10" s="1250"/>
      <c r="I10" s="1250"/>
      <c r="J10" s="1250" t="s">
        <v>581</v>
      </c>
      <c r="K10" s="1250" t="s">
        <v>45</v>
      </c>
      <c r="L10" s="1254"/>
      <c r="M10" s="248"/>
      <c r="N10" s="455">
        <f>SUM(COUNTIF(D10:M10,"X"),COUNTIF(D10:M10,"A"))</f>
        <v>3</v>
      </c>
      <c r="O10" s="456">
        <f>SUM(COUNTIF(D10:M10,"X"),COUNTIF(D10:M10,"B"))</f>
        <v>1</v>
      </c>
      <c r="P10" s="1253" t="s">
        <v>45</v>
      </c>
      <c r="Q10" s="1254" t="s">
        <v>45</v>
      </c>
      <c r="R10" s="1254" t="s">
        <v>45</v>
      </c>
      <c r="S10" s="1254" t="s">
        <v>581</v>
      </c>
      <c r="T10" s="1254"/>
      <c r="U10" s="1254" t="s">
        <v>45</v>
      </c>
      <c r="V10" s="1249" t="s">
        <v>51</v>
      </c>
      <c r="W10" s="831"/>
      <c r="X10" s="831"/>
      <c r="Y10" s="831"/>
      <c r="Z10" s="831"/>
      <c r="AA10" s="831"/>
      <c r="AB10" s="455">
        <f>SUM(COUNTIF(P10:AA10,"X"),COUNTIF(P10:AA10,"A"))</f>
        <v>5</v>
      </c>
      <c r="AC10" s="456">
        <f>SUM(COUNTIF(P10:AA10,"X"),COUNTIF(P10:AA10,"B"))</f>
        <v>2</v>
      </c>
      <c r="AD10" s="408"/>
    </row>
    <row r="11" spans="1:30" s="452" customFormat="1" ht="24" customHeight="1" x14ac:dyDescent="0.25">
      <c r="A11" s="143" t="s">
        <v>6</v>
      </c>
      <c r="B11" s="435" t="s">
        <v>543</v>
      </c>
      <c r="C11" s="454" t="s">
        <v>419</v>
      </c>
      <c r="D11" s="1249" t="s">
        <v>45</v>
      </c>
      <c r="E11" s="1251"/>
      <c r="F11" s="1251"/>
      <c r="G11" s="1251"/>
      <c r="H11" s="1251"/>
      <c r="I11" s="1251"/>
      <c r="J11" s="1251" t="s">
        <v>581</v>
      </c>
      <c r="K11" s="1251" t="s">
        <v>45</v>
      </c>
      <c r="L11" s="1254"/>
      <c r="M11" s="424"/>
      <c r="N11" s="455">
        <f>SUM(COUNTIF(D11:M11,"X"),COUNTIF(D11:M11,"A"))</f>
        <v>3</v>
      </c>
      <c r="O11" s="456">
        <f>SUM(COUNTIF(D11:M11,"X"),COUNTIF(D11:M11,"B"))</f>
        <v>1</v>
      </c>
      <c r="P11" s="1253" t="s">
        <v>45</v>
      </c>
      <c r="Q11" s="1254" t="s">
        <v>45</v>
      </c>
      <c r="R11" s="1254" t="s">
        <v>45</v>
      </c>
      <c r="S11" s="1254" t="s">
        <v>581</v>
      </c>
      <c r="T11" s="1254"/>
      <c r="U11" s="1254" t="s">
        <v>45</v>
      </c>
      <c r="V11" s="1249" t="s">
        <v>51</v>
      </c>
      <c r="W11" s="831"/>
      <c r="X11" s="831"/>
      <c r="Y11" s="831"/>
      <c r="Z11" s="831"/>
      <c r="AA11" s="831"/>
      <c r="AB11" s="455">
        <f>SUM(COUNTIF(P11:AA11,"X"),COUNTIF(P11:AA11,"A"))</f>
        <v>5</v>
      </c>
      <c r="AC11" s="456">
        <f>SUM(COUNTIF(P11:AA11,"X"),COUNTIF(P11:AA11,"B"))</f>
        <v>2</v>
      </c>
      <c r="AD11" s="408"/>
    </row>
    <row r="12" spans="1:30" s="452" customFormat="1" ht="27" customHeight="1" x14ac:dyDescent="0.25">
      <c r="A12" s="143" t="s">
        <v>10</v>
      </c>
      <c r="B12" s="435" t="s">
        <v>550</v>
      </c>
      <c r="C12" s="454" t="s">
        <v>426</v>
      </c>
      <c r="D12" s="1249"/>
      <c r="E12" s="1251"/>
      <c r="F12" s="1251"/>
      <c r="G12" s="1251"/>
      <c r="H12" s="1251"/>
      <c r="I12" s="1251"/>
      <c r="J12" s="1251" t="s">
        <v>581</v>
      </c>
      <c r="K12" s="1251"/>
      <c r="L12" s="1254"/>
      <c r="M12" s="424"/>
      <c r="N12" s="455">
        <f>SUM(COUNTIF(D12:M12,"X"),COUNTIF(D12:M12,"A"))</f>
        <v>1</v>
      </c>
      <c r="O12" s="456">
        <f>SUM(COUNTIF(D12:M12,"X"),COUNTIF(D12:M12,"B"))</f>
        <v>1</v>
      </c>
      <c r="P12" s="1253"/>
      <c r="Q12" s="1254"/>
      <c r="R12" s="1254"/>
      <c r="S12" s="1254" t="s">
        <v>581</v>
      </c>
      <c r="T12" s="1254"/>
      <c r="U12" s="1254" t="s">
        <v>45</v>
      </c>
      <c r="V12" s="1249"/>
      <c r="W12" s="831"/>
      <c r="X12" s="831"/>
      <c r="Y12" s="831"/>
      <c r="Z12" s="831"/>
      <c r="AA12" s="831"/>
      <c r="AB12" s="455">
        <f>SUM(COUNTIF(P12:AA12,"X"),COUNTIF(P12:AA12,"A"))</f>
        <v>2</v>
      </c>
      <c r="AC12" s="456">
        <f>SUM(COUNTIF(P12:AA12,"X"),COUNTIF(P12:AA12,"B"))</f>
        <v>1</v>
      </c>
      <c r="AD12" s="408"/>
    </row>
    <row r="13" spans="1:30" s="452" customFormat="1" ht="27" customHeight="1" x14ac:dyDescent="0.25">
      <c r="A13" s="143" t="s">
        <v>11</v>
      </c>
      <c r="B13" s="71" t="s">
        <v>767</v>
      </c>
      <c r="C13" s="7" t="s">
        <v>768</v>
      </c>
      <c r="D13" s="1249" t="s">
        <v>45</v>
      </c>
      <c r="E13" s="1252"/>
      <c r="F13" s="1251"/>
      <c r="G13" s="1251"/>
      <c r="H13" s="1251" t="s">
        <v>581</v>
      </c>
      <c r="I13" s="1251" t="s">
        <v>45</v>
      </c>
      <c r="J13" s="1251"/>
      <c r="K13" s="1251" t="s">
        <v>45</v>
      </c>
      <c r="L13" s="1254" t="s">
        <v>51</v>
      </c>
      <c r="M13" s="424"/>
      <c r="N13" s="455">
        <f t="shared" ref="N13:N25" si="0">SUM(COUNTIF(D13:M13,"X"),COUNTIF(D13:M13,"A"))</f>
        <v>4</v>
      </c>
      <c r="O13" s="456">
        <f t="shared" ref="O13:O25" si="1">SUM(COUNTIF(D13:M13,"X"),COUNTIF(D13:M13,"B"))</f>
        <v>2</v>
      </c>
      <c r="P13" s="1253"/>
      <c r="Q13" s="1254"/>
      <c r="R13" s="1254" t="s">
        <v>45</v>
      </c>
      <c r="S13" s="1254" t="s">
        <v>581</v>
      </c>
      <c r="T13" s="1254" t="s">
        <v>45</v>
      </c>
      <c r="U13" s="1254"/>
      <c r="V13" s="1249" t="s">
        <v>51</v>
      </c>
      <c r="W13" s="831"/>
      <c r="X13" s="831"/>
      <c r="Y13" s="831"/>
      <c r="Z13" s="831"/>
      <c r="AA13" s="831"/>
      <c r="AB13" s="455">
        <f t="shared" ref="AB13:AB25" si="2">SUM(COUNTIF(P13:AA13,"X"),COUNTIF(P13:AA13,"A"))</f>
        <v>3</v>
      </c>
      <c r="AC13" s="456">
        <f t="shared" ref="AC13:AC25" si="3">SUM(COUNTIF(P13:AA13,"X"),COUNTIF(P13:AA13,"B"))</f>
        <v>2</v>
      </c>
      <c r="AD13" s="408"/>
    </row>
    <row r="14" spans="1:30" s="452" customFormat="1" ht="24" customHeight="1" x14ac:dyDescent="0.25">
      <c r="A14" s="143" t="s">
        <v>12</v>
      </c>
      <c r="B14" s="435" t="s">
        <v>547</v>
      </c>
      <c r="C14" s="454" t="s">
        <v>423</v>
      </c>
      <c r="D14" s="1250" t="s">
        <v>45</v>
      </c>
      <c r="E14" s="1251"/>
      <c r="F14" s="1251"/>
      <c r="G14" s="1251"/>
      <c r="H14" s="1251"/>
      <c r="I14" s="1251"/>
      <c r="J14" s="1251"/>
      <c r="K14" s="1251" t="s">
        <v>45</v>
      </c>
      <c r="L14" s="1254"/>
      <c r="M14" s="424"/>
      <c r="N14" s="455">
        <f>SUM(COUNTIF(D14:M14,"X"),COUNTIF(D14:M14,"A"))</f>
        <v>2</v>
      </c>
      <c r="O14" s="456">
        <f>SUM(COUNTIF(D14:M14,"X"),COUNTIF(D14:M14,"B"))</f>
        <v>0</v>
      </c>
      <c r="P14" s="1253" t="s">
        <v>45</v>
      </c>
      <c r="Q14" s="1254" t="s">
        <v>45</v>
      </c>
      <c r="R14" s="1254"/>
      <c r="S14" s="1254" t="s">
        <v>581</v>
      </c>
      <c r="T14" s="1254"/>
      <c r="U14" s="1254"/>
      <c r="V14" s="1250" t="s">
        <v>51</v>
      </c>
      <c r="W14" s="831"/>
      <c r="X14" s="831"/>
      <c r="Y14" s="831"/>
      <c r="Z14" s="831"/>
      <c r="AA14" s="831"/>
      <c r="AB14" s="455">
        <f>SUM(COUNTIF(P14:AA14,"X"),COUNTIF(P14:AA14,"A"))</f>
        <v>3</v>
      </c>
      <c r="AC14" s="456">
        <f>SUM(COUNTIF(P14:AA14,"X"),COUNTIF(P14:AA14,"B"))</f>
        <v>2</v>
      </c>
      <c r="AD14" s="408"/>
    </row>
    <row r="15" spans="1:30" s="452" customFormat="1" ht="24" customHeight="1" x14ac:dyDescent="0.25">
      <c r="A15" s="143" t="s">
        <v>13</v>
      </c>
      <c r="B15" s="435" t="s">
        <v>541</v>
      </c>
      <c r="C15" s="454" t="s">
        <v>417</v>
      </c>
      <c r="D15" s="1250" t="s">
        <v>45</v>
      </c>
      <c r="E15" s="1251"/>
      <c r="F15" s="1251"/>
      <c r="G15" s="1251"/>
      <c r="H15" s="1251"/>
      <c r="I15" s="1251"/>
      <c r="J15" s="1251"/>
      <c r="K15" s="1251"/>
      <c r="L15" s="1254"/>
      <c r="M15" s="424"/>
      <c r="N15" s="455">
        <f t="shared" ref="N15:N17" si="4">SUM(COUNTIF(D15:M15,"X"),COUNTIF(D15:M15,"A"))</f>
        <v>1</v>
      </c>
      <c r="O15" s="456">
        <f t="shared" ref="O15:O17" si="5">SUM(COUNTIF(D15:M15,"X"),COUNTIF(D15:M15,"B"))</f>
        <v>0</v>
      </c>
      <c r="P15" s="1253"/>
      <c r="Q15" s="1254"/>
      <c r="R15" s="1254" t="s">
        <v>45</v>
      </c>
      <c r="S15" s="1254" t="s">
        <v>581</v>
      </c>
      <c r="T15" s="1254"/>
      <c r="U15" s="1254"/>
      <c r="V15" s="1250" t="s">
        <v>51</v>
      </c>
      <c r="W15" s="831"/>
      <c r="X15" s="831"/>
      <c r="Y15" s="831"/>
      <c r="Z15" s="831"/>
      <c r="AA15" s="831"/>
      <c r="AB15" s="455">
        <f t="shared" ref="AB15:AB17" si="6">SUM(COUNTIF(P15:AA15,"X"),COUNTIF(P15:AA15,"A"))</f>
        <v>2</v>
      </c>
      <c r="AC15" s="456">
        <f t="shared" ref="AC15:AC17" si="7">SUM(COUNTIF(P15:AA15,"X"),COUNTIF(P15:AA15,"B"))</f>
        <v>2</v>
      </c>
      <c r="AD15" s="408"/>
    </row>
    <row r="16" spans="1:30" s="452" customFormat="1" ht="24" customHeight="1" x14ac:dyDescent="0.25">
      <c r="A16" s="143" t="s">
        <v>14</v>
      </c>
      <c r="B16" s="435" t="s">
        <v>542</v>
      </c>
      <c r="C16" s="454" t="s">
        <v>418</v>
      </c>
      <c r="D16" s="1250"/>
      <c r="E16" s="1251"/>
      <c r="F16" s="1251"/>
      <c r="G16" s="1251"/>
      <c r="H16" s="1251"/>
      <c r="I16" s="1251"/>
      <c r="J16" s="1251"/>
      <c r="K16" s="1251"/>
      <c r="L16" s="1254"/>
      <c r="M16" s="424"/>
      <c r="N16" s="455">
        <f t="shared" si="4"/>
        <v>0</v>
      </c>
      <c r="O16" s="456">
        <f t="shared" si="5"/>
        <v>0</v>
      </c>
      <c r="P16" s="1253"/>
      <c r="Q16" s="1254"/>
      <c r="R16" s="1254"/>
      <c r="S16" s="1254" t="s">
        <v>581</v>
      </c>
      <c r="T16" s="1254"/>
      <c r="U16" s="1254"/>
      <c r="V16" s="1250"/>
      <c r="W16" s="831"/>
      <c r="X16" s="831"/>
      <c r="Y16" s="831"/>
      <c r="Z16" s="831"/>
      <c r="AA16" s="831"/>
      <c r="AB16" s="455">
        <f t="shared" si="6"/>
        <v>1</v>
      </c>
      <c r="AC16" s="456">
        <f t="shared" si="7"/>
        <v>1</v>
      </c>
      <c r="AD16" s="408"/>
    </row>
    <row r="17" spans="1:30" s="452" customFormat="1" ht="27" customHeight="1" x14ac:dyDescent="0.25">
      <c r="A17" s="143" t="s">
        <v>15</v>
      </c>
      <c r="B17" s="364" t="s">
        <v>450</v>
      </c>
      <c r="C17" s="143" t="s">
        <v>614</v>
      </c>
      <c r="D17" s="1250" t="s">
        <v>45</v>
      </c>
      <c r="E17" s="1251"/>
      <c r="F17" s="1251"/>
      <c r="G17" s="1251"/>
      <c r="H17" s="1251"/>
      <c r="I17" s="1251"/>
      <c r="J17" s="1251"/>
      <c r="K17" s="1251" t="s">
        <v>45</v>
      </c>
      <c r="L17" s="1254"/>
      <c r="M17" s="424"/>
      <c r="N17" s="455">
        <f t="shared" si="4"/>
        <v>2</v>
      </c>
      <c r="O17" s="456">
        <f t="shared" si="5"/>
        <v>0</v>
      </c>
      <c r="P17" s="1253" t="s">
        <v>45</v>
      </c>
      <c r="Q17" s="1254" t="s">
        <v>45</v>
      </c>
      <c r="R17" s="1254"/>
      <c r="S17" s="1254" t="s">
        <v>581</v>
      </c>
      <c r="T17" s="1254"/>
      <c r="U17" s="1254"/>
      <c r="V17" s="1250" t="s">
        <v>51</v>
      </c>
      <c r="W17" s="831"/>
      <c r="X17" s="831"/>
      <c r="Y17" s="831"/>
      <c r="Z17" s="831"/>
      <c r="AA17" s="831"/>
      <c r="AB17" s="455">
        <f t="shared" si="6"/>
        <v>3</v>
      </c>
      <c r="AC17" s="456">
        <f t="shared" si="7"/>
        <v>2</v>
      </c>
      <c r="AD17" s="408"/>
    </row>
    <row r="18" spans="1:30" s="452" customFormat="1" ht="27" customHeight="1" x14ac:dyDescent="0.25">
      <c r="A18" s="143" t="s">
        <v>16</v>
      </c>
      <c r="B18" s="10" t="s">
        <v>856</v>
      </c>
      <c r="C18" s="185" t="s">
        <v>863</v>
      </c>
      <c r="D18" s="1250"/>
      <c r="E18" s="1251"/>
      <c r="F18" s="1251"/>
      <c r="G18" s="1251"/>
      <c r="H18" s="1251"/>
      <c r="I18" s="1251"/>
      <c r="J18" s="1251" t="s">
        <v>581</v>
      </c>
      <c r="K18" s="1251"/>
      <c r="L18" s="1254"/>
      <c r="M18" s="424"/>
      <c r="N18" s="455">
        <f>SUM(COUNTIF(D18:M18,"X"),COUNTIF(D18:M18,"A"))</f>
        <v>1</v>
      </c>
      <c r="O18" s="456">
        <f>SUM(COUNTIF(D18:M18,"X"),COUNTIF(D18:M18,"B"))</f>
        <v>1</v>
      </c>
      <c r="P18" s="1253"/>
      <c r="Q18" s="1254"/>
      <c r="R18" s="1254"/>
      <c r="S18" s="1254" t="s">
        <v>581</v>
      </c>
      <c r="T18" s="1254"/>
      <c r="U18" s="1254"/>
      <c r="V18" s="1250"/>
      <c r="W18" s="831"/>
      <c r="X18" s="831"/>
      <c r="Y18" s="831"/>
      <c r="Z18" s="831"/>
      <c r="AA18" s="831"/>
      <c r="AB18" s="455">
        <f>SUM(COUNTIF(P18:AA18,"X"),COUNTIF(P18:AA18,"A"))</f>
        <v>1</v>
      </c>
      <c r="AC18" s="456">
        <f>SUM(COUNTIF(P18:AA18,"X"),COUNTIF(P18:AA18,"B"))</f>
        <v>1</v>
      </c>
      <c r="AD18" s="408"/>
    </row>
    <row r="19" spans="1:30" s="452" customFormat="1" ht="27" customHeight="1" x14ac:dyDescent="0.25">
      <c r="A19" s="143" t="s">
        <v>17</v>
      </c>
      <c r="B19" s="10" t="s">
        <v>855</v>
      </c>
      <c r="C19" s="185" t="s">
        <v>862</v>
      </c>
      <c r="D19" s="1249" t="s">
        <v>45</v>
      </c>
      <c r="E19" s="1251"/>
      <c r="F19" s="1251"/>
      <c r="G19" s="1251"/>
      <c r="H19" s="1251"/>
      <c r="I19" s="1251"/>
      <c r="J19" s="1251" t="s">
        <v>581</v>
      </c>
      <c r="K19" s="1251" t="s">
        <v>45</v>
      </c>
      <c r="L19" s="1254"/>
      <c r="M19" s="424"/>
      <c r="N19" s="455">
        <f>SUM(COUNTIF(D19:M19,"X"),COUNTIF(D19:M19,"A"))</f>
        <v>3</v>
      </c>
      <c r="O19" s="456">
        <f>SUM(COUNTIF(D19:M19,"X"),COUNTIF(D19:M19,"B"))</f>
        <v>1</v>
      </c>
      <c r="P19" s="1253" t="s">
        <v>45</v>
      </c>
      <c r="Q19" s="1254"/>
      <c r="R19" s="1254"/>
      <c r="S19" s="1254" t="s">
        <v>581</v>
      </c>
      <c r="T19" s="1254"/>
      <c r="U19" s="1254"/>
      <c r="V19" s="1249" t="s">
        <v>51</v>
      </c>
      <c r="W19" s="831"/>
      <c r="X19" s="831"/>
      <c r="Y19" s="831"/>
      <c r="Z19" s="831"/>
      <c r="AA19" s="831"/>
      <c r="AB19" s="455">
        <f>SUM(COUNTIF(P19:AA19,"X"),COUNTIF(P19:AA19,"A"))</f>
        <v>2</v>
      </c>
      <c r="AC19" s="456">
        <f>SUM(COUNTIF(P19:AA19,"X"),COUNTIF(P19:AA19,"B"))</f>
        <v>2</v>
      </c>
      <c r="AD19" s="408"/>
    </row>
    <row r="20" spans="1:30" s="452" customFormat="1" ht="39.75" customHeight="1" x14ac:dyDescent="0.25">
      <c r="A20" s="143" t="s">
        <v>18</v>
      </c>
      <c r="B20" s="71" t="s">
        <v>769</v>
      </c>
      <c r="C20" s="7" t="s">
        <v>770</v>
      </c>
      <c r="D20" s="1249"/>
      <c r="E20" s="1251"/>
      <c r="F20" s="1251"/>
      <c r="G20" s="1251"/>
      <c r="H20" s="1251"/>
      <c r="I20" s="1251"/>
      <c r="J20" s="1251"/>
      <c r="K20" s="1251"/>
      <c r="L20" s="1254"/>
      <c r="M20" s="424"/>
      <c r="N20" s="455">
        <f t="shared" si="0"/>
        <v>0</v>
      </c>
      <c r="O20" s="456">
        <f t="shared" si="1"/>
        <v>0</v>
      </c>
      <c r="P20" s="1253"/>
      <c r="Q20" s="1254"/>
      <c r="R20" s="1254"/>
      <c r="S20" s="1254"/>
      <c r="T20" s="1254"/>
      <c r="U20" s="1254"/>
      <c r="V20" s="1249"/>
      <c r="W20" s="831"/>
      <c r="X20" s="831"/>
      <c r="Y20" s="831"/>
      <c r="Z20" s="831"/>
      <c r="AA20" s="831"/>
      <c r="AB20" s="455">
        <f t="shared" si="2"/>
        <v>0</v>
      </c>
      <c r="AC20" s="456">
        <f t="shared" si="3"/>
        <v>0</v>
      </c>
      <c r="AD20" s="408"/>
    </row>
    <row r="21" spans="1:30" s="452" customFormat="1" ht="24" customHeight="1" x14ac:dyDescent="0.25">
      <c r="A21" s="143" t="s">
        <v>19</v>
      </c>
      <c r="B21" s="435" t="s">
        <v>544</v>
      </c>
      <c r="C21" s="454" t="s">
        <v>420</v>
      </c>
      <c r="D21" s="1249"/>
      <c r="E21" s="1251"/>
      <c r="F21" s="1251"/>
      <c r="G21" s="1251"/>
      <c r="H21" s="1251" t="s">
        <v>581</v>
      </c>
      <c r="I21" s="1251"/>
      <c r="J21" s="1251"/>
      <c r="K21" s="1251"/>
      <c r="L21" s="1254" t="s">
        <v>51</v>
      </c>
      <c r="M21" s="424"/>
      <c r="N21" s="455">
        <f t="shared" si="0"/>
        <v>1</v>
      </c>
      <c r="O21" s="456">
        <f t="shared" si="1"/>
        <v>2</v>
      </c>
      <c r="P21" s="1253"/>
      <c r="Q21" s="1254"/>
      <c r="R21" s="1254" t="s">
        <v>45</v>
      </c>
      <c r="S21" s="1254" t="s">
        <v>581</v>
      </c>
      <c r="T21" s="1254" t="s">
        <v>45</v>
      </c>
      <c r="U21" s="1254"/>
      <c r="V21" s="1249"/>
      <c r="W21" s="831"/>
      <c r="X21" s="831"/>
      <c r="Y21" s="831"/>
      <c r="Z21" s="831"/>
      <c r="AA21" s="831"/>
      <c r="AB21" s="455">
        <f t="shared" si="2"/>
        <v>3</v>
      </c>
      <c r="AC21" s="456">
        <f t="shared" si="3"/>
        <v>1</v>
      </c>
      <c r="AD21" s="408"/>
    </row>
    <row r="22" spans="1:30" s="452" customFormat="1" ht="24" customHeight="1" x14ac:dyDescent="0.25">
      <c r="A22" s="143" t="s">
        <v>22</v>
      </c>
      <c r="B22" s="435" t="s">
        <v>545</v>
      </c>
      <c r="C22" s="454" t="s">
        <v>421</v>
      </c>
      <c r="D22" s="1250"/>
      <c r="E22" s="1251"/>
      <c r="F22" s="1251"/>
      <c r="G22" s="1251"/>
      <c r="H22" s="1251"/>
      <c r="I22" s="1251"/>
      <c r="J22" s="1251"/>
      <c r="K22" s="1251" t="s">
        <v>45</v>
      </c>
      <c r="L22" s="1254"/>
      <c r="M22" s="424"/>
      <c r="N22" s="455">
        <f t="shared" si="0"/>
        <v>1</v>
      </c>
      <c r="O22" s="456">
        <f t="shared" si="1"/>
        <v>0</v>
      </c>
      <c r="P22" s="1253" t="s">
        <v>45</v>
      </c>
      <c r="Q22" s="1254"/>
      <c r="R22" s="1254"/>
      <c r="S22" s="1254" t="s">
        <v>581</v>
      </c>
      <c r="T22" s="1254"/>
      <c r="U22" s="1254"/>
      <c r="V22" s="1250"/>
      <c r="W22" s="831"/>
      <c r="X22" s="831"/>
      <c r="Y22" s="831"/>
      <c r="Z22" s="831"/>
      <c r="AA22" s="831"/>
      <c r="AB22" s="455">
        <f t="shared" si="2"/>
        <v>2</v>
      </c>
      <c r="AC22" s="456">
        <f t="shared" si="3"/>
        <v>1</v>
      </c>
      <c r="AD22" s="408"/>
    </row>
    <row r="23" spans="1:30" s="452" customFormat="1" ht="24" customHeight="1" x14ac:dyDescent="0.25">
      <c r="A23" s="143" t="s">
        <v>23</v>
      </c>
      <c r="B23" s="435" t="s">
        <v>546</v>
      </c>
      <c r="C23" s="454" t="s">
        <v>422</v>
      </c>
      <c r="D23" s="1249"/>
      <c r="E23" s="1251"/>
      <c r="F23" s="1251"/>
      <c r="G23" s="1251"/>
      <c r="H23" s="1251"/>
      <c r="I23" s="1251"/>
      <c r="J23" s="1251"/>
      <c r="K23" s="1251"/>
      <c r="L23" s="1254"/>
      <c r="M23" s="424"/>
      <c r="N23" s="455">
        <f t="shared" si="0"/>
        <v>0</v>
      </c>
      <c r="O23" s="456">
        <f t="shared" si="1"/>
        <v>0</v>
      </c>
      <c r="P23" s="1253" t="s">
        <v>45</v>
      </c>
      <c r="Q23" s="1254"/>
      <c r="R23" s="1254" t="s">
        <v>45</v>
      </c>
      <c r="S23" s="1254" t="s">
        <v>581</v>
      </c>
      <c r="T23" s="1254"/>
      <c r="U23" s="1254"/>
      <c r="V23" s="1249"/>
      <c r="W23" s="831"/>
      <c r="X23" s="831"/>
      <c r="Y23" s="831"/>
      <c r="Z23" s="831"/>
      <c r="AA23" s="831"/>
      <c r="AB23" s="455">
        <f t="shared" si="2"/>
        <v>3</v>
      </c>
      <c r="AC23" s="456">
        <f t="shared" si="3"/>
        <v>1</v>
      </c>
      <c r="AD23" s="408"/>
    </row>
    <row r="24" spans="1:30" s="452" customFormat="1" ht="24" customHeight="1" x14ac:dyDescent="0.25">
      <c r="A24" s="143" t="s">
        <v>24</v>
      </c>
      <c r="B24" s="435" t="s">
        <v>548</v>
      </c>
      <c r="C24" s="454" t="s">
        <v>424</v>
      </c>
      <c r="D24" s="1252"/>
      <c r="E24" s="1251" t="s">
        <v>581</v>
      </c>
      <c r="F24" s="1251" t="s">
        <v>581</v>
      </c>
      <c r="G24" s="1251" t="s">
        <v>581</v>
      </c>
      <c r="H24" s="1251"/>
      <c r="I24" s="1251"/>
      <c r="J24" s="1251" t="s">
        <v>581</v>
      </c>
      <c r="K24" s="1251"/>
      <c r="L24" s="1254"/>
      <c r="M24" s="424"/>
      <c r="N24" s="455">
        <f t="shared" si="0"/>
        <v>4</v>
      </c>
      <c r="O24" s="456">
        <f t="shared" si="1"/>
        <v>4</v>
      </c>
      <c r="P24" s="1253"/>
      <c r="Q24" s="1254" t="s">
        <v>45</v>
      </c>
      <c r="R24" s="1254"/>
      <c r="S24" s="1254" t="s">
        <v>581</v>
      </c>
      <c r="T24" s="1254"/>
      <c r="U24" s="1254"/>
      <c r="V24" s="1252"/>
      <c r="W24" s="831"/>
      <c r="X24" s="831"/>
      <c r="Y24" s="831"/>
      <c r="Z24" s="831"/>
      <c r="AA24" s="831"/>
      <c r="AB24" s="455">
        <f t="shared" si="2"/>
        <v>2</v>
      </c>
      <c r="AC24" s="456">
        <f t="shared" si="3"/>
        <v>1</v>
      </c>
      <c r="AD24" s="408"/>
    </row>
    <row r="25" spans="1:30" s="452" customFormat="1" ht="24" customHeight="1" x14ac:dyDescent="0.25">
      <c r="A25" s="143" t="s">
        <v>25</v>
      </c>
      <c r="B25" s="435" t="s">
        <v>549</v>
      </c>
      <c r="C25" s="454" t="s">
        <v>425</v>
      </c>
      <c r="D25" s="1252"/>
      <c r="E25" s="1251"/>
      <c r="F25" s="1251"/>
      <c r="G25" s="1251"/>
      <c r="H25" s="1251"/>
      <c r="I25" s="1251"/>
      <c r="J25" s="1251"/>
      <c r="K25" s="1251"/>
      <c r="L25" s="1254"/>
      <c r="M25" s="424"/>
      <c r="N25" s="455">
        <f t="shared" si="0"/>
        <v>0</v>
      </c>
      <c r="O25" s="456">
        <f t="shared" si="1"/>
        <v>0</v>
      </c>
      <c r="P25" s="1253"/>
      <c r="Q25" s="1254"/>
      <c r="R25" s="1254"/>
      <c r="S25" s="1254" t="s">
        <v>581</v>
      </c>
      <c r="T25" s="1254"/>
      <c r="U25" s="1254"/>
      <c r="V25" s="1252"/>
      <c r="W25" s="831"/>
      <c r="X25" s="831"/>
      <c r="Y25" s="831"/>
      <c r="Z25" s="831"/>
      <c r="AA25" s="831"/>
      <c r="AB25" s="455">
        <f t="shared" si="2"/>
        <v>1</v>
      </c>
      <c r="AC25" s="456">
        <f t="shared" si="3"/>
        <v>1</v>
      </c>
      <c r="AD25" s="408"/>
    </row>
    <row r="26" spans="1:30" s="452" customFormat="1" ht="33.75" customHeight="1" x14ac:dyDescent="0.25">
      <c r="A26" s="143" t="s">
        <v>26</v>
      </c>
      <c r="B26" s="1170" t="s">
        <v>1129</v>
      </c>
      <c r="C26" s="454" t="s">
        <v>1130</v>
      </c>
      <c r="D26" s="1252"/>
      <c r="E26" s="1251"/>
      <c r="F26" s="1251"/>
      <c r="G26" s="1251"/>
      <c r="H26" s="1251"/>
      <c r="I26" s="1251"/>
      <c r="J26" s="1251"/>
      <c r="K26" s="1251" t="s">
        <v>45</v>
      </c>
      <c r="L26" s="1254"/>
      <c r="M26" s="424"/>
      <c r="N26" s="455">
        <f>SUM(COUNTIF(D26:M26,"X"),COUNTIF(D26:M26,"A"))</f>
        <v>1</v>
      </c>
      <c r="O26" s="456">
        <f>SUM(COUNTIF(D26:M26,"X"),COUNTIF(D26:M26,"B"))</f>
        <v>0</v>
      </c>
      <c r="P26" s="1253"/>
      <c r="Q26" s="1254"/>
      <c r="R26" s="1254"/>
      <c r="S26" s="1254" t="s">
        <v>581</v>
      </c>
      <c r="T26" s="1254"/>
      <c r="U26" s="1254"/>
      <c r="V26" s="1252"/>
      <c r="W26" s="831"/>
      <c r="X26" s="831"/>
      <c r="Y26" s="831"/>
      <c r="Z26" s="831"/>
      <c r="AA26" s="831"/>
      <c r="AB26" s="455">
        <f>SUM(COUNTIF(P26:AA26,"X"),COUNTIF(P26:AA26,"A"))</f>
        <v>1</v>
      </c>
      <c r="AC26" s="456">
        <f>SUM(COUNTIF(P26:AA26,"X"),COUNTIF(P26:AA26,"B"))</f>
        <v>1</v>
      </c>
      <c r="AD26" s="408"/>
    </row>
    <row r="27" spans="1:30" s="452" customFormat="1" ht="27" customHeight="1" x14ac:dyDescent="0.25">
      <c r="A27" s="143" t="s">
        <v>26</v>
      </c>
      <c r="B27" s="538" t="s">
        <v>815</v>
      </c>
      <c r="C27" s="454" t="s">
        <v>816</v>
      </c>
      <c r="D27" s="1252" t="s">
        <v>45</v>
      </c>
      <c r="E27" s="1251"/>
      <c r="F27" s="1251"/>
      <c r="G27" s="1251"/>
      <c r="H27" s="1251" t="s">
        <v>581</v>
      </c>
      <c r="I27" s="1251"/>
      <c r="J27" s="1251"/>
      <c r="K27" s="1251" t="s">
        <v>45</v>
      </c>
      <c r="L27" s="1254" t="s">
        <v>51</v>
      </c>
      <c r="M27" s="424"/>
      <c r="N27" s="455">
        <f>SUM(COUNTIF(D27:M27,"X"),COUNTIF(D27:M27,"A"))</f>
        <v>3</v>
      </c>
      <c r="O27" s="456">
        <f>SUM(COUNTIF(D27:M27,"X"),COUNTIF(D27:M27,"B"))</f>
        <v>2</v>
      </c>
      <c r="P27" s="1253"/>
      <c r="Q27" s="1254"/>
      <c r="R27" s="1254" t="s">
        <v>45</v>
      </c>
      <c r="S27" s="1254" t="s">
        <v>581</v>
      </c>
      <c r="T27" s="1254" t="s">
        <v>45</v>
      </c>
      <c r="U27" s="1254"/>
      <c r="V27" s="1252" t="s">
        <v>51</v>
      </c>
      <c r="W27" s="831"/>
      <c r="X27" s="831"/>
      <c r="Y27" s="831"/>
      <c r="Z27" s="831"/>
      <c r="AA27" s="831"/>
      <c r="AB27" s="455">
        <f>SUM(COUNTIF(P27:AA27,"X"),COUNTIF(P27:AA27,"A"))</f>
        <v>3</v>
      </c>
      <c r="AC27" s="456">
        <f>SUM(COUNTIF(P27:AA27,"X"),COUNTIF(P27:AA27,"B"))</f>
        <v>2</v>
      </c>
      <c r="AD27" s="408"/>
    </row>
    <row r="28" spans="1:30" ht="20.25" customHeight="1" x14ac:dyDescent="0.25">
      <c r="A28" s="374"/>
      <c r="B28" s="374"/>
      <c r="C28" s="374"/>
      <c r="D28" s="374">
        <f t="shared" ref="D28:M28" si="8">COUNTIF(D10:D27,"X")</f>
        <v>0</v>
      </c>
      <c r="E28" s="374">
        <f t="shared" si="8"/>
        <v>1</v>
      </c>
      <c r="F28" s="374">
        <f t="shared" si="8"/>
        <v>1</v>
      </c>
      <c r="G28" s="374">
        <f t="shared" si="8"/>
        <v>1</v>
      </c>
      <c r="H28" s="374">
        <f t="shared" si="8"/>
        <v>3</v>
      </c>
      <c r="I28" s="374">
        <f t="shared" si="8"/>
        <v>0</v>
      </c>
      <c r="J28" s="374">
        <f t="shared" si="8"/>
        <v>6</v>
      </c>
      <c r="K28" s="374">
        <f t="shared" si="8"/>
        <v>0</v>
      </c>
      <c r="L28" s="374">
        <f t="shared" si="8"/>
        <v>0</v>
      </c>
      <c r="M28" s="374">
        <f t="shared" si="8"/>
        <v>0</v>
      </c>
      <c r="N28" s="374"/>
      <c r="O28" s="374"/>
      <c r="P28" s="374">
        <f t="shared" ref="P28:V28" si="9">COUNTIF(P10:P27,"X")</f>
        <v>0</v>
      </c>
      <c r="Q28" s="374">
        <f t="shared" si="9"/>
        <v>0</v>
      </c>
      <c r="R28" s="374">
        <f t="shared" si="9"/>
        <v>0</v>
      </c>
      <c r="S28" s="374">
        <f t="shared" si="9"/>
        <v>17</v>
      </c>
      <c r="T28" s="374">
        <f t="shared" si="9"/>
        <v>0</v>
      </c>
      <c r="U28" s="374">
        <f t="shared" si="9"/>
        <v>0</v>
      </c>
      <c r="V28" s="374">
        <f t="shared" si="9"/>
        <v>0</v>
      </c>
      <c r="W28" s="832"/>
      <c r="X28" s="832"/>
      <c r="Y28" s="374">
        <f>COUNTIF(Y10:Y27,"X")</f>
        <v>0</v>
      </c>
      <c r="Z28" s="374">
        <f>COUNTIF(Z10:Z27,"X")</f>
        <v>0</v>
      </c>
      <c r="AA28" s="374"/>
      <c r="AB28" s="374"/>
      <c r="AC28" s="374"/>
      <c r="AD28" s="374"/>
    </row>
    <row r="29" spans="1:30" ht="15.75" x14ac:dyDescent="0.25">
      <c r="A29" s="1395" t="s">
        <v>578</v>
      </c>
      <c r="B29" s="1395"/>
      <c r="C29" s="1395"/>
      <c r="D29" s="1395"/>
      <c r="E29" s="1395"/>
      <c r="F29" s="1395"/>
      <c r="G29" s="1395"/>
      <c r="H29" s="1395"/>
      <c r="I29" s="1395"/>
      <c r="J29" s="1395"/>
      <c r="K29" s="1395"/>
      <c r="L29" s="1395"/>
      <c r="M29" s="1395"/>
      <c r="N29" s="1395"/>
      <c r="O29" s="1395"/>
      <c r="P29" s="1395"/>
      <c r="Q29" s="1395"/>
      <c r="R29" s="1395"/>
      <c r="S29" s="1395"/>
      <c r="T29" s="1395"/>
      <c r="U29" s="1395"/>
      <c r="V29" s="1395"/>
      <c r="W29" s="1395"/>
      <c r="X29" s="1395"/>
      <c r="Y29" s="1395"/>
      <c r="Z29" s="1395"/>
      <c r="AA29" s="1395"/>
      <c r="AB29" s="1395"/>
      <c r="AC29" s="1395"/>
      <c r="AD29" s="1395"/>
    </row>
    <row r="30" spans="1:30" ht="17.25" x14ac:dyDescent="0.3">
      <c r="A30" s="375"/>
      <c r="B30" s="375"/>
      <c r="C30" s="375"/>
      <c r="D30" s="376"/>
      <c r="E30" s="376"/>
      <c r="F30" s="376"/>
      <c r="G30" s="376"/>
      <c r="H30" s="376"/>
      <c r="I30" s="376"/>
      <c r="J30" s="376"/>
      <c r="K30" s="376"/>
      <c r="L30" s="377"/>
      <c r="M30" s="377"/>
      <c r="N30" s="377"/>
      <c r="O30" s="377"/>
      <c r="P30" s="224" t="str">
        <f>'K.NHIỆT-LẠNH'!N21</f>
        <v>TP. HCM, ngày 2 tháng 11 năm 2023</v>
      </c>
      <c r="Q30" s="224"/>
      <c r="R30" s="224"/>
      <c r="S30" s="224"/>
      <c r="T30" s="224"/>
      <c r="U30" s="224"/>
      <c r="V30" s="224"/>
      <c r="W30" s="224"/>
      <c r="X30" s="224"/>
      <c r="Y30" s="224"/>
      <c r="Z30" s="224"/>
      <c r="AA30" s="224"/>
      <c r="AB30" s="224"/>
      <c r="AC30" s="224"/>
      <c r="AD30" s="224"/>
    </row>
    <row r="31" spans="1:30" ht="17.25" x14ac:dyDescent="0.3">
      <c r="A31" s="375"/>
      <c r="B31" s="375"/>
      <c r="C31" s="375"/>
      <c r="D31" s="376"/>
      <c r="E31" s="376"/>
      <c r="F31" s="376"/>
      <c r="G31" s="376"/>
      <c r="H31" s="376"/>
      <c r="I31" s="376"/>
      <c r="J31" s="376"/>
      <c r="K31" s="376"/>
      <c r="P31" s="1403" t="s">
        <v>579</v>
      </c>
      <c r="Q31" s="1403"/>
      <c r="R31" s="1403"/>
      <c r="S31" s="1403"/>
      <c r="T31" s="1403"/>
      <c r="U31" s="1403"/>
      <c r="V31" s="1403"/>
      <c r="W31" s="1403"/>
      <c r="X31" s="1403"/>
      <c r="Y31" s="1403"/>
      <c r="Z31" s="1403"/>
      <c r="AA31" s="1403"/>
      <c r="AB31" s="403"/>
      <c r="AC31" s="403"/>
      <c r="AD31" s="403"/>
    </row>
    <row r="32" spans="1:30" ht="18.75" x14ac:dyDescent="0.3">
      <c r="B32" s="381" t="s">
        <v>805</v>
      </c>
      <c r="C32" s="382" t="s">
        <v>802</v>
      </c>
    </row>
    <row r="33" spans="2:30" ht="18.75" x14ac:dyDescent="0.3">
      <c r="B33" s="382" t="s">
        <v>803</v>
      </c>
      <c r="C33" s="382" t="s">
        <v>804</v>
      </c>
    </row>
    <row r="35" spans="2:30" ht="21" customHeight="1" x14ac:dyDescent="0.25">
      <c r="P35" s="1445" t="s">
        <v>540</v>
      </c>
      <c r="Q35" s="1445"/>
      <c r="R35" s="1445"/>
      <c r="S35" s="1445"/>
      <c r="T35" s="1445"/>
      <c r="U35" s="1445"/>
      <c r="V35" s="1445"/>
      <c r="W35" s="1445"/>
      <c r="X35" s="1445"/>
      <c r="Y35" s="1445"/>
      <c r="Z35" s="1445"/>
      <c r="AA35" s="1445"/>
      <c r="AB35" s="457"/>
      <c r="AC35" s="457"/>
      <c r="AD35" s="457"/>
    </row>
  </sheetData>
  <mergeCells count="13">
    <mergeCell ref="A1:C1"/>
    <mergeCell ref="A2:C2"/>
    <mergeCell ref="A3:C3"/>
    <mergeCell ref="P1:AD1"/>
    <mergeCell ref="P2:AD2"/>
    <mergeCell ref="A5:AD5"/>
    <mergeCell ref="P35:AA35"/>
    <mergeCell ref="D7:N7"/>
    <mergeCell ref="A29:AD29"/>
    <mergeCell ref="A7:A8"/>
    <mergeCell ref="B7:C7"/>
    <mergeCell ref="P7:AB7"/>
    <mergeCell ref="P31:AA3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Y18"/>
  <sheetViews>
    <sheetView topLeftCell="A6" workbookViewId="0">
      <selection activeCell="J16" sqref="J16"/>
    </sheetView>
  </sheetViews>
  <sheetFormatPr defaultRowHeight="15" x14ac:dyDescent="0.25"/>
  <cols>
    <col min="1" max="1" width="5.28515625" style="356" customWidth="1"/>
    <col min="2" max="2" width="21.28515625" style="356" customWidth="1"/>
    <col min="3" max="3" width="13.5703125" style="356" customWidth="1"/>
    <col min="4" max="23" width="6.7109375" style="388" customWidth="1"/>
    <col min="24" max="24" width="15.7109375" style="388" customWidth="1"/>
    <col min="25" max="16384" width="9.140625" style="356"/>
  </cols>
  <sheetData>
    <row r="1" spans="1:25" ht="15" customHeight="1" x14ac:dyDescent="0.25">
      <c r="A1" s="1400" t="s">
        <v>559</v>
      </c>
      <c r="B1" s="1400"/>
      <c r="C1" s="1400"/>
      <c r="D1" s="16"/>
      <c r="E1" s="16"/>
      <c r="F1" s="16"/>
      <c r="G1" s="16"/>
      <c r="H1" s="16"/>
      <c r="I1" s="16"/>
      <c r="J1" s="16"/>
      <c r="K1" s="17"/>
      <c r="L1" s="17"/>
      <c r="M1" s="17"/>
      <c r="N1" s="1401" t="s">
        <v>560</v>
      </c>
      <c r="O1" s="1401"/>
      <c r="P1" s="1401"/>
      <c r="Q1" s="1401"/>
      <c r="R1" s="1401"/>
      <c r="S1" s="1401"/>
      <c r="T1" s="1401"/>
      <c r="U1" s="1402"/>
      <c r="V1" s="1402"/>
      <c r="W1" s="1402"/>
      <c r="X1" s="1402"/>
    </row>
    <row r="2" spans="1:25" ht="15" customHeight="1" x14ac:dyDescent="0.25">
      <c r="A2" s="1400" t="s">
        <v>561</v>
      </c>
      <c r="B2" s="1400"/>
      <c r="C2" s="1400"/>
      <c r="D2" s="16"/>
      <c r="E2" s="16"/>
      <c r="F2" s="16"/>
      <c r="G2" s="16"/>
      <c r="H2" s="16"/>
      <c r="I2" s="16"/>
      <c r="J2" s="16"/>
      <c r="K2" s="17"/>
      <c r="L2" s="17"/>
      <c r="M2" s="17"/>
      <c r="N2" s="1401" t="s">
        <v>562</v>
      </c>
      <c r="O2" s="1401"/>
      <c r="P2" s="1401"/>
      <c r="Q2" s="1401"/>
      <c r="R2" s="1401"/>
      <c r="S2" s="1401"/>
      <c r="T2" s="1401"/>
      <c r="U2" s="1401"/>
      <c r="V2" s="1401"/>
      <c r="W2" s="1401"/>
      <c r="X2" s="1401"/>
    </row>
    <row r="3" spans="1:25" ht="15" customHeight="1" x14ac:dyDescent="0.25">
      <c r="A3" s="1401" t="s">
        <v>61</v>
      </c>
      <c r="B3" s="1401"/>
      <c r="C3" s="1401"/>
      <c r="D3" s="16"/>
      <c r="E3" s="16"/>
      <c r="F3" s="16"/>
      <c r="G3" s="16"/>
      <c r="H3" s="16"/>
      <c r="I3" s="16"/>
      <c r="J3" s="16"/>
      <c r="K3" s="17"/>
      <c r="L3" s="17"/>
      <c r="M3" s="17"/>
      <c r="N3" s="17"/>
      <c r="O3" s="17"/>
      <c r="P3" s="17"/>
      <c r="Q3" s="17"/>
      <c r="R3" s="17"/>
      <c r="S3" s="17"/>
      <c r="T3" s="17"/>
      <c r="U3" s="17"/>
      <c r="V3" s="17"/>
      <c r="W3" s="17"/>
      <c r="X3" s="17"/>
    </row>
    <row r="4" spans="1:25" ht="15" customHeight="1" x14ac:dyDescent="0.25">
      <c r="A4" s="18"/>
      <c r="B4" s="18"/>
      <c r="C4" s="18"/>
      <c r="D4" s="16"/>
      <c r="E4" s="16"/>
      <c r="F4" s="16"/>
      <c r="G4" s="16"/>
      <c r="H4" s="16"/>
      <c r="I4" s="16"/>
      <c r="J4" s="16"/>
      <c r="K4" s="17"/>
      <c r="L4" s="17"/>
      <c r="M4" s="17"/>
      <c r="N4" s="17"/>
      <c r="O4" s="17"/>
      <c r="P4" s="17"/>
      <c r="Q4" s="17"/>
      <c r="R4" s="17"/>
      <c r="S4" s="17"/>
      <c r="T4" s="17"/>
      <c r="U4" s="17"/>
      <c r="V4" s="17"/>
      <c r="W4" s="17"/>
      <c r="X4" s="19" t="s">
        <v>563</v>
      </c>
    </row>
    <row r="5" spans="1:25" ht="52.5" customHeight="1" x14ac:dyDescent="0.25">
      <c r="A5" s="1390" t="str">
        <f>'K.KINH TẾ'!A5:AD5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row>
    <row r="7" spans="1:25" ht="33.75" customHeight="1" x14ac:dyDescent="0.25">
      <c r="A7" s="1396" t="s">
        <v>0</v>
      </c>
      <c r="B7" s="1434" t="s">
        <v>564</v>
      </c>
      <c r="C7" s="1435"/>
      <c r="D7" s="1391" t="s">
        <v>110</v>
      </c>
      <c r="E7" s="1392"/>
      <c r="F7" s="1392"/>
      <c r="G7" s="1392"/>
      <c r="H7" s="1392"/>
      <c r="I7" s="1392"/>
      <c r="J7" s="1392"/>
      <c r="K7" s="1392"/>
      <c r="L7" s="358"/>
      <c r="M7" s="358"/>
      <c r="N7" s="1391" t="s">
        <v>565</v>
      </c>
      <c r="O7" s="1392"/>
      <c r="P7" s="1392"/>
      <c r="Q7" s="1392"/>
      <c r="R7" s="1392"/>
      <c r="S7" s="1392"/>
      <c r="T7" s="1392"/>
      <c r="U7" s="1392"/>
      <c r="V7" s="359"/>
      <c r="W7" s="359"/>
      <c r="X7" s="360" t="s">
        <v>4</v>
      </c>
    </row>
    <row r="8" spans="1:25" ht="45.75" customHeight="1" x14ac:dyDescent="0.25">
      <c r="A8" s="1397"/>
      <c r="B8" s="458" t="s">
        <v>461</v>
      </c>
      <c r="C8" s="459" t="s">
        <v>566</v>
      </c>
      <c r="D8" s="212" t="s">
        <v>567</v>
      </c>
      <c r="E8" s="212" t="s">
        <v>568</v>
      </c>
      <c r="F8" s="212" t="s">
        <v>569</v>
      </c>
      <c r="G8" s="212" t="s">
        <v>570</v>
      </c>
      <c r="H8" s="212" t="s">
        <v>571</v>
      </c>
      <c r="I8" s="212" t="s">
        <v>572</v>
      </c>
      <c r="J8" s="212" t="s">
        <v>573</v>
      </c>
      <c r="K8" s="212" t="s">
        <v>703</v>
      </c>
      <c r="L8" s="134" t="s">
        <v>588</v>
      </c>
      <c r="M8" s="361" t="s">
        <v>795</v>
      </c>
      <c r="N8" s="132" t="s">
        <v>567</v>
      </c>
      <c r="O8" s="132" t="s">
        <v>568</v>
      </c>
      <c r="P8" s="132" t="s">
        <v>569</v>
      </c>
      <c r="Q8" s="132" t="s">
        <v>570</v>
      </c>
      <c r="R8" s="132" t="s">
        <v>571</v>
      </c>
      <c r="S8" s="132" t="s">
        <v>572</v>
      </c>
      <c r="T8" s="132" t="s">
        <v>573</v>
      </c>
      <c r="U8" s="132" t="s">
        <v>703</v>
      </c>
      <c r="V8" s="134" t="s">
        <v>588</v>
      </c>
      <c r="W8" s="361" t="s">
        <v>795</v>
      </c>
      <c r="X8" s="360"/>
    </row>
    <row r="9" spans="1:25" ht="24.75" customHeight="1" x14ac:dyDescent="0.25">
      <c r="A9" s="362" t="s">
        <v>574</v>
      </c>
      <c r="B9" s="352"/>
      <c r="C9" s="273">
        <v>-1</v>
      </c>
      <c r="D9" s="273">
        <v>-2</v>
      </c>
      <c r="E9" s="273">
        <v>-3</v>
      </c>
      <c r="F9" s="273">
        <v>-4</v>
      </c>
      <c r="G9" s="273">
        <v>-5</v>
      </c>
      <c r="H9" s="273">
        <v>-6</v>
      </c>
      <c r="I9" s="273">
        <v>-7</v>
      </c>
      <c r="J9" s="273">
        <v>-8</v>
      </c>
      <c r="K9" s="273">
        <v>-9</v>
      </c>
      <c r="L9" s="273">
        <v>-10</v>
      </c>
      <c r="M9" s="274">
        <v>-11</v>
      </c>
      <c r="N9" s="273">
        <v>-12</v>
      </c>
      <c r="O9" s="273">
        <v>-13</v>
      </c>
      <c r="P9" s="273">
        <v>-14</v>
      </c>
      <c r="Q9" s="273">
        <v>-15</v>
      </c>
      <c r="R9" s="273">
        <v>-16</v>
      </c>
      <c r="S9" s="273">
        <v>-17</v>
      </c>
      <c r="T9" s="273">
        <v>-18</v>
      </c>
      <c r="U9" s="273">
        <v>-19</v>
      </c>
      <c r="V9" s="273">
        <v>-20</v>
      </c>
      <c r="W9" s="274">
        <v>-21</v>
      </c>
      <c r="X9" s="273">
        <v>-22</v>
      </c>
      <c r="Y9" s="460"/>
    </row>
    <row r="10" spans="1:25" ht="24" customHeight="1" x14ac:dyDescent="0.25">
      <c r="A10" s="143" t="s">
        <v>5</v>
      </c>
      <c r="B10" s="364" t="s">
        <v>427</v>
      </c>
      <c r="C10" s="364" t="s">
        <v>428</v>
      </c>
      <c r="D10" s="1240" t="s">
        <v>581</v>
      </c>
      <c r="E10" s="1240" t="s">
        <v>581</v>
      </c>
      <c r="F10" s="1240" t="s">
        <v>581</v>
      </c>
      <c r="G10" s="1096"/>
      <c r="H10" s="949"/>
      <c r="I10" s="949"/>
      <c r="J10" s="461"/>
      <c r="K10" s="461"/>
      <c r="L10" s="455">
        <f>SUM(COUNTIF(D10:K10,"X"),COUNTIF(D10:K10,"A"))</f>
        <v>3</v>
      </c>
      <c r="M10" s="456">
        <f>SUM(COUNTIF(D10:K10,"X"),COUNTIF(D10:K10,"B"))</f>
        <v>3</v>
      </c>
      <c r="N10" s="1161" t="s">
        <v>581</v>
      </c>
      <c r="O10" s="1160"/>
      <c r="P10" s="951"/>
      <c r="Q10" s="29"/>
      <c r="R10" s="203"/>
      <c r="S10" s="461"/>
      <c r="T10" s="461"/>
      <c r="U10" s="461"/>
      <c r="V10" s="455">
        <f>SUM(COUNTIF(N10:U10,"X"),COUNTIF(N10:U10,"A"))</f>
        <v>1</v>
      </c>
      <c r="W10" s="456">
        <f>SUM(COUNTIF(N10:U10,"X"),COUNTIF(N10:U10,"B"))</f>
        <v>1</v>
      </c>
      <c r="X10" s="369"/>
    </row>
    <row r="11" spans="1:25" ht="27" customHeight="1" x14ac:dyDescent="0.25">
      <c r="A11" s="143" t="s">
        <v>6</v>
      </c>
      <c r="B11" s="71" t="s">
        <v>756</v>
      </c>
      <c r="C11" s="163" t="s">
        <v>763</v>
      </c>
      <c r="D11" s="1097"/>
      <c r="E11" s="1098"/>
      <c r="F11" s="1098"/>
      <c r="G11" s="1098"/>
      <c r="H11" s="950"/>
      <c r="I11" s="950"/>
      <c r="J11" s="571"/>
      <c r="K11" s="461"/>
      <c r="L11" s="455">
        <f>SUM(COUNTIF(D11:K11,"X"),COUNTIF(D11:K11,"A"))</f>
        <v>0</v>
      </c>
      <c r="M11" s="456">
        <f>SUM(COUNTIF(D11:K11,"X"),COUNTIF(D11:K11,"B"))</f>
        <v>0</v>
      </c>
      <c r="N11" s="1161" t="s">
        <v>581</v>
      </c>
      <c r="O11" s="1160"/>
      <c r="P11" s="951"/>
      <c r="Q11" s="29"/>
      <c r="R11" s="461"/>
      <c r="S11" s="461"/>
      <c r="T11" s="461"/>
      <c r="U11" s="461"/>
      <c r="V11" s="455">
        <f>SUM(COUNTIF(N11:U11,"X"),COUNTIF(N11:U11,"A"))</f>
        <v>1</v>
      </c>
      <c r="W11" s="456">
        <f>SUM(COUNTIF(N11:U11,"X"),COUNTIF(N11:U11,"B"))</f>
        <v>1</v>
      </c>
      <c r="X11" s="369"/>
    </row>
    <row r="12" spans="1:25" ht="27" customHeight="1" x14ac:dyDescent="0.25">
      <c r="A12" s="143" t="s">
        <v>10</v>
      </c>
      <c r="B12" s="364" t="s">
        <v>429</v>
      </c>
      <c r="C12" s="364" t="s">
        <v>430</v>
      </c>
      <c r="D12" s="1097"/>
      <c r="E12" s="1098"/>
      <c r="F12" s="1098"/>
      <c r="G12" s="1098"/>
      <c r="H12" s="950"/>
      <c r="I12" s="950"/>
      <c r="J12" s="461"/>
      <c r="K12" s="461"/>
      <c r="L12" s="455">
        <f>SUM(COUNTIF(D12:K12,"X"),COUNTIF(D12:K12,"A"))</f>
        <v>0</v>
      </c>
      <c r="M12" s="456">
        <f>SUM(COUNTIF(D12:K12,"X"),COUNTIF(D12:K12,"B"))</f>
        <v>0</v>
      </c>
      <c r="N12" s="1161"/>
      <c r="O12" s="1160"/>
      <c r="P12" s="951"/>
      <c r="Q12" s="29"/>
      <c r="R12" s="29"/>
      <c r="S12" s="461"/>
      <c r="T12" s="461"/>
      <c r="U12" s="461"/>
      <c r="V12" s="455">
        <f>SUM(COUNTIF(N12:U12,"X"),COUNTIF(N12:U12,"A"))</f>
        <v>0</v>
      </c>
      <c r="W12" s="456">
        <f>SUM(COUNTIF(N12:U12,"X"),COUNTIF(N12:U12,"B"))</f>
        <v>0</v>
      </c>
      <c r="X12" s="369"/>
    </row>
    <row r="13" spans="1:25" ht="20.25" customHeight="1" x14ac:dyDescent="0.25">
      <c r="A13" s="1411"/>
      <c r="B13" s="1411"/>
      <c r="C13" s="1411"/>
      <c r="D13" s="1411"/>
      <c r="E13" s="1411"/>
      <c r="F13" s="1411"/>
      <c r="G13" s="1411"/>
      <c r="H13" s="1411"/>
      <c r="I13" s="1411"/>
      <c r="J13" s="1411"/>
      <c r="K13" s="1411"/>
      <c r="L13" s="1411"/>
      <c r="M13" s="1411"/>
      <c r="N13" s="1411"/>
      <c r="O13" s="1411"/>
      <c r="P13" s="1411"/>
      <c r="Q13" s="1411"/>
      <c r="R13" s="1411"/>
      <c r="S13" s="1411"/>
      <c r="T13" s="1411"/>
      <c r="U13" s="1411"/>
      <c r="V13" s="1411"/>
      <c r="W13" s="1411"/>
      <c r="X13" s="1411"/>
    </row>
    <row r="14" spans="1:25" ht="15.75" x14ac:dyDescent="0.25">
      <c r="A14" s="1395" t="s">
        <v>578</v>
      </c>
      <c r="B14" s="1395"/>
      <c r="C14" s="1395"/>
      <c r="D14" s="1395"/>
      <c r="E14" s="1395"/>
      <c r="F14" s="1395"/>
      <c r="G14" s="1395"/>
      <c r="H14" s="1395"/>
      <c r="I14" s="1395"/>
      <c r="J14" s="1395"/>
      <c r="K14" s="1395"/>
      <c r="L14" s="1395"/>
      <c r="M14" s="1395"/>
      <c r="N14" s="1395"/>
      <c r="O14" s="1395"/>
      <c r="P14" s="1395"/>
      <c r="Q14" s="1395"/>
      <c r="R14" s="1395"/>
      <c r="S14" s="1395"/>
      <c r="T14" s="1395"/>
      <c r="U14" s="1395"/>
      <c r="V14" s="1395"/>
      <c r="W14" s="1395"/>
      <c r="X14" s="1395"/>
    </row>
    <row r="15" spans="1:25" ht="17.25" x14ac:dyDescent="0.3">
      <c r="A15" s="375"/>
      <c r="B15" s="375"/>
      <c r="C15" s="375"/>
      <c r="D15" s="376"/>
      <c r="E15" s="376"/>
      <c r="F15" s="376"/>
      <c r="G15" s="376"/>
      <c r="H15" s="376"/>
      <c r="I15" s="376"/>
      <c r="J15" s="376"/>
      <c r="K15" s="377"/>
      <c r="L15" s="377"/>
      <c r="M15" s="377"/>
      <c r="N15" s="224"/>
      <c r="O15" s="224"/>
      <c r="P15" s="224" t="str">
        <f>'K.KINH TẾ'!P30</f>
        <v>TP. HCM, ngày 2 tháng 11 năm 2023</v>
      </c>
      <c r="Q15" s="224"/>
      <c r="R15" s="224"/>
      <c r="S15" s="224"/>
      <c r="T15" s="224"/>
      <c r="U15" s="224"/>
      <c r="V15" s="224"/>
      <c r="W15" s="224"/>
      <c r="X15" s="224"/>
    </row>
    <row r="16" spans="1:25" ht="17.25" x14ac:dyDescent="0.3">
      <c r="A16" s="375"/>
      <c r="B16" s="375"/>
      <c r="C16" s="375"/>
      <c r="D16" s="376"/>
      <c r="E16" s="376"/>
      <c r="F16" s="376"/>
      <c r="G16" s="376"/>
      <c r="H16" s="376"/>
      <c r="I16" s="376"/>
      <c r="J16" s="376"/>
      <c r="N16" s="1403" t="s">
        <v>579</v>
      </c>
      <c r="O16" s="1403"/>
      <c r="P16" s="1403"/>
      <c r="Q16" s="1403"/>
      <c r="R16" s="1403"/>
      <c r="S16" s="1403"/>
      <c r="T16" s="1403"/>
      <c r="U16" s="1403"/>
      <c r="V16" s="1403"/>
      <c r="W16" s="1403"/>
      <c r="X16" s="1403"/>
    </row>
    <row r="17" spans="2:3" ht="18.75" x14ac:dyDescent="0.3">
      <c r="B17" s="381" t="s">
        <v>805</v>
      </c>
      <c r="C17" s="382" t="s">
        <v>802</v>
      </c>
    </row>
    <row r="18" spans="2:3" ht="18.75" x14ac:dyDescent="0.3">
      <c r="B18" s="382" t="s">
        <v>803</v>
      </c>
      <c r="C18" s="382" t="s">
        <v>804</v>
      </c>
    </row>
  </sheetData>
  <mergeCells count="13">
    <mergeCell ref="N16:X16"/>
    <mergeCell ref="A7:A8"/>
    <mergeCell ref="B7:C7"/>
    <mergeCell ref="D7:K7"/>
    <mergeCell ref="N7:U7"/>
    <mergeCell ref="A13:X13"/>
    <mergeCell ref="A14:X14"/>
    <mergeCell ref="A5:X5"/>
    <mergeCell ref="A1:C1"/>
    <mergeCell ref="N1:X1"/>
    <mergeCell ref="A2:C2"/>
    <mergeCell ref="N2:X2"/>
    <mergeCell ref="A3:C3"/>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A25"/>
  <sheetViews>
    <sheetView showZeros="0" topLeftCell="A7" workbookViewId="0">
      <selection activeCell="Q10" sqref="Q10:S17"/>
    </sheetView>
  </sheetViews>
  <sheetFormatPr defaultRowHeight="15" x14ac:dyDescent="0.25"/>
  <cols>
    <col min="1" max="1" width="5.28515625" style="356" customWidth="1"/>
    <col min="2" max="2" width="22" style="356" customWidth="1"/>
    <col min="3" max="3" width="14.7109375" style="356" customWidth="1"/>
    <col min="4" max="13" width="6.7109375" style="356" customWidth="1"/>
    <col min="14" max="26" width="6.7109375" style="388" customWidth="1"/>
    <col min="27" max="27" width="10" style="388" customWidth="1"/>
    <col min="28" max="16384" width="9.140625" style="356"/>
  </cols>
  <sheetData>
    <row r="1" spans="1:27" ht="15.75" x14ac:dyDescent="0.25">
      <c r="A1" s="1400" t="s">
        <v>559</v>
      </c>
      <c r="B1" s="1400"/>
      <c r="C1" s="1400"/>
      <c r="D1" s="1400"/>
      <c r="E1" s="1400"/>
      <c r="F1" s="1400"/>
      <c r="G1" s="1400"/>
      <c r="H1" s="1400"/>
      <c r="I1" s="1400"/>
      <c r="J1" s="1400"/>
      <c r="K1" s="1400"/>
      <c r="L1" s="1400"/>
      <c r="M1" s="1400"/>
      <c r="N1" s="1400"/>
      <c r="O1" s="36"/>
      <c r="P1" s="36"/>
      <c r="Q1" s="1401" t="s">
        <v>560</v>
      </c>
      <c r="R1" s="1401"/>
      <c r="S1" s="1401"/>
      <c r="T1" s="1401"/>
      <c r="U1" s="1401"/>
      <c r="V1" s="1401"/>
      <c r="W1" s="1401"/>
      <c r="X1" s="1402"/>
      <c r="Y1" s="1402"/>
      <c r="Z1" s="1402"/>
      <c r="AA1" s="1402"/>
    </row>
    <row r="2" spans="1:27" ht="15.75" x14ac:dyDescent="0.25">
      <c r="A2" s="1400" t="s">
        <v>561</v>
      </c>
      <c r="B2" s="1400"/>
      <c r="C2" s="1400"/>
      <c r="D2" s="1400"/>
      <c r="E2" s="1400"/>
      <c r="F2" s="1400"/>
      <c r="G2" s="1400"/>
      <c r="H2" s="1400"/>
      <c r="I2" s="1400"/>
      <c r="J2" s="1400"/>
      <c r="K2" s="1400"/>
      <c r="L2" s="1400"/>
      <c r="M2" s="1400"/>
      <c r="N2" s="1400"/>
      <c r="O2" s="36"/>
      <c r="P2" s="36"/>
      <c r="Q2" s="1401" t="s">
        <v>562</v>
      </c>
      <c r="R2" s="1401"/>
      <c r="S2" s="1401"/>
      <c r="T2" s="1401"/>
      <c r="U2" s="1401"/>
      <c r="V2" s="1401"/>
      <c r="W2" s="1401"/>
      <c r="X2" s="1401"/>
      <c r="Y2" s="1401"/>
      <c r="Z2" s="1401"/>
      <c r="AA2" s="1401"/>
    </row>
    <row r="3" spans="1:27" ht="15.75" x14ac:dyDescent="0.25">
      <c r="A3" s="1401" t="s">
        <v>55</v>
      </c>
      <c r="B3" s="1401"/>
      <c r="C3" s="1401"/>
      <c r="D3" s="1401"/>
      <c r="E3" s="1401"/>
      <c r="F3" s="1401"/>
      <c r="G3" s="1401"/>
      <c r="H3" s="1401"/>
      <c r="I3" s="1401"/>
      <c r="J3" s="1401"/>
      <c r="K3" s="1401"/>
      <c r="L3" s="1401"/>
      <c r="M3" s="1401"/>
      <c r="N3" s="1401"/>
      <c r="O3" s="17"/>
      <c r="P3" s="17"/>
      <c r="Q3" s="17"/>
      <c r="R3" s="17"/>
      <c r="S3" s="17"/>
      <c r="T3" s="17"/>
      <c r="U3" s="17"/>
      <c r="V3" s="17"/>
      <c r="W3" s="17"/>
      <c r="X3" s="17"/>
      <c r="Y3" s="17"/>
      <c r="Z3" s="17"/>
      <c r="AA3" s="17"/>
    </row>
    <row r="4" spans="1:27" ht="15.75" x14ac:dyDescent="0.25">
      <c r="A4" s="18"/>
      <c r="B4" s="18"/>
      <c r="C4" s="18"/>
      <c r="D4" s="18"/>
      <c r="E4" s="18"/>
      <c r="F4" s="18"/>
      <c r="G4" s="18"/>
      <c r="H4" s="18"/>
      <c r="I4" s="701"/>
      <c r="J4" s="701"/>
      <c r="K4" s="701"/>
      <c r="L4" s="18"/>
      <c r="M4" s="18"/>
      <c r="N4" s="16"/>
      <c r="O4" s="17"/>
      <c r="P4" s="17"/>
      <c r="Q4" s="17"/>
      <c r="R4" s="17"/>
      <c r="S4" s="17"/>
      <c r="T4" s="17"/>
      <c r="U4" s="17"/>
      <c r="V4" s="17"/>
      <c r="W4" s="17"/>
      <c r="X4" s="17"/>
      <c r="Y4" s="17"/>
      <c r="Z4" s="17"/>
      <c r="AA4" s="52"/>
    </row>
    <row r="5" spans="1:27" ht="20.25" x14ac:dyDescent="0.25">
      <c r="A5" s="1390" t="str">
        <f>'K.XÂY DỰNG'!A5:X5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row>
    <row r="7" spans="1:27" ht="16.5" customHeight="1" x14ac:dyDescent="0.25">
      <c r="A7" s="1396" t="s">
        <v>0</v>
      </c>
      <c r="B7" s="1409" t="s">
        <v>564</v>
      </c>
      <c r="C7" s="1409"/>
      <c r="D7" s="1391" t="s">
        <v>110</v>
      </c>
      <c r="E7" s="1392"/>
      <c r="F7" s="1392"/>
      <c r="G7" s="1392"/>
      <c r="H7" s="1392"/>
      <c r="I7" s="1449"/>
      <c r="J7" s="1449"/>
      <c r="K7" s="1449"/>
      <c r="L7" s="1392"/>
      <c r="M7" s="1392"/>
      <c r="N7" s="1392"/>
      <c r="O7" s="1393"/>
      <c r="P7" s="358"/>
      <c r="Q7" s="1391" t="s">
        <v>565</v>
      </c>
      <c r="R7" s="1392"/>
      <c r="S7" s="1392"/>
      <c r="T7" s="1392"/>
      <c r="U7" s="1392"/>
      <c r="V7" s="1392"/>
      <c r="W7" s="1392"/>
      <c r="X7" s="1392"/>
      <c r="Y7" s="1393"/>
      <c r="Z7" s="359"/>
      <c r="AA7" s="360" t="s">
        <v>4</v>
      </c>
    </row>
    <row r="8" spans="1:27" ht="24" x14ac:dyDescent="0.25">
      <c r="A8" s="1397"/>
      <c r="B8" s="438" t="s">
        <v>461</v>
      </c>
      <c r="C8" s="462" t="s">
        <v>566</v>
      </c>
      <c r="D8" s="212" t="s">
        <v>567</v>
      </c>
      <c r="E8" s="212" t="s">
        <v>568</v>
      </c>
      <c r="F8" s="212" t="s">
        <v>569</v>
      </c>
      <c r="G8" s="212" t="s">
        <v>570</v>
      </c>
      <c r="H8" s="212" t="s">
        <v>571</v>
      </c>
      <c r="I8" s="212" t="s">
        <v>572</v>
      </c>
      <c r="J8" s="212" t="s">
        <v>573</v>
      </c>
      <c r="K8" s="212" t="s">
        <v>703</v>
      </c>
      <c r="L8" s="212" t="s">
        <v>704</v>
      </c>
      <c r="M8" s="212" t="s">
        <v>748</v>
      </c>
      <c r="N8" s="212" t="s">
        <v>749</v>
      </c>
      <c r="O8" s="134" t="s">
        <v>588</v>
      </c>
      <c r="P8" s="361" t="s">
        <v>795</v>
      </c>
      <c r="Q8" s="132" t="s">
        <v>567</v>
      </c>
      <c r="R8" s="132" t="s">
        <v>568</v>
      </c>
      <c r="S8" s="132" t="s">
        <v>569</v>
      </c>
      <c r="T8" s="132" t="s">
        <v>570</v>
      </c>
      <c r="U8" s="132" t="s">
        <v>571</v>
      </c>
      <c r="V8" s="132" t="s">
        <v>572</v>
      </c>
      <c r="W8" s="132" t="s">
        <v>573</v>
      </c>
      <c r="X8" s="132" t="s">
        <v>703</v>
      </c>
      <c r="Y8" s="134" t="s">
        <v>588</v>
      </c>
      <c r="Z8" s="361" t="s">
        <v>795</v>
      </c>
      <c r="AA8" s="360"/>
    </row>
    <row r="9" spans="1:27" ht="15.75" x14ac:dyDescent="0.25">
      <c r="A9" s="362" t="s">
        <v>574</v>
      </c>
      <c r="B9" s="352"/>
      <c r="C9" s="273">
        <v>-1</v>
      </c>
      <c r="D9" s="273">
        <v>-2</v>
      </c>
      <c r="E9" s="273">
        <v>-3</v>
      </c>
      <c r="F9" s="273">
        <v>-4</v>
      </c>
      <c r="G9" s="273">
        <v>-5</v>
      </c>
      <c r="H9" s="273">
        <v>-6</v>
      </c>
      <c r="I9" s="273">
        <v>-7</v>
      </c>
      <c r="J9" s="273">
        <v>-8</v>
      </c>
      <c r="K9" s="273">
        <v>-9</v>
      </c>
      <c r="L9" s="273">
        <v>-10</v>
      </c>
      <c r="M9" s="273">
        <v>-11</v>
      </c>
      <c r="N9" s="273">
        <v>-12</v>
      </c>
      <c r="O9" s="273">
        <v>-13</v>
      </c>
      <c r="P9" s="273">
        <v>-14</v>
      </c>
      <c r="Q9" s="273">
        <v>-15</v>
      </c>
      <c r="R9" s="273">
        <v>-16</v>
      </c>
      <c r="S9" s="273">
        <v>-17</v>
      </c>
      <c r="T9" s="273">
        <v>-18</v>
      </c>
      <c r="U9" s="273">
        <v>-19</v>
      </c>
      <c r="V9" s="273">
        <v>-20</v>
      </c>
      <c r="W9" s="273">
        <v>-21</v>
      </c>
      <c r="X9" s="273">
        <v>-22</v>
      </c>
      <c r="Y9" s="273">
        <v>-23</v>
      </c>
      <c r="Z9" s="273">
        <v>-24</v>
      </c>
      <c r="AA9" s="273">
        <v>-25</v>
      </c>
    </row>
    <row r="10" spans="1:27" ht="15.75" x14ac:dyDescent="0.25">
      <c r="A10" s="143" t="s">
        <v>5</v>
      </c>
      <c r="B10" s="9" t="s">
        <v>462</v>
      </c>
      <c r="C10" s="14" t="s">
        <v>463</v>
      </c>
      <c r="D10" s="1257" t="s">
        <v>581</v>
      </c>
      <c r="E10" s="1257" t="s">
        <v>581</v>
      </c>
      <c r="F10" s="1257"/>
      <c r="G10" s="1257" t="s">
        <v>581</v>
      </c>
      <c r="H10" s="1257" t="s">
        <v>581</v>
      </c>
      <c r="I10" s="1255" t="s">
        <v>581</v>
      </c>
      <c r="J10" s="711"/>
      <c r="K10" s="711"/>
      <c r="L10" s="711"/>
      <c r="M10" s="463"/>
      <c r="N10" s="463"/>
      <c r="O10" s="455">
        <f>SUM(COUNTIF(D10:N10,"X"),COUNTIF(D10:N10,"A"))</f>
        <v>5</v>
      </c>
      <c r="P10" s="456">
        <f>SUM(COUNTIF(D10:N10,"X"),COUNTIF(D10:N10,"B"))</f>
        <v>5</v>
      </c>
      <c r="Q10" s="1256"/>
      <c r="R10" s="1256" t="s">
        <v>581</v>
      </c>
      <c r="S10" s="1256"/>
      <c r="T10" s="1131"/>
      <c r="U10" s="1131"/>
      <c r="V10" s="464"/>
      <c r="W10" s="463"/>
      <c r="X10" s="465"/>
      <c r="Y10" s="455">
        <f>SUM(COUNTIF(Q10:X10,"X"),COUNTIF(Q10:X10,"A"))</f>
        <v>1</v>
      </c>
      <c r="Z10" s="456">
        <f>SUM(COUNTIF(Q10:X10,"X"),COUNTIF(Q10:X10,"B"))</f>
        <v>1</v>
      </c>
      <c r="AA10" s="466"/>
    </row>
    <row r="11" spans="1:27" ht="15.75" x14ac:dyDescent="0.25">
      <c r="A11" s="143" t="s">
        <v>6</v>
      </c>
      <c r="B11" s="364" t="s">
        <v>432</v>
      </c>
      <c r="C11" s="400" t="s">
        <v>602</v>
      </c>
      <c r="D11" s="1257"/>
      <c r="E11" s="1257"/>
      <c r="F11" s="1257"/>
      <c r="G11" s="1257"/>
      <c r="H11" s="1258"/>
      <c r="I11" s="1259"/>
      <c r="J11" s="711"/>
      <c r="K11" s="711"/>
      <c r="L11" s="711"/>
      <c r="M11" s="463"/>
      <c r="N11" s="426"/>
      <c r="O11" s="455">
        <f t="shared" ref="O11:O17" si="0">SUM(COUNTIF(D11:N11,"X"),COUNTIF(D11:N11,"A"))</f>
        <v>0</v>
      </c>
      <c r="P11" s="456">
        <f t="shared" ref="P11:P17" si="1">SUM(COUNTIF(D11:N11,"X"),COUNTIF(D11:N11,"B"))</f>
        <v>0</v>
      </c>
      <c r="Q11" s="1256"/>
      <c r="R11" s="1256" t="s">
        <v>581</v>
      </c>
      <c r="S11" s="1256"/>
      <c r="T11" s="1131"/>
      <c r="U11" s="1131"/>
      <c r="V11" s="467"/>
      <c r="W11" s="463"/>
      <c r="X11" s="467"/>
      <c r="Y11" s="455">
        <f t="shared" ref="Y11:Y17" si="2">SUM(COUNTIF(Q11:X11,"X"),COUNTIF(Q11:X11,"A"))</f>
        <v>1</v>
      </c>
      <c r="Z11" s="456">
        <f t="shared" ref="Z11:Z17" si="3">SUM(COUNTIF(Q11:X11,"X"),COUNTIF(Q11:X11,"B"))</f>
        <v>1</v>
      </c>
      <c r="AA11" s="466"/>
    </row>
    <row r="12" spans="1:27" ht="15.75" x14ac:dyDescent="0.25">
      <c r="A12" s="143" t="s">
        <v>10</v>
      </c>
      <c r="B12" s="364" t="s">
        <v>433</v>
      </c>
      <c r="C12" s="400" t="s">
        <v>603</v>
      </c>
      <c r="D12" s="1257"/>
      <c r="E12" s="1257"/>
      <c r="F12" s="1257" t="s">
        <v>581</v>
      </c>
      <c r="G12" s="1257"/>
      <c r="H12" s="1258"/>
      <c r="I12" s="1259"/>
      <c r="J12" s="711"/>
      <c r="K12" s="711"/>
      <c r="L12" s="711"/>
      <c r="M12" s="463"/>
      <c r="N12" s="426"/>
      <c r="O12" s="455">
        <f t="shared" si="0"/>
        <v>1</v>
      </c>
      <c r="P12" s="456">
        <f t="shared" si="1"/>
        <v>1</v>
      </c>
      <c r="Q12" s="1256" t="s">
        <v>581</v>
      </c>
      <c r="R12" s="1256"/>
      <c r="S12" s="1256" t="s">
        <v>581</v>
      </c>
      <c r="T12" s="1131"/>
      <c r="U12" s="1131"/>
      <c r="V12" s="466"/>
      <c r="W12" s="425"/>
      <c r="X12" s="466"/>
      <c r="Y12" s="455">
        <f t="shared" si="2"/>
        <v>2</v>
      </c>
      <c r="Z12" s="456">
        <f t="shared" si="3"/>
        <v>2</v>
      </c>
      <c r="AA12" s="466"/>
    </row>
    <row r="13" spans="1:27" ht="15.75" x14ac:dyDescent="0.25">
      <c r="A13" s="143" t="s">
        <v>11</v>
      </c>
      <c r="B13" s="364" t="s">
        <v>434</v>
      </c>
      <c r="C13" s="400" t="s">
        <v>604</v>
      </c>
      <c r="D13" s="1258"/>
      <c r="E13" s="1258"/>
      <c r="F13" s="1258"/>
      <c r="G13" s="1258" t="s">
        <v>581</v>
      </c>
      <c r="H13" s="1258"/>
      <c r="I13" s="1259"/>
      <c r="J13" s="712"/>
      <c r="K13" s="712"/>
      <c r="L13" s="712"/>
      <c r="M13" s="463"/>
      <c r="N13" s="426"/>
      <c r="O13" s="455">
        <f t="shared" si="0"/>
        <v>1</v>
      </c>
      <c r="P13" s="456">
        <f t="shared" si="1"/>
        <v>1</v>
      </c>
      <c r="Q13" s="1256" t="s">
        <v>581</v>
      </c>
      <c r="R13" s="1256"/>
      <c r="S13" s="1256"/>
      <c r="T13" s="1131"/>
      <c r="U13" s="1131"/>
      <c r="V13" s="469"/>
      <c r="W13" s="468"/>
      <c r="X13" s="469"/>
      <c r="Y13" s="455">
        <f t="shared" si="2"/>
        <v>1</v>
      </c>
      <c r="Z13" s="456">
        <f t="shared" si="3"/>
        <v>1</v>
      </c>
      <c r="AA13" s="466"/>
    </row>
    <row r="14" spans="1:27" ht="15.75" x14ac:dyDescent="0.25">
      <c r="A14" s="362" t="s">
        <v>577</v>
      </c>
      <c r="B14" s="364"/>
      <c r="C14" s="364"/>
      <c r="D14" s="1260"/>
      <c r="E14" s="1260"/>
      <c r="F14" s="1260"/>
      <c r="G14" s="1260"/>
      <c r="H14" s="1259"/>
      <c r="I14" s="1259"/>
      <c r="J14" s="713"/>
      <c r="K14" s="713"/>
      <c r="L14" s="713"/>
      <c r="M14" s="364"/>
      <c r="N14" s="425"/>
      <c r="O14" s="455">
        <f t="shared" si="0"/>
        <v>0</v>
      </c>
      <c r="P14" s="456">
        <f t="shared" si="1"/>
        <v>0</v>
      </c>
      <c r="Q14" s="1256"/>
      <c r="R14" s="1256"/>
      <c r="S14" s="1256"/>
      <c r="T14" s="1131"/>
      <c r="U14" s="1131"/>
      <c r="V14" s="397"/>
      <c r="W14" s="426"/>
      <c r="X14" s="397"/>
      <c r="Y14" s="455">
        <f t="shared" si="2"/>
        <v>0</v>
      </c>
      <c r="Z14" s="456">
        <f t="shared" si="3"/>
        <v>0</v>
      </c>
      <c r="AA14" s="466"/>
    </row>
    <row r="15" spans="1:27" ht="15.75" x14ac:dyDescent="0.25">
      <c r="A15" s="143" t="s">
        <v>5</v>
      </c>
      <c r="B15" s="364" t="s">
        <v>435</v>
      </c>
      <c r="C15" s="400" t="s">
        <v>605</v>
      </c>
      <c r="D15" s="1258"/>
      <c r="E15" s="1258"/>
      <c r="F15" s="1258"/>
      <c r="G15" s="1258"/>
      <c r="H15" s="1258" t="s">
        <v>581</v>
      </c>
      <c r="I15" s="1261"/>
      <c r="J15" s="712"/>
      <c r="K15" s="712"/>
      <c r="L15" s="712"/>
      <c r="M15" s="143"/>
      <c r="N15" s="227"/>
      <c r="O15" s="455">
        <f t="shared" si="0"/>
        <v>1</v>
      </c>
      <c r="P15" s="456">
        <f t="shared" si="1"/>
        <v>1</v>
      </c>
      <c r="Q15" s="1256" t="s">
        <v>581</v>
      </c>
      <c r="R15" s="1256"/>
      <c r="S15" s="1256"/>
      <c r="T15" s="1131"/>
      <c r="U15" s="1131"/>
      <c r="V15" s="466"/>
      <c r="W15" s="425"/>
      <c r="X15" s="466"/>
      <c r="Y15" s="455">
        <f t="shared" si="2"/>
        <v>1</v>
      </c>
      <c r="Z15" s="456">
        <f t="shared" si="3"/>
        <v>1</v>
      </c>
      <c r="AA15" s="466"/>
    </row>
    <row r="16" spans="1:27" ht="15.75" x14ac:dyDescent="0.25">
      <c r="A16" s="143" t="s">
        <v>6</v>
      </c>
      <c r="B16" s="364" t="s">
        <v>436</v>
      </c>
      <c r="C16" s="400" t="s">
        <v>606</v>
      </c>
      <c r="D16" s="1129"/>
      <c r="E16" s="1129"/>
      <c r="F16" s="1129"/>
      <c r="G16" s="1129"/>
      <c r="H16" s="1129"/>
      <c r="I16" s="1130"/>
      <c r="J16" s="712"/>
      <c r="K16" s="712"/>
      <c r="L16" s="712"/>
      <c r="M16" s="143"/>
      <c r="N16" s="227"/>
      <c r="O16" s="455">
        <f t="shared" si="0"/>
        <v>0</v>
      </c>
      <c r="P16" s="456">
        <f t="shared" si="1"/>
        <v>0</v>
      </c>
      <c r="Q16" s="1256" t="s">
        <v>581</v>
      </c>
      <c r="R16" s="1256"/>
      <c r="S16" s="1256"/>
      <c r="T16" s="1131"/>
      <c r="U16" s="1131"/>
      <c r="V16" s="466"/>
      <c r="W16" s="425"/>
      <c r="X16" s="466"/>
      <c r="Y16" s="455">
        <f t="shared" si="2"/>
        <v>1</v>
      </c>
      <c r="Z16" s="456">
        <f t="shared" si="3"/>
        <v>1</v>
      </c>
      <c r="AA16" s="214"/>
    </row>
    <row r="17" spans="1:27" ht="15.75" x14ac:dyDescent="0.25">
      <c r="A17" s="143" t="s">
        <v>10</v>
      </c>
      <c r="B17" s="364" t="s">
        <v>437</v>
      </c>
      <c r="C17" s="400" t="s">
        <v>607</v>
      </c>
      <c r="D17" s="1129"/>
      <c r="E17" s="1129"/>
      <c r="F17" s="1129"/>
      <c r="G17" s="1129"/>
      <c r="H17" s="1129"/>
      <c r="I17" s="1130"/>
      <c r="J17" s="712"/>
      <c r="K17" s="712"/>
      <c r="L17" s="712"/>
      <c r="M17" s="143"/>
      <c r="N17" s="227"/>
      <c r="O17" s="455">
        <f t="shared" si="0"/>
        <v>0</v>
      </c>
      <c r="P17" s="456">
        <f t="shared" si="1"/>
        <v>0</v>
      </c>
      <c r="Q17" s="1256" t="s">
        <v>581</v>
      </c>
      <c r="R17" s="1256"/>
      <c r="S17" s="1256" t="s">
        <v>581</v>
      </c>
      <c r="T17" s="1131"/>
      <c r="U17" s="1131"/>
      <c r="V17" s="469"/>
      <c r="W17" s="470"/>
      <c r="X17" s="469"/>
      <c r="Y17" s="455">
        <f t="shared" si="2"/>
        <v>2</v>
      </c>
      <c r="Z17" s="456">
        <f t="shared" si="3"/>
        <v>2</v>
      </c>
      <c r="AA17" s="466"/>
    </row>
    <row r="18" spans="1:27" ht="15.75" x14ac:dyDescent="0.25">
      <c r="A18" s="374"/>
      <c r="B18" s="374"/>
      <c r="C18" s="374"/>
      <c r="D18" s="374"/>
      <c r="E18" s="374"/>
      <c r="F18" s="374"/>
      <c r="G18" s="374"/>
      <c r="H18" s="374"/>
      <c r="I18" s="714"/>
      <c r="J18" s="714"/>
      <c r="K18" s="714"/>
      <c r="L18" s="374"/>
      <c r="M18" s="374"/>
      <c r="N18" s="374"/>
      <c r="O18" s="374"/>
      <c r="P18" s="374"/>
      <c r="Q18" s="374"/>
      <c r="R18" s="374"/>
      <c r="S18" s="374"/>
      <c r="T18" s="374"/>
      <c r="U18" s="374"/>
      <c r="V18" s="374"/>
      <c r="W18" s="374"/>
      <c r="X18" s="374"/>
      <c r="Y18" s="374"/>
      <c r="Z18" s="374"/>
      <c r="AA18" s="374"/>
    </row>
    <row r="19" spans="1:27" ht="16.5" x14ac:dyDescent="0.25">
      <c r="A19" s="1395" t="s">
        <v>578</v>
      </c>
      <c r="B19" s="1395"/>
      <c r="C19" s="1395"/>
      <c r="D19" s="1395"/>
      <c r="E19" s="1395"/>
      <c r="F19" s="1395"/>
      <c r="G19" s="1395"/>
      <c r="H19" s="1395"/>
      <c r="I19" s="1395"/>
      <c r="J19" s="1395"/>
      <c r="K19" s="1395"/>
      <c r="L19" s="1395"/>
      <c r="M19" s="1395"/>
      <c r="N19" s="1395"/>
      <c r="O19" s="1395"/>
      <c r="P19" s="1395"/>
      <c r="Q19" s="1395"/>
      <c r="R19" s="1395"/>
      <c r="S19" s="1395"/>
      <c r="T19" s="1395"/>
      <c r="U19" s="1395"/>
      <c r="V19" s="1395"/>
      <c r="W19" s="1395"/>
      <c r="X19" s="1395"/>
      <c r="Y19" s="224"/>
      <c r="Z19" s="224"/>
      <c r="AA19" s="224"/>
    </row>
    <row r="20" spans="1:27" ht="17.25" x14ac:dyDescent="0.3">
      <c r="A20" s="375"/>
      <c r="B20" s="375"/>
      <c r="C20" s="375"/>
      <c r="D20" s="376"/>
      <c r="E20" s="376"/>
      <c r="F20" s="376"/>
      <c r="G20" s="376"/>
      <c r="H20" s="376"/>
      <c r="I20" s="376"/>
      <c r="J20" s="376"/>
      <c r="K20" s="376"/>
      <c r="L20" s="377"/>
      <c r="M20" s="377"/>
      <c r="N20" s="224"/>
      <c r="O20" s="224"/>
      <c r="P20" s="224"/>
      <c r="Q20" s="224" t="str">
        <f>'K.XÂY DỰNG'!P15</f>
        <v>TP. HCM, ngày 2 tháng 11 năm 2023</v>
      </c>
      <c r="R20" s="224"/>
      <c r="S20" s="224"/>
      <c r="T20" s="224"/>
      <c r="U20" s="224"/>
      <c r="V20" s="224"/>
      <c r="W20" s="224"/>
      <c r="X20" s="224"/>
      <c r="Y20" s="403"/>
      <c r="Z20" s="403"/>
      <c r="AA20" s="403"/>
    </row>
    <row r="21" spans="1:27" ht="18.75" x14ac:dyDescent="0.3">
      <c r="A21" s="375"/>
      <c r="B21" s="381" t="s">
        <v>805</v>
      </c>
      <c r="C21" s="382" t="s">
        <v>802</v>
      </c>
      <c r="D21" s="376"/>
      <c r="E21" s="376"/>
      <c r="F21" s="376"/>
      <c r="G21" s="376"/>
      <c r="H21" s="376"/>
      <c r="I21" s="376"/>
      <c r="J21" s="376"/>
      <c r="K21" s="376"/>
      <c r="L21" s="388"/>
      <c r="M21" s="388"/>
      <c r="O21" s="403"/>
      <c r="P21" s="403"/>
      <c r="Q21" s="1403" t="s">
        <v>579</v>
      </c>
      <c r="R21" s="1403"/>
      <c r="S21" s="1403"/>
      <c r="T21" s="1403"/>
      <c r="U21" s="1403"/>
      <c r="V21" s="1403"/>
      <c r="W21" s="1403"/>
      <c r="X21" s="1403"/>
    </row>
    <row r="22" spans="1:27" ht="18.75" x14ac:dyDescent="0.3">
      <c r="B22" s="382" t="s">
        <v>803</v>
      </c>
      <c r="C22" s="382" t="s">
        <v>804</v>
      </c>
      <c r="D22" s="388"/>
      <c r="E22" s="388"/>
      <c r="F22" s="388"/>
      <c r="G22" s="388"/>
      <c r="H22" s="388"/>
      <c r="I22" s="388"/>
      <c r="J22" s="388"/>
      <c r="K22" s="388"/>
      <c r="L22" s="388"/>
      <c r="M22" s="388"/>
    </row>
    <row r="23" spans="1:27" x14ac:dyDescent="0.25">
      <c r="D23" s="388"/>
      <c r="E23" s="388"/>
      <c r="F23" s="388"/>
      <c r="G23" s="388"/>
      <c r="H23" s="388"/>
      <c r="I23" s="388"/>
      <c r="J23" s="388"/>
      <c r="K23" s="388"/>
      <c r="L23" s="388"/>
      <c r="M23" s="388"/>
    </row>
    <row r="24" spans="1:27" x14ac:dyDescent="0.25">
      <c r="D24" s="388"/>
      <c r="E24" s="388"/>
      <c r="F24" s="388"/>
      <c r="G24" s="388"/>
      <c r="H24" s="388"/>
      <c r="I24" s="388"/>
      <c r="J24" s="388"/>
      <c r="K24" s="388"/>
      <c r="L24" s="388"/>
      <c r="M24" s="388"/>
    </row>
    <row r="25" spans="1:27" x14ac:dyDescent="0.25">
      <c r="D25" s="388"/>
      <c r="E25" s="388"/>
      <c r="F25" s="388"/>
      <c r="G25" s="388"/>
      <c r="H25" s="388"/>
      <c r="I25" s="388"/>
      <c r="J25" s="388"/>
      <c r="K25" s="388"/>
      <c r="L25" s="388"/>
      <c r="M25" s="388"/>
    </row>
  </sheetData>
  <mergeCells count="12">
    <mergeCell ref="Q21:X21"/>
    <mergeCell ref="A7:A8"/>
    <mergeCell ref="B7:C7"/>
    <mergeCell ref="Q7:Y7"/>
    <mergeCell ref="D7:O7"/>
    <mergeCell ref="A19:X19"/>
    <mergeCell ref="A1:N1"/>
    <mergeCell ref="A2:N2"/>
    <mergeCell ref="A3:N3"/>
    <mergeCell ref="A5:AA5"/>
    <mergeCell ref="Q1:AA1"/>
    <mergeCell ref="Q2:AA2"/>
  </mergeCells>
  <phoneticPr fontId="22" type="noConversion"/>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E29"/>
  <sheetViews>
    <sheetView topLeftCell="A9" workbookViewId="0">
      <selection activeCell="P18" sqref="P18"/>
    </sheetView>
  </sheetViews>
  <sheetFormatPr defaultRowHeight="15" x14ac:dyDescent="0.25"/>
  <cols>
    <col min="1" max="1" width="5.28515625" style="356" customWidth="1"/>
    <col min="2" max="2" width="18" style="356" customWidth="1"/>
    <col min="3" max="3" width="14.7109375" style="356" customWidth="1"/>
    <col min="4" max="31" width="6.28515625" style="388" customWidth="1"/>
    <col min="32" max="16384" width="9.140625" style="356"/>
  </cols>
  <sheetData>
    <row r="1" spans="1:31" ht="15" customHeight="1" x14ac:dyDescent="0.25">
      <c r="A1" s="1400" t="s">
        <v>559</v>
      </c>
      <c r="B1" s="1400"/>
      <c r="C1" s="1400"/>
      <c r="D1" s="16"/>
      <c r="E1" s="16"/>
      <c r="F1" s="16"/>
      <c r="G1" s="17"/>
      <c r="H1" s="17"/>
      <c r="I1" s="17"/>
      <c r="J1" s="17"/>
      <c r="K1" s="17"/>
      <c r="L1" s="17"/>
      <c r="M1" s="17"/>
      <c r="N1" s="17"/>
      <c r="O1" s="17"/>
      <c r="P1" s="17"/>
      <c r="Q1" s="17"/>
      <c r="R1" s="17"/>
      <c r="S1" s="17"/>
      <c r="T1" s="17"/>
      <c r="U1" s="1401" t="s">
        <v>560</v>
      </c>
      <c r="V1" s="1401"/>
      <c r="W1" s="1401"/>
      <c r="X1" s="1402"/>
      <c r="Y1" s="1402"/>
      <c r="Z1" s="1402"/>
      <c r="AA1" s="1402"/>
      <c r="AB1" s="1402"/>
      <c r="AC1" s="1402"/>
      <c r="AD1" s="1402"/>
      <c r="AE1" s="1402"/>
    </row>
    <row r="2" spans="1:31" ht="15" customHeight="1" x14ac:dyDescent="0.25">
      <c r="A2" s="1400" t="s">
        <v>561</v>
      </c>
      <c r="B2" s="1400"/>
      <c r="C2" s="1400"/>
      <c r="D2" s="16"/>
      <c r="E2" s="16"/>
      <c r="F2" s="16"/>
      <c r="G2" s="17"/>
      <c r="H2" s="17"/>
      <c r="I2" s="17"/>
      <c r="J2" s="17"/>
      <c r="K2" s="17"/>
      <c r="L2" s="17"/>
      <c r="M2" s="17"/>
      <c r="N2" s="17"/>
      <c r="O2" s="17"/>
      <c r="P2" s="17"/>
      <c r="Q2" s="17"/>
      <c r="R2" s="17"/>
      <c r="S2" s="17"/>
      <c r="T2" s="17"/>
      <c r="U2" s="1401" t="s">
        <v>562</v>
      </c>
      <c r="V2" s="1401"/>
      <c r="W2" s="1401"/>
      <c r="X2" s="1401"/>
      <c r="Y2" s="1401"/>
      <c r="Z2" s="1401"/>
      <c r="AA2" s="1401"/>
      <c r="AB2" s="1401"/>
      <c r="AC2" s="1401"/>
      <c r="AD2" s="1401"/>
      <c r="AE2" s="1401"/>
    </row>
    <row r="3" spans="1:31" ht="36.75" customHeight="1" x14ac:dyDescent="0.25">
      <c r="A3" s="1401" t="s">
        <v>600</v>
      </c>
      <c r="B3" s="1401"/>
      <c r="C3" s="1401"/>
      <c r="D3" s="16"/>
      <c r="E3" s="16"/>
      <c r="F3" s="16"/>
      <c r="G3" s="17"/>
      <c r="H3" s="17"/>
      <c r="I3" s="17"/>
      <c r="J3" s="17"/>
      <c r="K3" s="17"/>
      <c r="L3" s="17"/>
      <c r="M3" s="17"/>
      <c r="N3" s="17"/>
      <c r="O3" s="17"/>
      <c r="P3" s="17"/>
      <c r="Q3" s="17"/>
      <c r="R3" s="17"/>
      <c r="S3" s="17"/>
      <c r="T3" s="17"/>
      <c r="U3" s="17"/>
      <c r="V3" s="17"/>
      <c r="W3" s="17"/>
      <c r="X3" s="17"/>
      <c r="Y3" s="17"/>
      <c r="Z3" s="17"/>
      <c r="AA3" s="17"/>
      <c r="AB3" s="17"/>
      <c r="AC3" s="17"/>
      <c r="AD3" s="17"/>
      <c r="AE3" s="17"/>
    </row>
    <row r="4" spans="1:31" ht="15" customHeight="1" x14ac:dyDescent="0.25">
      <c r="A4" s="18"/>
      <c r="B4" s="18"/>
      <c r="C4" s="18"/>
      <c r="D4" s="16"/>
      <c r="E4" s="16"/>
      <c r="F4" s="16"/>
      <c r="G4" s="17"/>
      <c r="H4" s="17"/>
      <c r="I4" s="17"/>
      <c r="J4" s="17"/>
      <c r="K4" s="17"/>
      <c r="L4" s="17"/>
      <c r="M4" s="17"/>
      <c r="N4" s="17"/>
      <c r="O4" s="17"/>
      <c r="P4" s="17"/>
      <c r="Q4" s="17"/>
      <c r="R4" s="17"/>
      <c r="S4" s="17"/>
      <c r="T4" s="17"/>
      <c r="U4" s="17"/>
      <c r="V4" s="17"/>
      <c r="W4" s="17"/>
      <c r="X4" s="17"/>
      <c r="Y4" s="17"/>
      <c r="Z4" s="17"/>
      <c r="AA4" s="17"/>
      <c r="AB4" s="17"/>
      <c r="AC4" s="17"/>
      <c r="AD4" s="17"/>
      <c r="AE4" s="19" t="s">
        <v>563</v>
      </c>
    </row>
    <row r="5" spans="1:31" ht="25.5" customHeight="1" x14ac:dyDescent="0.25">
      <c r="A5" s="1390" t="str">
        <f>'TT.THƯ VIỆN'!A5:AA5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c r="AC5" s="1390"/>
      <c r="AD5" s="1390"/>
      <c r="AE5" s="1390"/>
    </row>
    <row r="7" spans="1:31" ht="27.75" customHeight="1" x14ac:dyDescent="0.25">
      <c r="A7" s="1429" t="s">
        <v>0</v>
      </c>
      <c r="B7" s="1450" t="s">
        <v>564</v>
      </c>
      <c r="C7" s="1450"/>
      <c r="D7" s="1330" t="s">
        <v>110</v>
      </c>
      <c r="E7" s="1344"/>
      <c r="F7" s="1344"/>
      <c r="G7" s="1344"/>
      <c r="H7" s="1344"/>
      <c r="I7" s="1452"/>
      <c r="J7" s="1452"/>
      <c r="K7" s="1452"/>
      <c r="L7" s="1452"/>
      <c r="M7" s="1452"/>
      <c r="N7" s="1344"/>
      <c r="O7" s="1344"/>
      <c r="P7" s="1344"/>
      <c r="Q7" s="1344"/>
      <c r="R7" s="1344"/>
      <c r="S7" s="1344"/>
      <c r="T7" s="1331"/>
      <c r="U7" s="1330" t="s">
        <v>565</v>
      </c>
      <c r="V7" s="1344"/>
      <c r="W7" s="1344"/>
      <c r="X7" s="1344"/>
      <c r="Y7" s="1344"/>
      <c r="Z7" s="1344"/>
      <c r="AA7" s="1344"/>
      <c r="AB7" s="1344"/>
      <c r="AC7" s="1344"/>
      <c r="AD7" s="1331"/>
      <c r="AE7" s="360" t="s">
        <v>4</v>
      </c>
    </row>
    <row r="8" spans="1:31" ht="28.5" customHeight="1" x14ac:dyDescent="0.25">
      <c r="A8" s="1430"/>
      <c r="B8" s="471" t="s">
        <v>461</v>
      </c>
      <c r="C8" s="453" t="s">
        <v>566</v>
      </c>
      <c r="D8" s="212" t="s">
        <v>567</v>
      </c>
      <c r="E8" s="212" t="s">
        <v>568</v>
      </c>
      <c r="F8" s="212" t="s">
        <v>569</v>
      </c>
      <c r="G8" s="212" t="s">
        <v>570</v>
      </c>
      <c r="H8" s="212" t="s">
        <v>571</v>
      </c>
      <c r="I8" s="212" t="s">
        <v>572</v>
      </c>
      <c r="J8" s="212" t="s">
        <v>573</v>
      </c>
      <c r="K8" s="212" t="s">
        <v>703</v>
      </c>
      <c r="L8" s="212" t="s">
        <v>704</v>
      </c>
      <c r="M8" s="212" t="s">
        <v>748</v>
      </c>
      <c r="N8" s="212" t="s">
        <v>749</v>
      </c>
      <c r="O8" s="212" t="s">
        <v>750</v>
      </c>
      <c r="P8" s="212" t="s">
        <v>780</v>
      </c>
      <c r="Q8" s="212" t="s">
        <v>784</v>
      </c>
      <c r="R8" s="212" t="s">
        <v>796</v>
      </c>
      <c r="S8" s="133" t="s">
        <v>588</v>
      </c>
      <c r="T8" s="361" t="s">
        <v>795</v>
      </c>
      <c r="U8" s="212" t="s">
        <v>567</v>
      </c>
      <c r="V8" s="212" t="s">
        <v>568</v>
      </c>
      <c r="W8" s="212" t="s">
        <v>569</v>
      </c>
      <c r="X8" s="212" t="s">
        <v>570</v>
      </c>
      <c r="Y8" s="212" t="s">
        <v>571</v>
      </c>
      <c r="Z8" s="212" t="s">
        <v>572</v>
      </c>
      <c r="AA8" s="212" t="s">
        <v>573</v>
      </c>
      <c r="AB8" s="212" t="s">
        <v>703</v>
      </c>
      <c r="AC8" s="133" t="s">
        <v>588</v>
      </c>
      <c r="AD8" s="361" t="s">
        <v>795</v>
      </c>
      <c r="AE8" s="360"/>
    </row>
    <row r="9" spans="1:31" ht="21.75" customHeight="1" x14ac:dyDescent="0.25">
      <c r="A9" s="362" t="s">
        <v>574</v>
      </c>
      <c r="B9" s="352"/>
      <c r="C9" s="273">
        <v>-1</v>
      </c>
      <c r="D9" s="273">
        <v>-2</v>
      </c>
      <c r="E9" s="273">
        <v>-3</v>
      </c>
      <c r="F9" s="273">
        <v>-4</v>
      </c>
      <c r="G9" s="273">
        <v>-5</v>
      </c>
      <c r="H9" s="273">
        <v>-6</v>
      </c>
      <c r="I9" s="273">
        <v>-7</v>
      </c>
      <c r="J9" s="273">
        <v>-8</v>
      </c>
      <c r="K9" s="273">
        <v>-9</v>
      </c>
      <c r="L9" s="273">
        <v>-10</v>
      </c>
      <c r="M9" s="273">
        <v>-11</v>
      </c>
      <c r="N9" s="273">
        <v>-12</v>
      </c>
      <c r="O9" s="273">
        <v>-13</v>
      </c>
      <c r="P9" s="273">
        <v>-14</v>
      </c>
      <c r="Q9" s="273">
        <v>-15</v>
      </c>
      <c r="R9" s="273">
        <v>-16</v>
      </c>
      <c r="S9" s="273">
        <v>-17</v>
      </c>
      <c r="T9" s="273">
        <v>-18</v>
      </c>
      <c r="U9" s="273">
        <v>-19</v>
      </c>
      <c r="V9" s="273">
        <v>-20</v>
      </c>
      <c r="W9" s="273">
        <v>-21</v>
      </c>
      <c r="X9" s="273">
        <v>-22</v>
      </c>
      <c r="Y9" s="273">
        <v>-23</v>
      </c>
      <c r="Z9" s="273">
        <v>-24</v>
      </c>
      <c r="AA9" s="273">
        <v>-25</v>
      </c>
      <c r="AB9" s="273">
        <v>-26</v>
      </c>
      <c r="AC9" s="273">
        <v>-27</v>
      </c>
      <c r="AD9" s="273">
        <v>-28</v>
      </c>
      <c r="AE9" s="273">
        <v>-29</v>
      </c>
    </row>
    <row r="10" spans="1:31" ht="21.75" customHeight="1" x14ac:dyDescent="0.25">
      <c r="A10" s="584">
        <v>1</v>
      </c>
      <c r="B10" s="364" t="s">
        <v>356</v>
      </c>
      <c r="C10" s="396" t="s">
        <v>65</v>
      </c>
      <c r="D10" s="1269" t="s">
        <v>581</v>
      </c>
      <c r="E10" s="1269" t="s">
        <v>581</v>
      </c>
      <c r="F10" s="1269" t="s">
        <v>581</v>
      </c>
      <c r="G10" s="1269" t="s">
        <v>581</v>
      </c>
      <c r="H10" s="1269" t="s">
        <v>581</v>
      </c>
      <c r="I10" s="1270" t="s">
        <v>581</v>
      </c>
      <c r="J10" s="1268" t="s">
        <v>581</v>
      </c>
      <c r="K10" s="1268"/>
      <c r="L10" s="1268"/>
      <c r="M10" s="1268"/>
      <c r="N10" s="1268"/>
      <c r="O10" s="1268"/>
      <c r="P10" s="1268"/>
      <c r="Q10" s="273"/>
      <c r="R10" s="273"/>
      <c r="S10" s="473">
        <f>SUM(COUNTIF(D10:R10,"X"),COUNTIF(D10:R10,"A"))</f>
        <v>7</v>
      </c>
      <c r="T10" s="474">
        <f>SUM(COUNTIF(D10:R10,"X"),COUNTIF(D10:R10,"B"))</f>
        <v>7</v>
      </c>
      <c r="U10" s="1270" t="s">
        <v>581</v>
      </c>
      <c r="V10" s="1270" t="s">
        <v>581</v>
      </c>
      <c r="W10" s="1273" t="s">
        <v>581</v>
      </c>
      <c r="X10" s="743"/>
      <c r="Y10" s="729"/>
      <c r="Z10" s="729"/>
      <c r="AA10" s="273"/>
      <c r="AB10" s="273"/>
      <c r="AC10" s="473">
        <f>SUM(COUNTIF(U10:AB10,"X"),COUNTIF(U10:AB10,"A"))</f>
        <v>3</v>
      </c>
      <c r="AD10" s="474">
        <f>SUM(COUNTIF(U10:AB10,"X"),COUNTIF(U10:AB10,"B"))</f>
        <v>3</v>
      </c>
      <c r="AE10" s="273"/>
    </row>
    <row r="11" spans="1:31" ht="24" customHeight="1" x14ac:dyDescent="0.25">
      <c r="A11" s="143">
        <v>2</v>
      </c>
      <c r="B11" s="8" t="s">
        <v>174</v>
      </c>
      <c r="C11" s="472" t="s">
        <v>175</v>
      </c>
      <c r="D11" s="1258"/>
      <c r="E11" s="1258"/>
      <c r="F11" s="1258" t="s">
        <v>581</v>
      </c>
      <c r="G11" s="1258"/>
      <c r="H11" s="1258"/>
      <c r="I11" s="1263"/>
      <c r="J11" s="1263" t="s">
        <v>581</v>
      </c>
      <c r="K11" s="1263" t="s">
        <v>581</v>
      </c>
      <c r="L11" s="1263" t="s">
        <v>581</v>
      </c>
      <c r="M11" s="1263" t="s">
        <v>581</v>
      </c>
      <c r="N11" s="1263"/>
      <c r="O11" s="1263"/>
      <c r="P11" s="1263"/>
      <c r="Q11" s="366"/>
      <c r="R11" s="366"/>
      <c r="S11" s="473">
        <f t="shared" ref="S11:S15" si="0">SUM(COUNTIF(D11:R11,"X"),COUNTIF(D11:R11,"A"))</f>
        <v>5</v>
      </c>
      <c r="T11" s="474">
        <f t="shared" ref="T11:T15" si="1">SUM(COUNTIF(D11:R11,"X"),COUNTIF(D11:R11,"B"))</f>
        <v>5</v>
      </c>
      <c r="U11" s="1259" t="s">
        <v>581</v>
      </c>
      <c r="V11" s="1259" t="s">
        <v>581</v>
      </c>
      <c r="W11" s="1259" t="s">
        <v>581</v>
      </c>
      <c r="X11" s="744"/>
      <c r="Y11" s="730"/>
      <c r="Z11" s="730"/>
      <c r="AA11" s="29"/>
      <c r="AB11" s="29"/>
      <c r="AC11" s="473">
        <f t="shared" ref="AC11:AC15" si="2">SUM(COUNTIF(U11:AB11,"X"),COUNTIF(U11:AB11,"A"))</f>
        <v>3</v>
      </c>
      <c r="AD11" s="474">
        <f t="shared" ref="AD11:AD15" si="3">SUM(COUNTIF(U11:AB11,"X"),COUNTIF(U11:AB11,"B"))</f>
        <v>3</v>
      </c>
      <c r="AE11" s="369"/>
    </row>
    <row r="12" spans="1:31" ht="24" customHeight="1" x14ac:dyDescent="0.25">
      <c r="A12" s="584">
        <v>3</v>
      </c>
      <c r="B12" s="8" t="s">
        <v>439</v>
      </c>
      <c r="C12" s="472" t="s">
        <v>706</v>
      </c>
      <c r="D12" s="1258"/>
      <c r="E12" s="1258"/>
      <c r="F12" s="1258"/>
      <c r="G12" s="1258"/>
      <c r="H12" s="1258"/>
      <c r="I12" s="1263"/>
      <c r="J12" s="1263"/>
      <c r="K12" s="1263"/>
      <c r="L12" s="1263"/>
      <c r="M12" s="1263"/>
      <c r="N12" s="1263"/>
      <c r="O12" s="1263"/>
      <c r="P12" s="1263"/>
      <c r="Q12" s="366"/>
      <c r="R12" s="366"/>
      <c r="S12" s="473">
        <f>SUM(COUNTIF(D12:R12,"X"),COUNTIF(D12:R12,"A"))</f>
        <v>0</v>
      </c>
      <c r="T12" s="474">
        <f>SUM(COUNTIF(D12:R12,"X"),COUNTIF(D12:R12,"B"))</f>
        <v>0</v>
      </c>
      <c r="U12" s="1259" t="s">
        <v>581</v>
      </c>
      <c r="V12" s="1259"/>
      <c r="W12" s="1259"/>
      <c r="X12" s="744"/>
      <c r="Y12" s="730"/>
      <c r="Z12" s="730"/>
      <c r="AA12" s="29"/>
      <c r="AB12" s="29"/>
      <c r="AC12" s="473">
        <f>SUM(COUNTIF(U12:AB12,"X"),COUNTIF(U12:AB12,"A"))</f>
        <v>1</v>
      </c>
      <c r="AD12" s="474">
        <f>SUM(COUNTIF(U12:AB12,"X"),COUNTIF(U12:AB12,"B"))</f>
        <v>1</v>
      </c>
      <c r="AE12" s="369"/>
    </row>
    <row r="13" spans="1:31" ht="24" customHeight="1" x14ac:dyDescent="0.25">
      <c r="A13" s="143">
        <v>4</v>
      </c>
      <c r="B13" s="8" t="s">
        <v>180</v>
      </c>
      <c r="C13" s="472" t="s">
        <v>181</v>
      </c>
      <c r="D13" s="1258"/>
      <c r="E13" s="1258"/>
      <c r="F13" s="1258" t="s">
        <v>581</v>
      </c>
      <c r="G13" s="1258"/>
      <c r="H13" s="1258"/>
      <c r="I13" s="1263"/>
      <c r="J13" s="1263" t="s">
        <v>581</v>
      </c>
      <c r="K13" s="1263" t="s">
        <v>581</v>
      </c>
      <c r="L13" s="1263" t="s">
        <v>581</v>
      </c>
      <c r="M13" s="1263" t="s">
        <v>581</v>
      </c>
      <c r="N13" s="1263"/>
      <c r="O13" s="1263"/>
      <c r="P13" s="1263"/>
      <c r="Q13" s="366"/>
      <c r="R13" s="366"/>
      <c r="S13" s="473">
        <f>SUM(COUNTIF(D13:R13,"X"),COUNTIF(D13:R13,"A"))</f>
        <v>5</v>
      </c>
      <c r="T13" s="474">
        <f>SUM(COUNTIF(D13:R13,"X"),COUNTIF(D13:R13,"B"))</f>
        <v>5</v>
      </c>
      <c r="U13" s="1259" t="s">
        <v>581</v>
      </c>
      <c r="V13" s="1259" t="s">
        <v>581</v>
      </c>
      <c r="W13" s="1259" t="s">
        <v>581</v>
      </c>
      <c r="X13" s="744"/>
      <c r="Y13" s="730"/>
      <c r="Z13" s="730"/>
      <c r="AA13" s="29"/>
      <c r="AB13" s="29"/>
      <c r="AC13" s="473">
        <f>SUM(COUNTIF(U13:AB13,"X"),COUNTIF(U13:AB13,"A"))</f>
        <v>3</v>
      </c>
      <c r="AD13" s="474">
        <f>SUM(COUNTIF(U13:AB13,"X"),COUNTIF(U13:AB13,"B"))</f>
        <v>3</v>
      </c>
      <c r="AE13" s="369"/>
    </row>
    <row r="14" spans="1:31" ht="24" customHeight="1" x14ac:dyDescent="0.25">
      <c r="A14" s="584">
        <v>5</v>
      </c>
      <c r="B14" s="8" t="s">
        <v>187</v>
      </c>
      <c r="C14" s="472" t="s">
        <v>188</v>
      </c>
      <c r="D14" s="1258"/>
      <c r="E14" s="1258"/>
      <c r="F14" s="1258" t="s">
        <v>581</v>
      </c>
      <c r="G14" s="1258"/>
      <c r="H14" s="1258"/>
      <c r="I14" s="1263"/>
      <c r="J14" s="1263" t="s">
        <v>581</v>
      </c>
      <c r="K14" s="1263" t="s">
        <v>581</v>
      </c>
      <c r="L14" s="1263" t="s">
        <v>581</v>
      </c>
      <c r="M14" s="1263" t="s">
        <v>581</v>
      </c>
      <c r="N14" s="1263" t="s">
        <v>581</v>
      </c>
      <c r="O14" s="1263"/>
      <c r="P14" s="1263" t="s">
        <v>581</v>
      </c>
      <c r="Q14" s="366"/>
      <c r="R14" s="366"/>
      <c r="S14" s="473">
        <f>SUM(COUNTIF(D14:R14,"X"),COUNTIF(D14:R14,"A"))</f>
        <v>7</v>
      </c>
      <c r="T14" s="474">
        <f>SUM(COUNTIF(D14:R14,"X"),COUNTIF(D14:R14,"B"))</f>
        <v>7</v>
      </c>
      <c r="U14" s="1259" t="s">
        <v>581</v>
      </c>
      <c r="V14" s="1259" t="s">
        <v>581</v>
      </c>
      <c r="W14" s="1259" t="s">
        <v>581</v>
      </c>
      <c r="X14" s="744"/>
      <c r="Y14" s="730"/>
      <c r="Z14" s="730"/>
      <c r="AA14" s="29"/>
      <c r="AB14" s="29"/>
      <c r="AC14" s="473">
        <f>SUM(COUNTIF(U14:AB14,"X"),COUNTIF(U14:AB14,"A"))</f>
        <v>3</v>
      </c>
      <c r="AD14" s="474">
        <f>SUM(COUNTIF(U14:AB14,"X"),COUNTIF(U14:AB14,"B"))</f>
        <v>3</v>
      </c>
      <c r="AE14" s="369"/>
    </row>
    <row r="15" spans="1:31" ht="24" customHeight="1" x14ac:dyDescent="0.25">
      <c r="A15" s="143">
        <v>6</v>
      </c>
      <c r="B15" s="8" t="s">
        <v>178</v>
      </c>
      <c r="C15" s="472" t="s">
        <v>179</v>
      </c>
      <c r="D15" s="1258"/>
      <c r="E15" s="1258"/>
      <c r="F15" s="1258" t="s">
        <v>581</v>
      </c>
      <c r="G15" s="1258"/>
      <c r="H15" s="1258"/>
      <c r="I15" s="1263"/>
      <c r="J15" s="1263" t="s">
        <v>581</v>
      </c>
      <c r="K15" s="1263" t="s">
        <v>581</v>
      </c>
      <c r="L15" s="1263" t="s">
        <v>581</v>
      </c>
      <c r="M15" s="1263" t="s">
        <v>581</v>
      </c>
      <c r="N15" s="1263"/>
      <c r="O15" s="1263"/>
      <c r="P15" s="1263"/>
      <c r="Q15" s="366"/>
      <c r="R15" s="366"/>
      <c r="S15" s="473">
        <f t="shared" si="0"/>
        <v>5</v>
      </c>
      <c r="T15" s="474">
        <f t="shared" si="1"/>
        <v>5</v>
      </c>
      <c r="U15" s="1259" t="s">
        <v>581</v>
      </c>
      <c r="V15" s="1259" t="s">
        <v>581</v>
      </c>
      <c r="W15" s="1259" t="s">
        <v>581</v>
      </c>
      <c r="X15" s="744"/>
      <c r="Y15" s="730"/>
      <c r="Z15" s="730"/>
      <c r="AA15" s="29"/>
      <c r="AB15" s="29"/>
      <c r="AC15" s="473">
        <f t="shared" si="2"/>
        <v>3</v>
      </c>
      <c r="AD15" s="474">
        <f t="shared" si="3"/>
        <v>3</v>
      </c>
      <c r="AE15" s="369"/>
    </row>
    <row r="16" spans="1:31" ht="26.25" customHeight="1" x14ac:dyDescent="0.25">
      <c r="A16" s="362" t="s">
        <v>577</v>
      </c>
      <c r="B16" s="364"/>
      <c r="C16" s="364"/>
      <c r="D16" s="1260"/>
      <c r="E16" s="1260"/>
      <c r="F16" s="1260"/>
      <c r="G16" s="1260"/>
      <c r="H16" s="1260"/>
      <c r="I16" s="1265"/>
      <c r="J16" s="1266"/>
      <c r="K16" s="1266"/>
      <c r="L16" s="1266"/>
      <c r="M16" s="1266"/>
      <c r="N16" s="1266"/>
      <c r="O16" s="1266"/>
      <c r="P16" s="1266"/>
      <c r="Q16" s="371"/>
      <c r="R16" s="371"/>
      <c r="S16" s="473">
        <f t="shared" ref="S16:S17" si="4">SUM(COUNTIF(D16:R16,"X"),COUNTIF(D16:R16,"A"))</f>
        <v>0</v>
      </c>
      <c r="T16" s="474">
        <f t="shared" ref="T16:T17" si="5">SUM(COUNTIF(D16:R16,"X"),COUNTIF(D16:R16,"B"))</f>
        <v>0</v>
      </c>
      <c r="U16" s="1259"/>
      <c r="V16" s="1259"/>
      <c r="W16" s="1264"/>
      <c r="X16" s="745"/>
      <c r="Y16" s="730"/>
      <c r="Z16" s="730"/>
      <c r="AA16" s="29"/>
      <c r="AB16" s="29"/>
      <c r="AC16" s="473">
        <f t="shared" ref="AC16:AC17" si="6">SUM(COUNTIF(U16:AB16,"X"),COUNTIF(U16:AB16,"A"))</f>
        <v>0</v>
      </c>
      <c r="AD16" s="474">
        <f t="shared" ref="AD16:AD17" si="7">SUM(COUNTIF(U16:AB16,"X"),COUNTIF(U16:AB16,"B"))</f>
        <v>0</v>
      </c>
      <c r="AE16" s="369"/>
    </row>
    <row r="17" spans="1:31" ht="24" customHeight="1" x14ac:dyDescent="0.25">
      <c r="A17" s="143">
        <v>7</v>
      </c>
      <c r="B17" s="364" t="s">
        <v>438</v>
      </c>
      <c r="C17" s="472" t="s">
        <v>705</v>
      </c>
      <c r="D17" s="1258"/>
      <c r="E17" s="1258"/>
      <c r="F17" s="1258"/>
      <c r="G17" s="1258"/>
      <c r="H17" s="1258"/>
      <c r="I17" s="1263"/>
      <c r="J17" s="1263"/>
      <c r="K17" s="1271"/>
      <c r="L17" s="1271"/>
      <c r="M17" s="1271"/>
      <c r="N17" s="1271"/>
      <c r="O17" s="1271"/>
      <c r="P17" s="1271"/>
      <c r="Q17" s="366"/>
      <c r="R17" s="366"/>
      <c r="S17" s="473">
        <f t="shared" si="4"/>
        <v>0</v>
      </c>
      <c r="T17" s="474">
        <f t="shared" si="5"/>
        <v>0</v>
      </c>
      <c r="U17" s="1259" t="s">
        <v>581</v>
      </c>
      <c r="V17" s="1259"/>
      <c r="W17" s="1264"/>
      <c r="X17" s="746"/>
      <c r="Y17" s="730"/>
      <c r="Z17" s="730"/>
      <c r="AA17" s="29"/>
      <c r="AB17" s="29"/>
      <c r="AC17" s="473">
        <f t="shared" si="6"/>
        <v>1</v>
      </c>
      <c r="AD17" s="474">
        <f t="shared" si="7"/>
        <v>1</v>
      </c>
      <c r="AE17" s="369"/>
    </row>
    <row r="18" spans="1:31" ht="28.5" customHeight="1" x14ac:dyDescent="0.25">
      <c r="A18" s="143">
        <v>8</v>
      </c>
      <c r="B18" s="8" t="s">
        <v>440</v>
      </c>
      <c r="C18" s="472" t="s">
        <v>707</v>
      </c>
      <c r="D18" s="1258"/>
      <c r="E18" s="1258"/>
      <c r="F18" s="1258"/>
      <c r="G18" s="1258"/>
      <c r="H18" s="1258"/>
      <c r="I18" s="1265"/>
      <c r="J18" s="1266"/>
      <c r="K18" s="1267" t="s">
        <v>581</v>
      </c>
      <c r="L18" s="1267" t="s">
        <v>581</v>
      </c>
      <c r="M18" s="1267" t="s">
        <v>581</v>
      </c>
      <c r="N18" s="1267"/>
      <c r="O18" s="1267"/>
      <c r="P18" s="1267"/>
      <c r="Q18" s="372"/>
      <c r="R18" s="372"/>
      <c r="S18" s="473">
        <f t="shared" ref="S18:S20" si="8">SUM(COUNTIF(D18:R18,"X"),COUNTIF(D18:R18,"A"))</f>
        <v>3</v>
      </c>
      <c r="T18" s="474">
        <f t="shared" ref="T18:T20" si="9">SUM(COUNTIF(D18:R18,"X"),COUNTIF(D18:R18,"B"))</f>
        <v>3</v>
      </c>
      <c r="U18" s="1259" t="s">
        <v>581</v>
      </c>
      <c r="V18" s="1259"/>
      <c r="W18" s="1264"/>
      <c r="X18" s="747"/>
      <c r="Y18" s="730"/>
      <c r="Z18" s="730"/>
      <c r="AA18" s="29"/>
      <c r="AB18" s="29"/>
      <c r="AC18" s="473">
        <f t="shared" ref="AC18" si="10">SUM(COUNTIF(U18:AB18,"X"),COUNTIF(U18:AB18,"A"))</f>
        <v>1</v>
      </c>
      <c r="AD18" s="474">
        <f t="shared" ref="AD18" si="11">SUM(COUNTIF(U18:AB18,"X"),COUNTIF(U18:AB18,"B"))</f>
        <v>1</v>
      </c>
      <c r="AE18" s="369"/>
    </row>
    <row r="19" spans="1:31" ht="28.5" customHeight="1" x14ac:dyDescent="0.25">
      <c r="A19" s="143">
        <v>9</v>
      </c>
      <c r="B19" s="8" t="s">
        <v>619</v>
      </c>
      <c r="C19" s="1057" t="s">
        <v>205</v>
      </c>
      <c r="D19" s="1258"/>
      <c r="E19" s="1258"/>
      <c r="F19" s="1258" t="s">
        <v>581</v>
      </c>
      <c r="G19" s="1258"/>
      <c r="H19" s="1258"/>
      <c r="I19" s="1265" t="s">
        <v>581</v>
      </c>
      <c r="J19" s="1266" t="s">
        <v>581</v>
      </c>
      <c r="K19" s="1267" t="s">
        <v>581</v>
      </c>
      <c r="L19" s="1267" t="s">
        <v>581</v>
      </c>
      <c r="M19" s="1267" t="s">
        <v>581</v>
      </c>
      <c r="N19" s="1267" t="s">
        <v>581</v>
      </c>
      <c r="O19" s="1267"/>
      <c r="P19" s="1267"/>
      <c r="Q19" s="372"/>
      <c r="R19" s="372"/>
      <c r="S19" s="473">
        <f>SUM(COUNTIF(D19:R19,"X"),COUNTIF(D19:R19,"A"))</f>
        <v>7</v>
      </c>
      <c r="T19" s="474">
        <f>SUM(COUNTIF(D19:R19,"X"),COUNTIF(D19:R19,"B"))</f>
        <v>7</v>
      </c>
      <c r="U19" s="1259" t="s">
        <v>581</v>
      </c>
      <c r="V19" s="1259" t="s">
        <v>581</v>
      </c>
      <c r="W19" s="1264" t="s">
        <v>581</v>
      </c>
      <c r="X19" s="747"/>
      <c r="Y19" s="730"/>
      <c r="Z19" s="730"/>
      <c r="AA19" s="29"/>
      <c r="AB19" s="29"/>
      <c r="AC19" s="473">
        <f>SUM(COUNTIF(U19:AB19,"X"),COUNTIF(U19:AB19,"A"))</f>
        <v>3</v>
      </c>
      <c r="AD19" s="474">
        <f>SUM(COUNTIF(U19:AB19,"X"),COUNTIF(U19:AB19,"B"))</f>
        <v>3</v>
      </c>
      <c r="AE19" s="369"/>
    </row>
    <row r="20" spans="1:31" ht="28.5" customHeight="1" x14ac:dyDescent="0.25">
      <c r="A20" s="143">
        <v>10</v>
      </c>
      <c r="B20" s="8" t="s">
        <v>1108</v>
      </c>
      <c r="C20" s="1057" t="s">
        <v>1109</v>
      </c>
      <c r="D20" s="1272"/>
      <c r="E20" s="1272"/>
      <c r="F20" s="1272"/>
      <c r="G20" s="1272"/>
      <c r="H20" s="1272"/>
      <c r="I20" s="1265"/>
      <c r="J20" s="1266"/>
      <c r="K20" s="1267"/>
      <c r="L20" s="1267"/>
      <c r="M20" s="1267"/>
      <c r="N20" s="1267"/>
      <c r="O20" s="1267" t="s">
        <v>581</v>
      </c>
      <c r="P20" s="1267"/>
      <c r="Q20" s="372"/>
      <c r="R20" s="372"/>
      <c r="S20" s="473">
        <f t="shared" si="8"/>
        <v>1</v>
      </c>
      <c r="T20" s="474">
        <f t="shared" si="9"/>
        <v>1</v>
      </c>
      <c r="U20" s="1259" t="s">
        <v>581</v>
      </c>
      <c r="V20" s="1259"/>
      <c r="W20" s="1264"/>
      <c r="X20" s="747"/>
      <c r="Y20" s="730"/>
      <c r="Z20" s="730"/>
      <c r="AA20" s="29"/>
      <c r="AB20" s="29"/>
      <c r="AC20" s="473">
        <f>SUM(COUNTIF(U20:AB20,"X"),COUNTIF(U20:AB20,"A"))</f>
        <v>1</v>
      </c>
      <c r="AD20" s="474">
        <f>SUM(COUNTIF(U20:AB20,"X"),COUNTIF(U20:AB20,"B"))</f>
        <v>1</v>
      </c>
      <c r="AE20" s="369"/>
    </row>
    <row r="21" spans="1:31" ht="20.25" customHeight="1" x14ac:dyDescent="0.25">
      <c r="A21" s="1411"/>
      <c r="B21" s="1411"/>
      <c r="C21" s="1411"/>
      <c r="D21" s="1411"/>
      <c r="E21" s="1411"/>
      <c r="F21" s="1411"/>
      <c r="G21" s="1411"/>
      <c r="H21" s="1411"/>
      <c r="I21" s="1451"/>
      <c r="J21" s="1451"/>
      <c r="K21" s="1451"/>
      <c r="L21" s="1451"/>
      <c r="M21" s="1451"/>
      <c r="N21" s="1411"/>
      <c r="O21" s="1411"/>
      <c r="P21" s="1411"/>
      <c r="Q21" s="1411"/>
      <c r="R21" s="1411"/>
      <c r="S21" s="1411"/>
      <c r="T21" s="1411"/>
      <c r="U21" s="1411"/>
      <c r="V21" s="1411"/>
      <c r="W21" s="1411"/>
      <c r="X21" s="1411"/>
      <c r="Y21" s="1411"/>
      <c r="Z21" s="1411"/>
      <c r="AA21" s="1411"/>
      <c r="AB21" s="1411"/>
      <c r="AC21" s="1411"/>
      <c r="AD21" s="1411"/>
      <c r="AE21" s="1411"/>
    </row>
    <row r="22" spans="1:31" ht="15.75" x14ac:dyDescent="0.25">
      <c r="A22" s="1395" t="s">
        <v>578</v>
      </c>
      <c r="B22" s="1395"/>
      <c r="C22" s="1395"/>
      <c r="D22" s="1395"/>
      <c r="E22" s="1395"/>
      <c r="F22" s="1395"/>
      <c r="G22" s="1395"/>
      <c r="H22" s="1395"/>
      <c r="I22" s="1395"/>
      <c r="J22" s="1395"/>
      <c r="K22" s="1395"/>
      <c r="L22" s="1395"/>
      <c r="M22" s="1395"/>
      <c r="N22" s="1395"/>
      <c r="O22" s="1395"/>
      <c r="P22" s="1395"/>
      <c r="Q22" s="1395"/>
      <c r="R22" s="1395"/>
      <c r="S22" s="1395"/>
      <c r="T22" s="1395"/>
      <c r="U22" s="1395"/>
      <c r="V22" s="1395"/>
      <c r="W22" s="1395"/>
      <c r="X22" s="1395"/>
      <c r="Y22" s="1395"/>
      <c r="Z22" s="1395"/>
      <c r="AA22" s="1395"/>
      <c r="AB22" s="1395"/>
      <c r="AC22" s="1395"/>
      <c r="AD22" s="1395"/>
      <c r="AE22" s="1395"/>
    </row>
    <row r="23" spans="1:31" ht="17.25" x14ac:dyDescent="0.3">
      <c r="A23" s="375"/>
      <c r="B23" s="375"/>
      <c r="C23" s="375"/>
      <c r="D23" s="376"/>
      <c r="E23" s="376"/>
      <c r="F23" s="376"/>
      <c r="G23" s="377"/>
      <c r="H23" s="377"/>
      <c r="I23" s="377"/>
      <c r="J23" s="377"/>
      <c r="K23" s="377"/>
      <c r="L23" s="377"/>
      <c r="M23" s="377"/>
      <c r="N23" s="377"/>
      <c r="O23" s="377"/>
      <c r="P23" s="377"/>
      <c r="Q23" s="377"/>
      <c r="R23" s="377"/>
      <c r="S23" s="377"/>
      <c r="T23" s="377"/>
      <c r="U23" s="224" t="str">
        <f>'TT.THƯ VIỆN'!Q20</f>
        <v>TP. HCM, ngày 2 tháng 11 năm 2023</v>
      </c>
      <c r="V23" s="224"/>
      <c r="W23" s="224"/>
      <c r="X23" s="224"/>
      <c r="Y23" s="224"/>
      <c r="Z23" s="224"/>
      <c r="AA23" s="224"/>
      <c r="AB23" s="224"/>
      <c r="AC23" s="224"/>
      <c r="AD23" s="224"/>
      <c r="AE23" s="224"/>
    </row>
    <row r="24" spans="1:31" ht="17.25" x14ac:dyDescent="0.3">
      <c r="A24" s="375"/>
      <c r="B24" s="375"/>
      <c r="C24" s="375"/>
      <c r="D24" s="376"/>
      <c r="E24" s="376"/>
      <c r="F24" s="376"/>
      <c r="U24" s="1403" t="s">
        <v>601</v>
      </c>
      <c r="V24" s="1403"/>
      <c r="W24" s="1403"/>
      <c r="X24" s="1403"/>
      <c r="Y24" s="1403"/>
      <c r="Z24" s="1403"/>
      <c r="AA24" s="1403"/>
      <c r="AB24" s="1403"/>
      <c r="AC24" s="1403"/>
      <c r="AD24" s="1403"/>
      <c r="AE24" s="1403"/>
    </row>
    <row r="25" spans="1:31" ht="18.75" x14ac:dyDescent="0.3">
      <c r="B25" s="381" t="s">
        <v>805</v>
      </c>
      <c r="C25" s="382" t="s">
        <v>802</v>
      </c>
    </row>
    <row r="26" spans="1:31" ht="18.75" x14ac:dyDescent="0.3">
      <c r="B26" s="382" t="s">
        <v>803</v>
      </c>
      <c r="C26" s="382" t="s">
        <v>804</v>
      </c>
    </row>
    <row r="27" spans="1:31" ht="26.25" customHeight="1" x14ac:dyDescent="0.25"/>
    <row r="29" spans="1:31" ht="16.5" x14ac:dyDescent="0.25">
      <c r="U29" s="1410" t="s">
        <v>356</v>
      </c>
      <c r="V29" s="1410"/>
      <c r="W29" s="1410"/>
      <c r="X29" s="1410"/>
      <c r="Y29" s="1410"/>
      <c r="Z29" s="1410"/>
      <c r="AA29" s="1410"/>
      <c r="AB29" s="1410"/>
      <c r="AC29" s="1410"/>
      <c r="AD29" s="1410"/>
      <c r="AE29" s="1410"/>
    </row>
  </sheetData>
  <mergeCells count="14">
    <mergeCell ref="U24:AE24"/>
    <mergeCell ref="U29:AE29"/>
    <mergeCell ref="A7:A8"/>
    <mergeCell ref="B7:C7"/>
    <mergeCell ref="A21:AE21"/>
    <mergeCell ref="A22:AE22"/>
    <mergeCell ref="D7:T7"/>
    <mergeCell ref="U7:AD7"/>
    <mergeCell ref="A5:AE5"/>
    <mergeCell ref="A1:C1"/>
    <mergeCell ref="U1:AE1"/>
    <mergeCell ref="A2:C2"/>
    <mergeCell ref="U2:AE2"/>
    <mergeCell ref="A3:C3"/>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X19"/>
  <sheetViews>
    <sheetView showZeros="0" topLeftCell="A4" workbookViewId="0">
      <selection activeCell="P10" sqref="P10:Q13"/>
    </sheetView>
  </sheetViews>
  <sheetFormatPr defaultRowHeight="15" x14ac:dyDescent="0.25"/>
  <cols>
    <col min="1" max="1" width="5.28515625" style="356" customWidth="1"/>
    <col min="2" max="2" width="24.85546875" style="356" customWidth="1"/>
    <col min="3" max="3" width="13" style="356" customWidth="1"/>
    <col min="4" max="23" width="6.7109375" style="388" customWidth="1"/>
    <col min="24" max="24" width="8.140625" style="388" customWidth="1"/>
    <col min="25" max="16384" width="9.140625" style="356"/>
  </cols>
  <sheetData>
    <row r="1" spans="1:24" ht="15.75" x14ac:dyDescent="0.25">
      <c r="A1" s="1400" t="s">
        <v>559</v>
      </c>
      <c r="B1" s="1400"/>
      <c r="C1" s="1400"/>
      <c r="D1" s="16"/>
      <c r="E1" s="16"/>
      <c r="F1" s="16"/>
      <c r="G1" s="16"/>
      <c r="H1" s="16"/>
      <c r="I1" s="16"/>
      <c r="J1" s="16"/>
      <c r="K1" s="16"/>
      <c r="L1" s="17"/>
      <c r="M1" s="17"/>
      <c r="N1" s="1401" t="s">
        <v>560</v>
      </c>
      <c r="O1" s="1401"/>
      <c r="P1" s="1401"/>
      <c r="Q1" s="1401"/>
      <c r="R1" s="1401"/>
      <c r="S1" s="1401"/>
      <c r="T1" s="1401"/>
      <c r="U1" s="1402"/>
      <c r="V1" s="1402"/>
      <c r="W1" s="1402"/>
      <c r="X1" s="1402"/>
    </row>
    <row r="2" spans="1:24" ht="15.75" x14ac:dyDescent="0.25">
      <c r="A2" s="1400" t="s">
        <v>561</v>
      </c>
      <c r="B2" s="1400"/>
      <c r="C2" s="1400"/>
      <c r="D2" s="16"/>
      <c r="E2" s="16"/>
      <c r="F2" s="16"/>
      <c r="G2" s="16"/>
      <c r="H2" s="16"/>
      <c r="I2" s="16"/>
      <c r="J2" s="16"/>
      <c r="K2" s="16"/>
      <c r="L2" s="17"/>
      <c r="M2" s="17"/>
      <c r="N2" s="1401" t="s">
        <v>562</v>
      </c>
      <c r="O2" s="1401"/>
      <c r="P2" s="1401"/>
      <c r="Q2" s="1401"/>
      <c r="R2" s="1401"/>
      <c r="S2" s="1401"/>
      <c r="T2" s="1401"/>
      <c r="U2" s="1401"/>
      <c r="V2" s="1401"/>
      <c r="W2" s="1401"/>
      <c r="X2" s="1401"/>
    </row>
    <row r="3" spans="1:24" ht="15.75" x14ac:dyDescent="0.25">
      <c r="A3" s="1401" t="s">
        <v>54</v>
      </c>
      <c r="B3" s="1401"/>
      <c r="C3" s="1401"/>
      <c r="D3" s="16"/>
      <c r="E3" s="16"/>
      <c r="F3" s="16"/>
      <c r="G3" s="16"/>
      <c r="H3" s="16"/>
      <c r="I3" s="16"/>
      <c r="J3" s="16"/>
      <c r="K3" s="16"/>
      <c r="L3" s="17"/>
      <c r="M3" s="17"/>
      <c r="N3" s="17"/>
      <c r="O3" s="17"/>
      <c r="P3" s="17"/>
      <c r="Q3" s="17"/>
      <c r="R3" s="17"/>
      <c r="S3" s="17"/>
      <c r="T3" s="17"/>
      <c r="U3" s="17"/>
      <c r="V3" s="17"/>
      <c r="W3" s="17"/>
      <c r="X3" s="17"/>
    </row>
    <row r="4" spans="1:24" ht="15.75" x14ac:dyDescent="0.25">
      <c r="A4" s="18"/>
      <c r="B4" s="18"/>
      <c r="C4" s="18"/>
      <c r="D4" s="16"/>
      <c r="E4" s="16"/>
      <c r="F4" s="16"/>
      <c r="G4" s="16"/>
      <c r="H4" s="16"/>
      <c r="I4" s="16"/>
      <c r="J4" s="16"/>
      <c r="K4" s="16"/>
      <c r="L4" s="17"/>
      <c r="M4" s="17"/>
      <c r="N4" s="17"/>
      <c r="O4" s="17"/>
      <c r="P4" s="17"/>
      <c r="Q4" s="17"/>
      <c r="R4" s="17"/>
      <c r="S4" s="17"/>
      <c r="T4" s="17"/>
      <c r="U4" s="17"/>
      <c r="V4" s="17"/>
      <c r="W4" s="17"/>
      <c r="X4" s="19" t="s">
        <v>563</v>
      </c>
    </row>
    <row r="5" spans="1:24" ht="20.25" x14ac:dyDescent="0.25">
      <c r="A5" s="1390" t="str">
        <f>TT.ĐTLTT!A5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row>
    <row r="7" spans="1:24" ht="33" x14ac:dyDescent="0.25">
      <c r="A7" s="1396" t="s">
        <v>0</v>
      </c>
      <c r="B7" s="1409" t="s">
        <v>564</v>
      </c>
      <c r="C7" s="1409"/>
      <c r="D7" s="1391" t="s">
        <v>110</v>
      </c>
      <c r="E7" s="1392"/>
      <c r="F7" s="1392"/>
      <c r="G7" s="1392"/>
      <c r="H7" s="1392"/>
      <c r="I7" s="1392"/>
      <c r="J7" s="1392"/>
      <c r="K7" s="1392"/>
      <c r="L7" s="1392"/>
      <c r="M7" s="358"/>
      <c r="N7" s="1391" t="s">
        <v>565</v>
      </c>
      <c r="O7" s="1392"/>
      <c r="P7" s="1392"/>
      <c r="Q7" s="1392"/>
      <c r="R7" s="1392"/>
      <c r="S7" s="1392"/>
      <c r="T7" s="1392"/>
      <c r="U7" s="1392"/>
      <c r="V7" s="1393"/>
      <c r="W7" s="359"/>
      <c r="X7" s="360" t="s">
        <v>4</v>
      </c>
    </row>
    <row r="8" spans="1:24" ht="24" x14ac:dyDescent="0.25">
      <c r="A8" s="1397"/>
      <c r="B8" s="438" t="s">
        <v>461</v>
      </c>
      <c r="C8" s="439" t="s">
        <v>566</v>
      </c>
      <c r="D8" s="212" t="s">
        <v>567</v>
      </c>
      <c r="E8" s="212" t="s">
        <v>568</v>
      </c>
      <c r="F8" s="212" t="s">
        <v>569</v>
      </c>
      <c r="G8" s="212" t="s">
        <v>570</v>
      </c>
      <c r="H8" s="212" t="s">
        <v>571</v>
      </c>
      <c r="I8" s="212" t="s">
        <v>572</v>
      </c>
      <c r="J8" s="212" t="s">
        <v>573</v>
      </c>
      <c r="K8" s="212" t="s">
        <v>703</v>
      </c>
      <c r="L8" s="134" t="s">
        <v>588</v>
      </c>
      <c r="M8" s="361" t="s">
        <v>795</v>
      </c>
      <c r="N8" s="132" t="s">
        <v>567</v>
      </c>
      <c r="O8" s="132" t="s">
        <v>568</v>
      </c>
      <c r="P8" s="132" t="s">
        <v>569</v>
      </c>
      <c r="Q8" s="132" t="s">
        <v>570</v>
      </c>
      <c r="R8" s="132" t="s">
        <v>571</v>
      </c>
      <c r="S8" s="132" t="s">
        <v>572</v>
      </c>
      <c r="T8" s="132" t="s">
        <v>573</v>
      </c>
      <c r="U8" s="132" t="s">
        <v>703</v>
      </c>
      <c r="V8" s="134" t="s">
        <v>588</v>
      </c>
      <c r="W8" s="361" t="s">
        <v>795</v>
      </c>
      <c r="X8" s="360"/>
    </row>
    <row r="9" spans="1:24" ht="16.5" x14ac:dyDescent="0.25">
      <c r="A9" s="475" t="s">
        <v>574</v>
      </c>
      <c r="B9" s="360"/>
      <c r="C9" s="273">
        <v>-1</v>
      </c>
      <c r="D9" s="273">
        <v>-2</v>
      </c>
      <c r="E9" s="273">
        <v>-3</v>
      </c>
      <c r="F9" s="273">
        <v>-4</v>
      </c>
      <c r="G9" s="273">
        <v>-5</v>
      </c>
      <c r="H9" s="273">
        <v>-6</v>
      </c>
      <c r="I9" s="273">
        <v>-7</v>
      </c>
      <c r="J9" s="273">
        <v>-8</v>
      </c>
      <c r="K9" s="273">
        <v>-9</v>
      </c>
      <c r="L9" s="273">
        <v>-10</v>
      </c>
      <c r="M9" s="274">
        <v>-11</v>
      </c>
      <c r="N9" s="273">
        <v>-12</v>
      </c>
      <c r="O9" s="273">
        <v>-13</v>
      </c>
      <c r="P9" s="273">
        <v>-14</v>
      </c>
      <c r="Q9" s="273">
        <v>-15</v>
      </c>
      <c r="R9" s="273">
        <v>-16</v>
      </c>
      <c r="S9" s="273">
        <v>-17</v>
      </c>
      <c r="T9" s="273">
        <v>-18</v>
      </c>
      <c r="U9" s="273">
        <v>-19</v>
      </c>
      <c r="V9" s="273">
        <v>-20</v>
      </c>
      <c r="W9" s="274">
        <v>-21</v>
      </c>
      <c r="X9" s="273">
        <v>-22</v>
      </c>
    </row>
    <row r="10" spans="1:24" ht="27" customHeight="1" x14ac:dyDescent="0.25">
      <c r="A10" s="143" t="s">
        <v>5</v>
      </c>
      <c r="B10" s="9" t="s">
        <v>441</v>
      </c>
      <c r="C10" s="143" t="s">
        <v>677</v>
      </c>
      <c r="D10" s="1240" t="s">
        <v>581</v>
      </c>
      <c r="E10" s="1240" t="s">
        <v>581</v>
      </c>
      <c r="F10" s="1128"/>
      <c r="G10" s="29"/>
      <c r="H10" s="29"/>
      <c r="I10" s="29"/>
      <c r="J10" s="29"/>
      <c r="K10" s="366"/>
      <c r="L10" s="455">
        <f>SUM(COUNTIF(D10:K10,"X"),COUNTIF(D10:K10,"A"))</f>
        <v>2</v>
      </c>
      <c r="M10" s="456">
        <f>SUM(COUNTIF(D10:K10,"X"),COUNTIF(D10:K10,"B"))</f>
        <v>2</v>
      </c>
      <c r="N10" s="1240" t="s">
        <v>581</v>
      </c>
      <c r="O10" s="1240" t="s">
        <v>581</v>
      </c>
      <c r="P10" s="1240" t="s">
        <v>581</v>
      </c>
      <c r="Q10" s="1240" t="s">
        <v>581</v>
      </c>
      <c r="R10" s="506"/>
      <c r="S10" s="29"/>
      <c r="T10" s="29"/>
      <c r="U10" s="29"/>
      <c r="V10" s="455">
        <f>SUM(COUNTIF(N10:U10,"X"),COUNTIF(N10:U10,"A"))</f>
        <v>4</v>
      </c>
      <c r="W10" s="456">
        <f>SUM(COUNTIF(N10:U10,"X"),COUNTIF(N10:U10,"B"))</f>
        <v>4</v>
      </c>
      <c r="X10" s="369"/>
    </row>
    <row r="11" spans="1:24" ht="27" customHeight="1" x14ac:dyDescent="0.25">
      <c r="A11" s="143" t="s">
        <v>6</v>
      </c>
      <c r="B11" s="9" t="s">
        <v>442</v>
      </c>
      <c r="C11" s="143" t="s">
        <v>678</v>
      </c>
      <c r="D11" s="1246" t="s">
        <v>581</v>
      </c>
      <c r="E11" s="1240" t="s">
        <v>581</v>
      </c>
      <c r="F11" s="1128"/>
      <c r="G11" s="202"/>
      <c r="H11" s="202"/>
      <c r="I11" s="202"/>
      <c r="J11" s="202"/>
      <c r="K11" s="371"/>
      <c r="L11" s="455">
        <f>SUM(COUNTIF(D11:K11,"X"),COUNTIF(D11:K11,"A"))</f>
        <v>2</v>
      </c>
      <c r="M11" s="456">
        <f>SUM(COUNTIF(D11:K11,"X"),COUNTIF(D11:K11,"B"))</f>
        <v>2</v>
      </c>
      <c r="N11" s="1246" t="s">
        <v>581</v>
      </c>
      <c r="O11" s="1240" t="s">
        <v>581</v>
      </c>
      <c r="P11" s="1246" t="s">
        <v>581</v>
      </c>
      <c r="Q11" s="1240" t="s">
        <v>581</v>
      </c>
      <c r="R11" s="506"/>
      <c r="S11" s="202"/>
      <c r="T11" s="202"/>
      <c r="U11" s="29"/>
      <c r="V11" s="455">
        <f>SUM(COUNTIF(N11:U11,"X"),COUNTIF(N11:U11,"A"))</f>
        <v>4</v>
      </c>
      <c r="W11" s="456">
        <f>SUM(COUNTIF(N11:U11,"X"),COUNTIF(N11:U11,"B"))</f>
        <v>4</v>
      </c>
      <c r="X11" s="369"/>
    </row>
    <row r="12" spans="1:24" ht="27" customHeight="1" x14ac:dyDescent="0.25">
      <c r="A12" s="362" t="s">
        <v>577</v>
      </c>
      <c r="B12" s="364"/>
      <c r="C12" s="364"/>
      <c r="D12" s="1246"/>
      <c r="E12" s="1240"/>
      <c r="F12" s="1128"/>
      <c r="G12" s="29"/>
      <c r="H12" s="29"/>
      <c r="I12" s="29"/>
      <c r="J12" s="29"/>
      <c r="K12" s="371"/>
      <c r="L12" s="455">
        <f>SUM(COUNTIF(D12:K12,"X"),COUNTIF(D12:K12,"A"))</f>
        <v>0</v>
      </c>
      <c r="M12" s="456">
        <f>SUM(COUNTIF(D12:K12,"X"),COUNTIF(D12:K12,"B"))</f>
        <v>0</v>
      </c>
      <c r="N12" s="1246"/>
      <c r="O12" s="1240"/>
      <c r="P12" s="1246"/>
      <c r="Q12" s="1240"/>
      <c r="R12" s="29"/>
      <c r="S12" s="29"/>
      <c r="T12" s="29"/>
      <c r="U12" s="29"/>
      <c r="V12" s="455">
        <f>SUM(COUNTIF(N12:U12,"X"),COUNTIF(N12:U12,"A"))</f>
        <v>0</v>
      </c>
      <c r="W12" s="456">
        <f>SUM(COUNTIF(N12:U12,"X"),COUNTIF(N12:U12,"B"))</f>
        <v>0</v>
      </c>
      <c r="X12" s="369"/>
    </row>
    <row r="13" spans="1:24" ht="27" customHeight="1" x14ac:dyDescent="0.25">
      <c r="A13" s="143" t="s">
        <v>10</v>
      </c>
      <c r="B13" s="277" t="s">
        <v>443</v>
      </c>
      <c r="C13" s="143" t="s">
        <v>679</v>
      </c>
      <c r="D13" s="1240" t="s">
        <v>581</v>
      </c>
      <c r="E13" s="1240" t="s">
        <v>581</v>
      </c>
      <c r="F13" s="1128"/>
      <c r="G13" s="202"/>
      <c r="H13" s="202"/>
      <c r="I13" s="202"/>
      <c r="J13" s="202"/>
      <c r="K13" s="339"/>
      <c r="L13" s="455">
        <f>SUM(COUNTIF(D13:K13,"X"),COUNTIF(D13:K13,"A"))</f>
        <v>2</v>
      </c>
      <c r="M13" s="456">
        <f>SUM(COUNTIF(D13:K13,"X"),COUNTIF(D13:K13,"B"))</f>
        <v>2</v>
      </c>
      <c r="N13" s="1240" t="s">
        <v>581</v>
      </c>
      <c r="O13" s="1240" t="s">
        <v>581</v>
      </c>
      <c r="P13" s="1240" t="s">
        <v>581</v>
      </c>
      <c r="Q13" s="1240" t="s">
        <v>581</v>
      </c>
      <c r="R13" s="506"/>
      <c r="S13" s="202"/>
      <c r="T13" s="202"/>
      <c r="U13" s="29"/>
      <c r="V13" s="455">
        <f>SUM(COUNTIF(N13:U13,"X"),COUNTIF(N13:U13,"A"))</f>
        <v>4</v>
      </c>
      <c r="W13" s="456">
        <f>SUM(COUNTIF(N13:U13,"X"),COUNTIF(N13:U13,"B"))</f>
        <v>4</v>
      </c>
      <c r="X13" s="369"/>
    </row>
    <row r="14" spans="1:24" ht="15.75" x14ac:dyDescent="0.25">
      <c r="A14" s="1411"/>
      <c r="B14" s="1411"/>
      <c r="C14" s="1411"/>
      <c r="D14" s="1411"/>
      <c r="E14" s="1411"/>
      <c r="F14" s="1411"/>
      <c r="G14" s="1411"/>
      <c r="H14" s="1411"/>
      <c r="I14" s="1411"/>
      <c r="J14" s="1411"/>
      <c r="K14" s="1411"/>
      <c r="L14" s="1411"/>
      <c r="M14" s="1411"/>
      <c r="N14" s="1411"/>
      <c r="O14" s="1411"/>
      <c r="P14" s="1411"/>
      <c r="Q14" s="1411"/>
      <c r="R14" s="1411"/>
      <c r="S14" s="1411"/>
      <c r="T14" s="1411"/>
      <c r="U14" s="1411"/>
      <c r="V14" s="1411"/>
      <c r="W14" s="1411"/>
      <c r="X14" s="1411"/>
    </row>
    <row r="15" spans="1:24" ht="15.75" x14ac:dyDescent="0.25">
      <c r="A15" s="1395" t="s">
        <v>578</v>
      </c>
      <c r="B15" s="1395"/>
      <c r="C15" s="1395"/>
      <c r="D15" s="1395"/>
      <c r="E15" s="1395"/>
      <c r="F15" s="1395"/>
      <c r="G15" s="1395"/>
      <c r="H15" s="1395"/>
      <c r="I15" s="1395"/>
      <c r="J15" s="1395"/>
      <c r="K15" s="1395"/>
      <c r="L15" s="1395"/>
      <c r="M15" s="1395"/>
      <c r="N15" s="1395"/>
      <c r="O15" s="1395"/>
      <c r="P15" s="1395"/>
      <c r="Q15" s="1395"/>
      <c r="R15" s="1395"/>
      <c r="S15" s="1395"/>
      <c r="T15" s="1395"/>
      <c r="U15" s="1395"/>
      <c r="V15" s="1395"/>
      <c r="W15" s="1395"/>
      <c r="X15" s="1395"/>
    </row>
    <row r="16" spans="1:24" ht="17.25" x14ac:dyDescent="0.3">
      <c r="A16" s="375"/>
      <c r="B16" s="375"/>
      <c r="C16" s="375"/>
      <c r="D16" s="376"/>
      <c r="E16" s="376"/>
      <c r="F16" s="376"/>
      <c r="G16" s="376"/>
      <c r="H16" s="376"/>
      <c r="I16" s="376"/>
      <c r="J16" s="376"/>
      <c r="K16" s="376"/>
      <c r="L16" s="377"/>
      <c r="M16" s="377"/>
      <c r="N16" s="224"/>
      <c r="O16" s="224"/>
      <c r="P16" s="224" t="str">
        <f>TT.ĐTLTT!U23</f>
        <v>TP. HCM, ngày 2 tháng 11 năm 2023</v>
      </c>
      <c r="Q16" s="224"/>
      <c r="R16" s="224"/>
      <c r="S16" s="224"/>
      <c r="T16" s="224"/>
      <c r="U16" s="224"/>
      <c r="V16" s="224"/>
      <c r="W16" s="224"/>
      <c r="X16" s="224"/>
    </row>
    <row r="17" spans="1:24" ht="17.25" x14ac:dyDescent="0.3">
      <c r="A17" s="375"/>
      <c r="B17" s="375"/>
      <c r="C17" s="375"/>
      <c r="D17" s="376"/>
      <c r="E17" s="376"/>
      <c r="F17" s="376"/>
      <c r="G17" s="376"/>
      <c r="H17" s="376"/>
      <c r="I17" s="376"/>
      <c r="J17" s="376"/>
      <c r="K17" s="376"/>
      <c r="N17" s="1403" t="s">
        <v>579</v>
      </c>
      <c r="O17" s="1403"/>
      <c r="P17" s="1403"/>
      <c r="Q17" s="1403"/>
      <c r="R17" s="1403"/>
      <c r="S17" s="1403"/>
      <c r="T17" s="1403"/>
      <c r="U17" s="1403"/>
      <c r="V17" s="1403"/>
      <c r="W17" s="1403"/>
      <c r="X17" s="1403"/>
    </row>
    <row r="18" spans="1:24" ht="18.75" x14ac:dyDescent="0.3">
      <c r="B18" s="381" t="s">
        <v>805</v>
      </c>
      <c r="C18" s="382" t="s">
        <v>802</v>
      </c>
    </row>
    <row r="19" spans="1:24" ht="18.75" x14ac:dyDescent="0.3">
      <c r="B19" s="382" t="s">
        <v>803</v>
      </c>
      <c r="C19" s="382" t="s">
        <v>804</v>
      </c>
    </row>
  </sheetData>
  <mergeCells count="13">
    <mergeCell ref="N17:X17"/>
    <mergeCell ref="A7:A8"/>
    <mergeCell ref="B7:C7"/>
    <mergeCell ref="D7:L7"/>
    <mergeCell ref="N7:V7"/>
    <mergeCell ref="A14:X14"/>
    <mergeCell ref="A15:X15"/>
    <mergeCell ref="A5:X5"/>
    <mergeCell ref="A1:C1"/>
    <mergeCell ref="N1:X1"/>
    <mergeCell ref="A2:C2"/>
    <mergeCell ref="N2:X2"/>
    <mergeCell ref="A3:C3"/>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T20"/>
  <sheetViews>
    <sheetView topLeftCell="A7" workbookViewId="0">
      <selection activeCell="L10" sqref="L10:N11"/>
    </sheetView>
  </sheetViews>
  <sheetFormatPr defaultRowHeight="15" x14ac:dyDescent="0.25"/>
  <cols>
    <col min="1" max="1" width="5.28515625" style="356" customWidth="1"/>
    <col min="2" max="2" width="23.5703125" style="356" customWidth="1"/>
    <col min="3" max="3" width="13.5703125" style="356" customWidth="1"/>
    <col min="4" max="19" width="6.7109375" style="388" customWidth="1"/>
    <col min="20" max="20" width="15.7109375" style="388" customWidth="1"/>
    <col min="21" max="16384" width="9.140625" style="356"/>
  </cols>
  <sheetData>
    <row r="1" spans="1:20" ht="15.75" x14ac:dyDescent="0.25">
      <c r="A1" s="1400" t="s">
        <v>559</v>
      </c>
      <c r="B1" s="1400"/>
      <c r="C1" s="1400"/>
      <c r="D1" s="16"/>
      <c r="E1" s="16"/>
      <c r="F1" s="16"/>
      <c r="G1" s="16"/>
      <c r="H1" s="16"/>
      <c r="I1" s="16"/>
      <c r="J1" s="17"/>
      <c r="K1" s="17"/>
      <c r="L1" s="1401" t="s">
        <v>560</v>
      </c>
      <c r="M1" s="1401"/>
      <c r="N1" s="1401"/>
      <c r="O1" s="1401"/>
      <c r="P1" s="1402"/>
      <c r="Q1" s="1402"/>
      <c r="R1" s="1402"/>
      <c r="S1" s="1402"/>
      <c r="T1" s="1402"/>
    </row>
    <row r="2" spans="1:20" ht="15.75" x14ac:dyDescent="0.25">
      <c r="A2" s="1400" t="s">
        <v>561</v>
      </c>
      <c r="B2" s="1400"/>
      <c r="C2" s="1400"/>
      <c r="D2" s="16"/>
      <c r="E2" s="16"/>
      <c r="F2" s="16"/>
      <c r="G2" s="16"/>
      <c r="H2" s="16"/>
      <c r="I2" s="16"/>
      <c r="J2" s="17"/>
      <c r="K2" s="17"/>
      <c r="L2" s="1401" t="s">
        <v>562</v>
      </c>
      <c r="M2" s="1401"/>
      <c r="N2" s="1401"/>
      <c r="O2" s="1401"/>
      <c r="P2" s="1401"/>
      <c r="Q2" s="1401"/>
      <c r="R2" s="1401"/>
      <c r="S2" s="1401"/>
      <c r="T2" s="1401"/>
    </row>
    <row r="3" spans="1:20" ht="15.75" x14ac:dyDescent="0.25">
      <c r="A3" s="1401" t="s">
        <v>53</v>
      </c>
      <c r="B3" s="1401"/>
      <c r="C3" s="1401"/>
      <c r="D3" s="16"/>
      <c r="E3" s="16"/>
      <c r="F3" s="16"/>
      <c r="G3" s="16"/>
      <c r="H3" s="16"/>
      <c r="I3" s="16"/>
      <c r="J3" s="17"/>
      <c r="K3" s="17"/>
      <c r="L3" s="17"/>
      <c r="M3" s="17"/>
      <c r="N3" s="17"/>
      <c r="O3" s="17"/>
      <c r="P3" s="17"/>
      <c r="Q3" s="17"/>
      <c r="R3" s="17"/>
      <c r="S3" s="17"/>
      <c r="T3" s="17"/>
    </row>
    <row r="4" spans="1:20" ht="15.75" x14ac:dyDescent="0.25">
      <c r="A4" s="18"/>
      <c r="B4" s="18"/>
      <c r="C4" s="18"/>
      <c r="D4" s="16"/>
      <c r="E4" s="16"/>
      <c r="F4" s="16"/>
      <c r="G4" s="16"/>
      <c r="H4" s="16"/>
      <c r="I4" s="16"/>
      <c r="J4" s="17"/>
      <c r="K4" s="17"/>
      <c r="L4" s="17"/>
      <c r="M4" s="17"/>
      <c r="N4" s="17"/>
      <c r="O4" s="17"/>
      <c r="P4" s="17"/>
      <c r="Q4" s="17"/>
      <c r="R4" s="17"/>
      <c r="S4" s="17"/>
      <c r="T4" s="19" t="s">
        <v>563</v>
      </c>
    </row>
    <row r="5" spans="1:20" ht="20.25" x14ac:dyDescent="0.25">
      <c r="A5" s="1390" t="str">
        <f>'TT.Y TẾ'!A5:X5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row>
    <row r="7" spans="1:20" ht="23.25" customHeight="1" x14ac:dyDescent="0.25">
      <c r="A7" s="1376" t="s">
        <v>0</v>
      </c>
      <c r="B7" s="1450" t="s">
        <v>564</v>
      </c>
      <c r="C7" s="1450"/>
      <c r="D7" s="1330" t="s">
        <v>110</v>
      </c>
      <c r="E7" s="1344"/>
      <c r="F7" s="1344"/>
      <c r="G7" s="1344"/>
      <c r="H7" s="1344"/>
      <c r="I7" s="1344"/>
      <c r="J7" s="1331"/>
      <c r="K7" s="451"/>
      <c r="L7" s="1330" t="s">
        <v>565</v>
      </c>
      <c r="M7" s="1344"/>
      <c r="N7" s="1344"/>
      <c r="O7" s="1344"/>
      <c r="P7" s="1344"/>
      <c r="Q7" s="1344"/>
      <c r="R7" s="1331"/>
      <c r="S7" s="432"/>
      <c r="T7" s="360" t="s">
        <v>4</v>
      </c>
    </row>
    <row r="8" spans="1:20" ht="43.5" customHeight="1" x14ac:dyDescent="0.25">
      <c r="A8" s="1376"/>
      <c r="B8" s="1" t="s">
        <v>461</v>
      </c>
      <c r="C8" s="1" t="s">
        <v>566</v>
      </c>
      <c r="D8" s="212" t="s">
        <v>567</v>
      </c>
      <c r="E8" s="212" t="s">
        <v>568</v>
      </c>
      <c r="F8" s="212" t="s">
        <v>569</v>
      </c>
      <c r="G8" s="212" t="s">
        <v>570</v>
      </c>
      <c r="H8" s="212" t="s">
        <v>571</v>
      </c>
      <c r="I8" s="212" t="s">
        <v>572</v>
      </c>
      <c r="J8" s="133" t="s">
        <v>588</v>
      </c>
      <c r="K8" s="361" t="s">
        <v>795</v>
      </c>
      <c r="L8" s="212" t="s">
        <v>567</v>
      </c>
      <c r="M8" s="212" t="s">
        <v>568</v>
      </c>
      <c r="N8" s="212" t="s">
        <v>569</v>
      </c>
      <c r="O8" s="212" t="s">
        <v>570</v>
      </c>
      <c r="P8" s="212" t="s">
        <v>571</v>
      </c>
      <c r="Q8" s="212" t="s">
        <v>572</v>
      </c>
      <c r="R8" s="133" t="s">
        <v>588</v>
      </c>
      <c r="S8" s="361" t="s">
        <v>795</v>
      </c>
      <c r="T8" s="360"/>
    </row>
    <row r="9" spans="1:20" ht="25.5" customHeight="1" x14ac:dyDescent="0.25">
      <c r="A9" s="362" t="s">
        <v>574</v>
      </c>
      <c r="B9" s="352"/>
      <c r="C9" s="273">
        <v>-1</v>
      </c>
      <c r="D9" s="273">
        <v>-2</v>
      </c>
      <c r="E9" s="273">
        <v>-3</v>
      </c>
      <c r="F9" s="273">
        <v>-4</v>
      </c>
      <c r="G9" s="273">
        <v>-5</v>
      </c>
      <c r="H9" s="273">
        <v>-6</v>
      </c>
      <c r="I9" s="273">
        <v>-7</v>
      </c>
      <c r="J9" s="363">
        <v>-8</v>
      </c>
      <c r="K9" s="274">
        <v>-9</v>
      </c>
      <c r="L9" s="273">
        <v>-10</v>
      </c>
      <c r="M9" s="273">
        <v>-11</v>
      </c>
      <c r="N9" s="273">
        <v>-12</v>
      </c>
      <c r="O9" s="273">
        <v>-13</v>
      </c>
      <c r="P9" s="273">
        <v>-14</v>
      </c>
      <c r="Q9" s="273">
        <v>-15</v>
      </c>
      <c r="R9" s="363">
        <v>-16</v>
      </c>
      <c r="S9" s="274">
        <v>-17</v>
      </c>
      <c r="T9" s="273">
        <v>-18</v>
      </c>
    </row>
    <row r="10" spans="1:20" ht="21.75" customHeight="1" x14ac:dyDescent="0.25">
      <c r="A10" s="143" t="s">
        <v>5</v>
      </c>
      <c r="B10" s="364" t="s">
        <v>444</v>
      </c>
      <c r="C10" s="476" t="s">
        <v>609</v>
      </c>
      <c r="D10" s="1240" t="s">
        <v>1141</v>
      </c>
      <c r="E10" s="1240" t="s">
        <v>1141</v>
      </c>
      <c r="F10" s="1128"/>
      <c r="G10" s="1128"/>
      <c r="H10" s="366"/>
      <c r="I10" s="366"/>
      <c r="J10" s="473">
        <f>SUM(COUNTIF(D10:I10,"X"),COUNTIF(D10:I10,"A"))</f>
        <v>2</v>
      </c>
      <c r="K10" s="474">
        <f>SUM(COUNTIF(D10:I10,"X"),COUNTIF(D10:I10,"B"))</f>
        <v>2</v>
      </c>
      <c r="L10" s="1243" t="s">
        <v>1141</v>
      </c>
      <c r="M10" s="1243"/>
      <c r="N10" s="1243" t="s">
        <v>1141</v>
      </c>
      <c r="O10" s="1128"/>
      <c r="P10" s="29"/>
      <c r="Q10" s="29"/>
      <c r="R10" s="473">
        <f>SUM(COUNTIF(L10:Q10,"X"),COUNTIF(L10:Q10,"A"))</f>
        <v>2</v>
      </c>
      <c r="S10" s="474">
        <f>SUM(COUNTIF(L10:Q10,"X"),COUNTIF(L10:Q10,"B"))</f>
        <v>2</v>
      </c>
      <c r="T10" s="369"/>
    </row>
    <row r="11" spans="1:20" ht="21.75" customHeight="1" x14ac:dyDescent="0.25">
      <c r="A11" s="143" t="s">
        <v>6</v>
      </c>
      <c r="B11" s="364" t="s">
        <v>445</v>
      </c>
      <c r="C11" s="476" t="s">
        <v>765</v>
      </c>
      <c r="D11" s="716"/>
      <c r="E11" s="716"/>
      <c r="F11" s="717"/>
      <c r="G11" s="488"/>
      <c r="H11" s="371"/>
      <c r="I11" s="371"/>
      <c r="J11" s="473">
        <f>SUM(COUNTIF(D11:I11,"X"),COUNTIF(D11:I11,"A"))</f>
        <v>0</v>
      </c>
      <c r="K11" s="474">
        <f>SUM(COUNTIF(D11:I11,"X"),COUNTIF(D11:I11,"B"))</f>
        <v>0</v>
      </c>
      <c r="L11" s="1248"/>
      <c r="M11" s="1248" t="s">
        <v>1141</v>
      </c>
      <c r="N11" s="1243"/>
      <c r="O11" s="715"/>
      <c r="P11" s="29"/>
      <c r="Q11" s="29"/>
      <c r="R11" s="473">
        <f>SUM(COUNTIF(L11:Q11,"X"),COUNTIF(L11:Q11,"A"))</f>
        <v>1</v>
      </c>
      <c r="S11" s="474">
        <f>SUM(COUNTIF(L11:Q11,"X"),COUNTIF(L11:Q11,"B"))</f>
        <v>1</v>
      </c>
      <c r="T11" s="369"/>
    </row>
    <row r="12" spans="1:20" ht="15.75" x14ac:dyDescent="0.25">
      <c r="A12" s="1411"/>
      <c r="B12" s="1411"/>
      <c r="C12" s="1411"/>
      <c r="D12" s="1411"/>
      <c r="E12" s="1411"/>
      <c r="F12" s="1411"/>
      <c r="G12" s="1411"/>
      <c r="H12" s="1411"/>
      <c r="I12" s="1411"/>
      <c r="J12" s="1411"/>
      <c r="K12" s="1411"/>
      <c r="L12" s="1411"/>
      <c r="M12" s="1411"/>
      <c r="N12" s="1411"/>
      <c r="O12" s="1411"/>
      <c r="P12" s="1411"/>
      <c r="Q12" s="1411"/>
      <c r="R12" s="1411"/>
      <c r="S12" s="1411"/>
      <c r="T12" s="1411"/>
    </row>
    <row r="13" spans="1:20" ht="15.75" x14ac:dyDescent="0.25">
      <c r="A13" s="1395" t="s">
        <v>578</v>
      </c>
      <c r="B13" s="1395"/>
      <c r="C13" s="1395"/>
      <c r="D13" s="1395"/>
      <c r="E13" s="1395"/>
      <c r="F13" s="1395"/>
      <c r="G13" s="1395"/>
      <c r="H13" s="1395"/>
      <c r="I13" s="1395"/>
      <c r="J13" s="1395"/>
      <c r="K13" s="1395"/>
      <c r="L13" s="1395"/>
      <c r="M13" s="1395"/>
      <c r="N13" s="1395"/>
      <c r="O13" s="1395"/>
      <c r="P13" s="1395"/>
      <c r="Q13" s="1395"/>
      <c r="R13" s="1395"/>
      <c r="S13" s="1395"/>
      <c r="T13" s="1395"/>
    </row>
    <row r="14" spans="1:20" ht="17.25" x14ac:dyDescent="0.3">
      <c r="A14" s="375"/>
      <c r="B14" s="375"/>
      <c r="C14" s="375"/>
      <c r="D14" s="376"/>
      <c r="E14" s="376"/>
      <c r="F14" s="376"/>
      <c r="G14" s="376"/>
      <c r="H14" s="376"/>
      <c r="I14" s="376"/>
      <c r="J14" s="377"/>
      <c r="K14" s="377"/>
      <c r="L14" s="224"/>
      <c r="M14" s="224"/>
      <c r="N14" s="224" t="str">
        <f>'TT.Y TẾ'!P16</f>
        <v>TP. HCM, ngày 2 tháng 11 năm 2023</v>
      </c>
      <c r="O14" s="224"/>
      <c r="P14" s="224"/>
      <c r="Q14" s="224"/>
      <c r="R14" s="224"/>
      <c r="S14" s="224"/>
      <c r="T14" s="224"/>
    </row>
    <row r="15" spans="1:20" ht="17.25" x14ac:dyDescent="0.3">
      <c r="A15" s="375"/>
      <c r="B15" s="375"/>
      <c r="C15" s="375"/>
      <c r="D15" s="376"/>
      <c r="E15" s="376"/>
      <c r="F15" s="376"/>
      <c r="G15" s="376"/>
      <c r="H15" s="376"/>
      <c r="I15" s="376"/>
      <c r="L15" s="1403" t="s">
        <v>579</v>
      </c>
      <c r="M15" s="1403"/>
      <c r="N15" s="1403"/>
      <c r="O15" s="1403"/>
      <c r="P15" s="1403"/>
      <c r="Q15" s="1403"/>
      <c r="R15" s="1403"/>
      <c r="S15" s="1403"/>
      <c r="T15" s="1403"/>
    </row>
    <row r="16" spans="1:20" ht="20.25" customHeight="1" x14ac:dyDescent="0.3">
      <c r="B16" s="381" t="s">
        <v>805</v>
      </c>
      <c r="C16" s="382" t="s">
        <v>802</v>
      </c>
    </row>
    <row r="17" spans="2:20" ht="18.75" x14ac:dyDescent="0.3">
      <c r="B17" s="382" t="s">
        <v>803</v>
      </c>
      <c r="C17" s="382" t="s">
        <v>804</v>
      </c>
    </row>
    <row r="20" spans="2:20" ht="15.75" x14ac:dyDescent="0.25">
      <c r="L20" s="1453" t="s">
        <v>608</v>
      </c>
      <c r="M20" s="1453"/>
      <c r="N20" s="1453"/>
      <c r="O20" s="1453"/>
      <c r="P20" s="1453"/>
      <c r="Q20" s="1453"/>
      <c r="R20" s="1453"/>
      <c r="S20" s="1453"/>
      <c r="T20" s="1453"/>
    </row>
  </sheetData>
  <mergeCells count="14">
    <mergeCell ref="L15:T15"/>
    <mergeCell ref="L20:T20"/>
    <mergeCell ref="A7:A8"/>
    <mergeCell ref="B7:C7"/>
    <mergeCell ref="A12:T12"/>
    <mergeCell ref="A13:T13"/>
    <mergeCell ref="D7:J7"/>
    <mergeCell ref="L7:R7"/>
    <mergeCell ref="A5:T5"/>
    <mergeCell ref="A1:C1"/>
    <mergeCell ref="L1:T1"/>
    <mergeCell ref="A2:C2"/>
    <mergeCell ref="L2:T2"/>
    <mergeCell ref="A3:C3"/>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D26"/>
  <sheetViews>
    <sheetView topLeftCell="A7" zoomScale="80" zoomScaleNormal="80" workbookViewId="0">
      <selection activeCell="O15" sqref="O15"/>
    </sheetView>
  </sheetViews>
  <sheetFormatPr defaultRowHeight="15" x14ac:dyDescent="0.25"/>
  <cols>
    <col min="1" max="1" width="3.85546875" style="356" customWidth="1"/>
    <col min="2" max="2" width="25.140625" style="356" customWidth="1"/>
    <col min="3" max="3" width="12.7109375" style="356" customWidth="1"/>
    <col min="4" max="29" width="6.7109375" style="388" customWidth="1"/>
    <col min="30" max="30" width="7.42578125" style="388" customWidth="1"/>
    <col min="31" max="16384" width="9.140625" style="356"/>
  </cols>
  <sheetData>
    <row r="1" spans="1:30" ht="15" customHeight="1" x14ac:dyDescent="0.25">
      <c r="A1" s="1400" t="s">
        <v>559</v>
      </c>
      <c r="B1" s="1400"/>
      <c r="C1" s="1400"/>
      <c r="D1" s="16"/>
      <c r="E1" s="17"/>
      <c r="F1" s="17"/>
      <c r="G1" s="17"/>
      <c r="H1" s="17"/>
      <c r="I1" s="17"/>
      <c r="J1" s="17"/>
      <c r="K1" s="17"/>
      <c r="L1" s="17"/>
      <c r="M1" s="17"/>
      <c r="N1" s="17"/>
      <c r="O1" s="17"/>
      <c r="P1" s="17"/>
      <c r="Q1" s="17"/>
      <c r="R1" s="1401" t="s">
        <v>560</v>
      </c>
      <c r="S1" s="1401"/>
      <c r="T1" s="1401"/>
      <c r="U1" s="1401"/>
      <c r="V1" s="1401"/>
      <c r="W1" s="1401"/>
      <c r="X1" s="1401"/>
      <c r="Y1" s="1401"/>
      <c r="Z1" s="1401"/>
      <c r="AA1" s="1401"/>
      <c r="AB1" s="1401"/>
      <c r="AC1" s="1401"/>
      <c r="AD1" s="1401"/>
    </row>
    <row r="2" spans="1:30" ht="15" customHeight="1" x14ac:dyDescent="0.25">
      <c r="A2" s="1400" t="s">
        <v>561</v>
      </c>
      <c r="B2" s="1400"/>
      <c r="C2" s="1400"/>
      <c r="D2" s="16"/>
      <c r="E2" s="17"/>
      <c r="F2" s="17"/>
      <c r="G2" s="17"/>
      <c r="H2" s="17"/>
      <c r="I2" s="17"/>
      <c r="J2" s="17"/>
      <c r="K2" s="17"/>
      <c r="L2" s="17"/>
      <c r="M2" s="17"/>
      <c r="N2" s="17"/>
      <c r="O2" s="17"/>
      <c r="P2" s="17"/>
      <c r="Q2" s="17"/>
      <c r="R2" s="1401" t="s">
        <v>562</v>
      </c>
      <c r="S2" s="1401"/>
      <c r="T2" s="1401"/>
      <c r="U2" s="1401"/>
      <c r="V2" s="1401"/>
      <c r="W2" s="1401"/>
      <c r="X2" s="1401"/>
      <c r="Y2" s="1401"/>
      <c r="Z2" s="1401"/>
      <c r="AA2" s="1401"/>
      <c r="AB2" s="1401"/>
      <c r="AC2" s="1401"/>
      <c r="AD2" s="1401"/>
    </row>
    <row r="3" spans="1:30" ht="36.75" customHeight="1" x14ac:dyDescent="0.25">
      <c r="A3" s="1401" t="s">
        <v>610</v>
      </c>
      <c r="B3" s="1401"/>
      <c r="C3" s="1401"/>
      <c r="D3" s="16"/>
      <c r="E3" s="17"/>
      <c r="F3" s="17"/>
      <c r="G3" s="17"/>
      <c r="H3" s="17"/>
      <c r="I3" s="17"/>
      <c r="J3" s="17"/>
      <c r="K3" s="17"/>
      <c r="L3" s="17"/>
      <c r="M3" s="17"/>
      <c r="N3" s="17"/>
      <c r="O3" s="17"/>
      <c r="P3" s="17"/>
      <c r="Q3" s="17"/>
      <c r="R3" s="17"/>
      <c r="S3" s="17"/>
      <c r="T3" s="17"/>
      <c r="U3" s="17"/>
      <c r="V3" s="17"/>
      <c r="W3" s="17"/>
      <c r="X3" s="17"/>
      <c r="Y3" s="17"/>
      <c r="Z3" s="17"/>
      <c r="AA3" s="17"/>
      <c r="AB3" s="17"/>
      <c r="AC3" s="17"/>
      <c r="AD3" s="17"/>
    </row>
    <row r="4" spans="1:30" ht="15" customHeight="1" x14ac:dyDescent="0.25">
      <c r="A4" s="18"/>
      <c r="B4" s="18"/>
      <c r="C4" s="18"/>
      <c r="D4" s="16"/>
      <c r="E4" s="17"/>
      <c r="F4" s="17"/>
      <c r="G4" s="17"/>
      <c r="H4" s="17"/>
      <c r="I4" s="17"/>
      <c r="J4" s="17"/>
      <c r="K4" s="17"/>
      <c r="L4" s="17"/>
      <c r="M4" s="17"/>
      <c r="N4" s="17"/>
      <c r="O4" s="17"/>
      <c r="P4" s="17"/>
      <c r="Q4" s="17"/>
      <c r="R4" s="17"/>
      <c r="S4" s="17"/>
      <c r="T4" s="17"/>
      <c r="U4" s="17"/>
      <c r="V4" s="17"/>
      <c r="W4" s="17"/>
      <c r="X4" s="17"/>
      <c r="Y4" s="17"/>
      <c r="Z4" s="17"/>
      <c r="AA4" s="17"/>
      <c r="AB4" s="17"/>
      <c r="AC4" s="17"/>
      <c r="AD4" s="19" t="s">
        <v>563</v>
      </c>
    </row>
    <row r="5" spans="1:30" ht="33.75" customHeight="1" x14ac:dyDescent="0.25">
      <c r="A5" s="1390" t="str">
        <f>TT.QHDN!A5</f>
        <v>THỐNG KÊ CHI TIẾT KHỐI LƯỢNG CÔNG VIỆC THỰC HIỆN THÁNG 10/2023</v>
      </c>
      <c r="B5" s="1390"/>
      <c r="C5" s="1390"/>
      <c r="D5" s="1390"/>
      <c r="E5" s="1390"/>
      <c r="F5" s="1390"/>
      <c r="G5" s="1390"/>
      <c r="H5" s="1390"/>
      <c r="I5" s="1390"/>
      <c r="J5" s="1390"/>
      <c r="K5" s="1390"/>
      <c r="L5" s="1390"/>
      <c r="M5" s="1390"/>
      <c r="N5" s="1390"/>
      <c r="O5" s="1390"/>
      <c r="P5" s="1390"/>
      <c r="Q5" s="1390"/>
      <c r="R5" s="1390"/>
      <c r="S5" s="1390"/>
      <c r="T5" s="1390"/>
      <c r="U5" s="1390"/>
      <c r="V5" s="1390"/>
      <c r="W5" s="1390"/>
      <c r="X5" s="1390"/>
      <c r="Y5" s="1390"/>
      <c r="Z5" s="1390"/>
      <c r="AA5" s="1390"/>
      <c r="AB5" s="1390"/>
      <c r="AC5" s="1390"/>
      <c r="AD5" s="1390"/>
    </row>
    <row r="6" spans="1:30" hidden="1" x14ac:dyDescent="0.25"/>
    <row r="7" spans="1:30" ht="33.75" customHeight="1" x14ac:dyDescent="0.25">
      <c r="A7" s="1396" t="s">
        <v>0</v>
      </c>
      <c r="B7" s="1409" t="s">
        <v>564</v>
      </c>
      <c r="C7" s="1409"/>
      <c r="D7" s="1391" t="s">
        <v>110</v>
      </c>
      <c r="E7" s="1392"/>
      <c r="F7" s="1392"/>
      <c r="G7" s="1392"/>
      <c r="H7" s="1392"/>
      <c r="I7" s="1392"/>
      <c r="J7" s="1392"/>
      <c r="K7" s="1392"/>
      <c r="L7" s="1392"/>
      <c r="M7" s="1392"/>
      <c r="N7" s="1392"/>
      <c r="O7" s="1392"/>
      <c r="P7" s="1392"/>
      <c r="Q7" s="358"/>
      <c r="R7" s="1392" t="s">
        <v>565</v>
      </c>
      <c r="S7" s="1392"/>
      <c r="T7" s="1392"/>
      <c r="U7" s="1392"/>
      <c r="V7" s="1392"/>
      <c r="W7" s="1392"/>
      <c r="X7" s="1392"/>
      <c r="Y7" s="1392"/>
      <c r="Z7" s="1392"/>
      <c r="AA7" s="1392"/>
      <c r="AB7" s="1393"/>
      <c r="AC7" s="359"/>
      <c r="AD7" s="360" t="s">
        <v>4</v>
      </c>
    </row>
    <row r="8" spans="1:30" ht="45.75" customHeight="1" x14ac:dyDescent="0.25">
      <c r="A8" s="1397"/>
      <c r="B8" s="438" t="s">
        <v>461</v>
      </c>
      <c r="C8" s="439" t="s">
        <v>566</v>
      </c>
      <c r="D8" s="212" t="s">
        <v>567</v>
      </c>
      <c r="E8" s="212" t="s">
        <v>568</v>
      </c>
      <c r="F8" s="212" t="s">
        <v>569</v>
      </c>
      <c r="G8" s="212" t="s">
        <v>570</v>
      </c>
      <c r="H8" s="212" t="s">
        <v>571</v>
      </c>
      <c r="I8" s="212" t="s">
        <v>572</v>
      </c>
      <c r="J8" s="212" t="s">
        <v>573</v>
      </c>
      <c r="K8" s="212" t="s">
        <v>703</v>
      </c>
      <c r="L8" s="212" t="s">
        <v>704</v>
      </c>
      <c r="M8" s="212" t="s">
        <v>748</v>
      </c>
      <c r="N8" s="212" t="s">
        <v>749</v>
      </c>
      <c r="O8" s="212" t="s">
        <v>750</v>
      </c>
      <c r="P8" s="134" t="s">
        <v>588</v>
      </c>
      <c r="Q8" s="361" t="s">
        <v>795</v>
      </c>
      <c r="R8" s="132" t="s">
        <v>567</v>
      </c>
      <c r="S8" s="132" t="s">
        <v>568</v>
      </c>
      <c r="T8" s="132" t="s">
        <v>569</v>
      </c>
      <c r="U8" s="132" t="s">
        <v>570</v>
      </c>
      <c r="V8" s="132" t="s">
        <v>571</v>
      </c>
      <c r="W8" s="132" t="s">
        <v>572</v>
      </c>
      <c r="X8" s="132" t="s">
        <v>573</v>
      </c>
      <c r="Y8" s="132" t="s">
        <v>703</v>
      </c>
      <c r="Z8" s="132" t="s">
        <v>704</v>
      </c>
      <c r="AA8" s="132" t="s">
        <v>748</v>
      </c>
      <c r="AB8" s="134" t="s">
        <v>588</v>
      </c>
      <c r="AC8" s="361" t="s">
        <v>795</v>
      </c>
      <c r="AD8" s="477"/>
    </row>
    <row r="9" spans="1:30" ht="24.75" customHeight="1" x14ac:dyDescent="0.25">
      <c r="A9" s="475" t="s">
        <v>574</v>
      </c>
      <c r="B9" s="360"/>
      <c r="C9" s="273">
        <v>-1</v>
      </c>
      <c r="D9" s="273">
        <v>-2</v>
      </c>
      <c r="E9" s="273">
        <v>-3</v>
      </c>
      <c r="F9" s="273">
        <v>-4</v>
      </c>
      <c r="G9" s="273">
        <v>-5</v>
      </c>
      <c r="H9" s="273">
        <v>-6</v>
      </c>
      <c r="I9" s="273">
        <v>-7</v>
      </c>
      <c r="J9" s="273">
        <v>-8</v>
      </c>
      <c r="K9" s="273">
        <v>-9</v>
      </c>
      <c r="L9" s="273">
        <v>-10</v>
      </c>
      <c r="M9" s="273">
        <v>-11</v>
      </c>
      <c r="N9" s="273">
        <v>-12</v>
      </c>
      <c r="O9" s="273">
        <v>-13</v>
      </c>
      <c r="P9" s="363">
        <v>-14</v>
      </c>
      <c r="Q9" s="274">
        <v>-15</v>
      </c>
      <c r="R9" s="273">
        <v>-16</v>
      </c>
      <c r="S9" s="273">
        <v>-17</v>
      </c>
      <c r="T9" s="273">
        <v>-18</v>
      </c>
      <c r="U9" s="273">
        <v>-19</v>
      </c>
      <c r="V9" s="273">
        <v>-20</v>
      </c>
      <c r="W9" s="273">
        <v>-21</v>
      </c>
      <c r="X9" s="273">
        <v>-22</v>
      </c>
      <c r="Y9" s="273">
        <v>-23</v>
      </c>
      <c r="Z9" s="273">
        <v>-24</v>
      </c>
      <c r="AA9" s="273">
        <v>-25</v>
      </c>
      <c r="AB9" s="363">
        <v>-26</v>
      </c>
      <c r="AC9" s="274">
        <v>-27</v>
      </c>
      <c r="AD9" s="273">
        <v>-28</v>
      </c>
    </row>
    <row r="10" spans="1:30" ht="27.75" customHeight="1" x14ac:dyDescent="0.25">
      <c r="A10" s="478" t="s">
        <v>5</v>
      </c>
      <c r="B10" s="479" t="s">
        <v>446</v>
      </c>
      <c r="C10" s="478" t="s">
        <v>611</v>
      </c>
      <c r="D10" s="1240" t="s">
        <v>581</v>
      </c>
      <c r="E10" s="1240" t="s">
        <v>581</v>
      </c>
      <c r="F10" s="1240" t="s">
        <v>581</v>
      </c>
      <c r="G10" s="1274"/>
      <c r="H10" s="1240" t="s">
        <v>581</v>
      </c>
      <c r="I10" s="1240"/>
      <c r="J10" s="1247" t="s">
        <v>581</v>
      </c>
      <c r="K10" s="1240"/>
      <c r="L10" s="1240"/>
      <c r="M10" s="1240"/>
      <c r="N10" s="366"/>
      <c r="O10" s="366"/>
      <c r="P10" s="406">
        <f t="shared" ref="P10:P17" si="0">SUM(COUNTIF(D10:O10,"x"),COUNTIF(D10:O10,"A"))</f>
        <v>5</v>
      </c>
      <c r="Q10" s="407">
        <f t="shared" ref="Q10:Q17" si="1">SUM(COUNTIF(D10:O10,"x"),COUNTIF(D10:O10,"b"))</f>
        <v>5</v>
      </c>
      <c r="R10" s="1248" t="s">
        <v>581</v>
      </c>
      <c r="S10" s="1240" t="s">
        <v>581</v>
      </c>
      <c r="T10" s="1243"/>
      <c r="U10" s="1243"/>
      <c r="V10" s="1022"/>
      <c r="W10" s="373"/>
      <c r="X10" s="373"/>
      <c r="Y10" s="373"/>
      <c r="Z10" s="373"/>
      <c r="AA10" s="373"/>
      <c r="AB10" s="406">
        <f t="shared" ref="AB10:AB17" si="2">SUM(COUNTIF(R10:AA10,"x"),COUNTIF(R10:AA10,"A"))</f>
        <v>2</v>
      </c>
      <c r="AC10" s="407">
        <f t="shared" ref="AC10:AC17" si="3">SUM(COUNTIF(R10:AA10,"x"),COUNTIF(R10:AA10,"b"))</f>
        <v>2</v>
      </c>
      <c r="AD10" s="369"/>
    </row>
    <row r="11" spans="1:30" ht="27.75" customHeight="1" x14ac:dyDescent="0.25">
      <c r="A11" s="478" t="s">
        <v>6</v>
      </c>
      <c r="B11" s="479" t="s">
        <v>259</v>
      </c>
      <c r="C11" s="478" t="s">
        <v>632</v>
      </c>
      <c r="D11" s="1246" t="s">
        <v>581</v>
      </c>
      <c r="E11" s="1247"/>
      <c r="F11" s="1247"/>
      <c r="G11" s="1247" t="s">
        <v>581</v>
      </c>
      <c r="H11" s="1247" t="s">
        <v>581</v>
      </c>
      <c r="I11" s="1247"/>
      <c r="J11" s="1247"/>
      <c r="K11" s="1247"/>
      <c r="L11" s="1247" t="s">
        <v>581</v>
      </c>
      <c r="M11" s="203"/>
      <c r="N11" s="1166"/>
      <c r="O11" s="1166"/>
      <c r="P11" s="406">
        <f t="shared" ref="P11" si="4">SUM(COUNTIF(D11:O11,"x"),COUNTIF(D11:O11,"A"))</f>
        <v>4</v>
      </c>
      <c r="Q11" s="407">
        <f t="shared" ref="Q11" si="5">SUM(COUNTIF(D11:O11,"x"),COUNTIF(D11:O11,"b"))</f>
        <v>4</v>
      </c>
      <c r="R11" s="1248"/>
      <c r="S11" s="1240" t="s">
        <v>581</v>
      </c>
      <c r="T11" s="1240" t="s">
        <v>581</v>
      </c>
      <c r="U11" s="1243"/>
      <c r="V11" s="1167"/>
      <c r="W11" s="1168"/>
      <c r="X11" s="1168"/>
      <c r="Y11" s="1168"/>
      <c r="Z11" s="1168"/>
      <c r="AA11" s="1168"/>
      <c r="AB11" s="406">
        <f t="shared" ref="AB11" si="6">SUM(COUNTIF(R11:AA11,"x"),COUNTIF(R11:AA11,"A"))</f>
        <v>2</v>
      </c>
      <c r="AC11" s="407">
        <f t="shared" ref="AC11" si="7">SUM(COUNTIF(R11:AA11,"x"),COUNTIF(R11:AA11,"b"))</f>
        <v>2</v>
      </c>
      <c r="AD11" s="1169"/>
    </row>
    <row r="12" spans="1:30" ht="24" customHeight="1" x14ac:dyDescent="0.25">
      <c r="A12" s="478" t="s">
        <v>10</v>
      </c>
      <c r="B12" s="479" t="s">
        <v>448</v>
      </c>
      <c r="C12" s="478" t="s">
        <v>612</v>
      </c>
      <c r="D12" s="1246" t="s">
        <v>581</v>
      </c>
      <c r="E12" s="1247" t="s">
        <v>581</v>
      </c>
      <c r="F12" s="1247"/>
      <c r="G12" s="1274"/>
      <c r="H12" s="1274"/>
      <c r="I12" s="1247" t="s">
        <v>581</v>
      </c>
      <c r="J12" s="1247"/>
      <c r="K12" s="1247"/>
      <c r="L12" s="1247"/>
      <c r="M12" s="1247"/>
      <c r="N12" s="366"/>
      <c r="O12" s="366"/>
      <c r="P12" s="406">
        <f t="shared" si="0"/>
        <v>3</v>
      </c>
      <c r="Q12" s="407">
        <f t="shared" si="1"/>
        <v>3</v>
      </c>
      <c r="R12" s="1248"/>
      <c r="S12" s="1240" t="s">
        <v>581</v>
      </c>
      <c r="T12" s="1243"/>
      <c r="U12" s="1243"/>
      <c r="V12" s="1022"/>
      <c r="W12" s="373"/>
      <c r="X12" s="373"/>
      <c r="Y12" s="373"/>
      <c r="Z12" s="373"/>
      <c r="AA12" s="480"/>
      <c r="AB12" s="406">
        <f t="shared" si="2"/>
        <v>1</v>
      </c>
      <c r="AC12" s="407">
        <f t="shared" si="3"/>
        <v>1</v>
      </c>
      <c r="AD12" s="369"/>
    </row>
    <row r="13" spans="1:30" ht="27" customHeight="1" x14ac:dyDescent="0.25">
      <c r="A13" s="478" t="s">
        <v>11</v>
      </c>
      <c r="B13" s="479" t="s">
        <v>447</v>
      </c>
      <c r="C13" s="478" t="s">
        <v>613</v>
      </c>
      <c r="D13" s="1246"/>
      <c r="E13" s="1247"/>
      <c r="F13" s="1247" t="s">
        <v>581</v>
      </c>
      <c r="G13" s="1274"/>
      <c r="H13" s="1247" t="s">
        <v>581</v>
      </c>
      <c r="I13" s="1247"/>
      <c r="J13" s="1247"/>
      <c r="K13" s="1247"/>
      <c r="L13" s="1247"/>
      <c r="M13" s="1247" t="s">
        <v>581</v>
      </c>
      <c r="N13" s="366"/>
      <c r="O13" s="371"/>
      <c r="P13" s="406">
        <f t="shared" si="0"/>
        <v>3</v>
      </c>
      <c r="Q13" s="407">
        <f t="shared" si="1"/>
        <v>3</v>
      </c>
      <c r="R13" s="1248"/>
      <c r="S13" s="1240" t="s">
        <v>581</v>
      </c>
      <c r="T13" s="1243" t="s">
        <v>581</v>
      </c>
      <c r="U13" s="1243" t="s">
        <v>581</v>
      </c>
      <c r="V13" s="1022"/>
      <c r="W13" s="373"/>
      <c r="X13" s="373"/>
      <c r="Y13" s="373"/>
      <c r="Z13" s="373"/>
      <c r="AA13" s="373"/>
      <c r="AB13" s="406">
        <f t="shared" si="2"/>
        <v>3</v>
      </c>
      <c r="AC13" s="407">
        <f t="shared" si="3"/>
        <v>3</v>
      </c>
      <c r="AD13" s="369"/>
    </row>
    <row r="14" spans="1:30" ht="27" customHeight="1" x14ac:dyDescent="0.25">
      <c r="A14" s="475" t="s">
        <v>577</v>
      </c>
      <c r="B14" s="479"/>
      <c r="C14" s="479"/>
      <c r="D14" s="1246"/>
      <c r="E14" s="1247"/>
      <c r="F14" s="1247"/>
      <c r="G14" s="1274"/>
      <c r="H14" s="1247"/>
      <c r="I14" s="1247"/>
      <c r="J14" s="1247"/>
      <c r="K14" s="1247"/>
      <c r="L14" s="1247"/>
      <c r="M14" s="1247"/>
      <c r="N14" s="371"/>
      <c r="O14" s="371"/>
      <c r="P14" s="406">
        <f t="shared" si="0"/>
        <v>0</v>
      </c>
      <c r="Q14" s="407">
        <f t="shared" si="1"/>
        <v>0</v>
      </c>
      <c r="R14" s="1248"/>
      <c r="S14" s="1240"/>
      <c r="T14" s="1243"/>
      <c r="U14" s="1243"/>
      <c r="V14" s="1022"/>
      <c r="W14" s="366"/>
      <c r="X14" s="366"/>
      <c r="Y14" s="366"/>
      <c r="Z14" s="366"/>
      <c r="AA14" s="480"/>
      <c r="AB14" s="406">
        <f t="shared" si="2"/>
        <v>0</v>
      </c>
      <c r="AC14" s="407">
        <f t="shared" si="3"/>
        <v>0</v>
      </c>
      <c r="AD14" s="369"/>
    </row>
    <row r="15" spans="1:30" ht="29.25" customHeight="1" x14ac:dyDescent="0.25">
      <c r="A15" s="478" t="s">
        <v>5</v>
      </c>
      <c r="B15" s="445" t="s">
        <v>449</v>
      </c>
      <c r="C15" s="478" t="s">
        <v>615</v>
      </c>
      <c r="D15" s="1240"/>
      <c r="E15" s="1240"/>
      <c r="F15" s="1240"/>
      <c r="G15" s="1274"/>
      <c r="H15" s="1240"/>
      <c r="I15" s="1240"/>
      <c r="J15" s="1240"/>
      <c r="K15" s="1240"/>
      <c r="L15" s="1240"/>
      <c r="M15" s="1240"/>
      <c r="N15" s="371"/>
      <c r="O15" s="371"/>
      <c r="P15" s="406">
        <f t="shared" si="0"/>
        <v>0</v>
      </c>
      <c r="Q15" s="407">
        <f t="shared" si="1"/>
        <v>0</v>
      </c>
      <c r="R15" s="1248" t="s">
        <v>581</v>
      </c>
      <c r="S15" s="1240"/>
      <c r="T15" s="1243" t="s">
        <v>581</v>
      </c>
      <c r="U15" s="1243"/>
      <c r="V15" s="1022"/>
      <c r="W15" s="373"/>
      <c r="X15" s="373"/>
      <c r="Y15" s="373"/>
      <c r="Z15" s="373"/>
      <c r="AA15" s="480"/>
      <c r="AB15" s="406">
        <f t="shared" si="2"/>
        <v>2</v>
      </c>
      <c r="AC15" s="407">
        <f t="shared" si="3"/>
        <v>2</v>
      </c>
      <c r="AD15" s="369"/>
    </row>
    <row r="16" spans="1:30" ht="26.25" customHeight="1" x14ac:dyDescent="0.25">
      <c r="A16" s="478" t="s">
        <v>6</v>
      </c>
      <c r="B16" s="445" t="s">
        <v>812</v>
      </c>
      <c r="C16" s="478" t="s">
        <v>813</v>
      </c>
      <c r="D16" s="1246"/>
      <c r="E16" s="1247"/>
      <c r="F16" s="1247" t="s">
        <v>581</v>
      </c>
      <c r="G16" s="1274"/>
      <c r="H16" s="1247" t="s">
        <v>581</v>
      </c>
      <c r="I16" s="1247" t="s">
        <v>581</v>
      </c>
      <c r="J16" s="1247"/>
      <c r="K16" s="1247"/>
      <c r="L16" s="1247"/>
      <c r="M16" s="1247"/>
      <c r="N16" s="366"/>
      <c r="O16" s="366"/>
      <c r="P16" s="406">
        <f t="shared" ref="P16" si="8">SUM(COUNTIF(D16:O16,"x"),COUNTIF(D16:O16,"A"))</f>
        <v>3</v>
      </c>
      <c r="Q16" s="407">
        <f t="shared" ref="Q16" si="9">SUM(COUNTIF(D16:O16,"x"),COUNTIF(D16:O16,"b"))</f>
        <v>3</v>
      </c>
      <c r="R16" s="1248" t="s">
        <v>581</v>
      </c>
      <c r="S16" s="1240" t="s">
        <v>581</v>
      </c>
      <c r="T16" s="1243"/>
      <c r="U16" s="1243"/>
      <c r="V16" s="1022"/>
      <c r="W16" s="373"/>
      <c r="X16" s="373"/>
      <c r="Y16" s="373"/>
      <c r="Z16" s="373"/>
      <c r="AA16" s="480"/>
      <c r="AB16" s="406">
        <f t="shared" ref="AB16" si="10">SUM(COUNTIF(R16:AA16,"x"),COUNTIF(R16:AA16,"A"))</f>
        <v>2</v>
      </c>
      <c r="AC16" s="407">
        <f t="shared" ref="AC16" si="11">SUM(COUNTIF(R16:AA16,"x"),COUNTIF(R16:AA16,"b"))</f>
        <v>2</v>
      </c>
      <c r="AD16" s="29"/>
    </row>
    <row r="17" spans="1:30" ht="26.25" customHeight="1" x14ac:dyDescent="0.25">
      <c r="A17" s="478" t="s">
        <v>10</v>
      </c>
      <c r="B17" s="445" t="s">
        <v>1127</v>
      </c>
      <c r="C17" s="478" t="s">
        <v>1128</v>
      </c>
      <c r="D17" s="1246"/>
      <c r="E17" s="1247"/>
      <c r="F17" s="1247"/>
      <c r="G17" s="1247"/>
      <c r="H17" s="1247"/>
      <c r="I17" s="1247"/>
      <c r="J17" s="1274"/>
      <c r="K17" s="1247" t="s">
        <v>581</v>
      </c>
      <c r="L17" s="1247"/>
      <c r="M17" s="1247"/>
      <c r="N17" s="366"/>
      <c r="O17" s="366"/>
      <c r="P17" s="406">
        <f t="shared" si="0"/>
        <v>1</v>
      </c>
      <c r="Q17" s="407">
        <f t="shared" si="1"/>
        <v>1</v>
      </c>
      <c r="R17" s="1248"/>
      <c r="S17" s="1240" t="s">
        <v>581</v>
      </c>
      <c r="T17" s="1243"/>
      <c r="U17" s="1243"/>
      <c r="V17" s="1022"/>
      <c r="W17" s="373"/>
      <c r="X17" s="373"/>
      <c r="Y17" s="373"/>
      <c r="Z17" s="373"/>
      <c r="AA17" s="480"/>
      <c r="AB17" s="406">
        <f t="shared" si="2"/>
        <v>1</v>
      </c>
      <c r="AC17" s="407">
        <f t="shared" si="3"/>
        <v>1</v>
      </c>
      <c r="AD17" s="29"/>
    </row>
    <row r="18" spans="1:30" ht="29.25" customHeight="1" x14ac:dyDescent="0.25">
      <c r="A18" s="1411"/>
      <c r="B18" s="1411"/>
      <c r="C18" s="1411"/>
      <c r="D18" s="1411"/>
      <c r="E18" s="1411"/>
      <c r="F18" s="1411"/>
      <c r="G18" s="1411"/>
      <c r="H18" s="1411"/>
      <c r="I18" s="1411"/>
      <c r="J18" s="1411"/>
      <c r="K18" s="1411"/>
      <c r="L18" s="1411"/>
      <c r="M18" s="1411"/>
      <c r="N18" s="1411"/>
      <c r="O18" s="1411"/>
      <c r="P18" s="1411"/>
      <c r="Q18" s="1411"/>
      <c r="R18" s="1411"/>
      <c r="S18" s="1411"/>
      <c r="T18" s="1411"/>
      <c r="U18" s="1411"/>
      <c r="V18" s="1411"/>
      <c r="W18" s="1411"/>
      <c r="X18" s="1411"/>
      <c r="Y18" s="1411"/>
      <c r="Z18" s="1411"/>
      <c r="AA18" s="1411"/>
      <c r="AB18" s="1411"/>
      <c r="AC18" s="1411"/>
      <c r="AD18" s="1411"/>
    </row>
    <row r="19" spans="1:30" ht="24.75" customHeight="1" x14ac:dyDescent="0.25">
      <c r="A19" s="1395" t="s">
        <v>578</v>
      </c>
      <c r="B19" s="1395"/>
      <c r="C19" s="1395"/>
      <c r="D19" s="1395"/>
      <c r="E19" s="1395"/>
      <c r="F19" s="1395"/>
      <c r="G19" s="1395"/>
      <c r="H19" s="1395"/>
      <c r="I19" s="1395"/>
      <c r="J19" s="1395"/>
      <c r="K19" s="1395"/>
      <c r="L19" s="1395"/>
      <c r="M19" s="1395"/>
      <c r="N19" s="1395"/>
      <c r="O19" s="1395"/>
      <c r="P19" s="1395"/>
      <c r="Q19" s="1395"/>
      <c r="R19" s="1395"/>
      <c r="S19" s="1395"/>
      <c r="T19" s="1395"/>
      <c r="U19" s="1395"/>
      <c r="V19" s="1395"/>
      <c r="W19" s="1395"/>
      <c r="X19" s="1395"/>
      <c r="Y19" s="1395"/>
      <c r="Z19" s="1395"/>
      <c r="AA19" s="1395"/>
      <c r="AB19" s="1395"/>
      <c r="AC19" s="1395"/>
      <c r="AD19" s="1395"/>
    </row>
    <row r="20" spans="1:30" ht="23.25" customHeight="1" x14ac:dyDescent="0.3">
      <c r="A20" s="375"/>
      <c r="B20" s="375"/>
      <c r="C20" s="375"/>
      <c r="D20" s="376"/>
      <c r="E20" s="377"/>
      <c r="F20" s="377"/>
      <c r="G20" s="377"/>
      <c r="H20" s="377"/>
      <c r="I20" s="377"/>
      <c r="J20" s="377"/>
      <c r="K20" s="377"/>
      <c r="L20" s="377"/>
      <c r="M20" s="377"/>
      <c r="N20" s="377"/>
      <c r="O20" s="377"/>
      <c r="P20" s="377"/>
      <c r="Q20" s="377"/>
      <c r="R20" s="481" t="str">
        <f>TT.QHDN!N14</f>
        <v>TP. HCM, ngày 2 tháng 11 năm 2023</v>
      </c>
      <c r="S20" s="481"/>
      <c r="T20" s="481"/>
      <c r="U20" s="481"/>
      <c r="V20" s="481"/>
      <c r="W20" s="481"/>
      <c r="X20" s="481"/>
      <c r="Y20" s="481"/>
      <c r="Z20" s="481"/>
      <c r="AA20" s="481"/>
      <c r="AB20" s="481"/>
      <c r="AC20" s="481"/>
      <c r="AD20" s="481"/>
    </row>
    <row r="21" spans="1:30" ht="20.25" customHeight="1" x14ac:dyDescent="0.3">
      <c r="A21" s="375"/>
      <c r="B21" s="381" t="s">
        <v>805</v>
      </c>
      <c r="C21" s="382" t="s">
        <v>802</v>
      </c>
      <c r="D21" s="376"/>
      <c r="R21" s="1403" t="s">
        <v>579</v>
      </c>
      <c r="S21" s="1403"/>
      <c r="T21" s="1403"/>
      <c r="U21" s="1403"/>
      <c r="V21" s="1403"/>
      <c r="W21" s="1403"/>
      <c r="X21" s="1403"/>
      <c r="Y21" s="1403"/>
      <c r="Z21" s="1403"/>
      <c r="AA21" s="1403"/>
      <c r="AB21" s="403"/>
      <c r="AC21" s="403"/>
      <c r="AD21" s="403"/>
    </row>
    <row r="22" spans="1:30" ht="15.75" customHeight="1" x14ac:dyDescent="0.3">
      <c r="B22" s="382" t="s">
        <v>803</v>
      </c>
      <c r="C22" s="382" t="s">
        <v>804</v>
      </c>
    </row>
    <row r="26" spans="1:30" ht="15.75" x14ac:dyDescent="0.25">
      <c r="R26" s="1453" t="s">
        <v>446</v>
      </c>
      <c r="S26" s="1453"/>
      <c r="T26" s="1453"/>
      <c r="U26" s="1453"/>
      <c r="V26" s="1453"/>
      <c r="W26" s="1453"/>
      <c r="X26" s="1453"/>
      <c r="Y26" s="1453"/>
      <c r="Z26" s="1453"/>
      <c r="AA26" s="1453"/>
      <c r="AB26" s="482"/>
      <c r="AC26" s="482"/>
      <c r="AD26" s="482"/>
    </row>
  </sheetData>
  <mergeCells count="14">
    <mergeCell ref="A1:C1"/>
    <mergeCell ref="A2:C2"/>
    <mergeCell ref="A3:C3"/>
    <mergeCell ref="A5:AD5"/>
    <mergeCell ref="R1:AD1"/>
    <mergeCell ref="R2:AD2"/>
    <mergeCell ref="R26:AA26"/>
    <mergeCell ref="A7:A8"/>
    <mergeCell ref="B7:C7"/>
    <mergeCell ref="A18:AD18"/>
    <mergeCell ref="A19:AD19"/>
    <mergeCell ref="D7:P7"/>
    <mergeCell ref="R7:AB7"/>
    <mergeCell ref="R21:AA21"/>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T20"/>
  <sheetViews>
    <sheetView topLeftCell="A7" workbookViewId="0">
      <selection activeCell="E16" sqref="E16"/>
    </sheetView>
  </sheetViews>
  <sheetFormatPr defaultRowHeight="15" x14ac:dyDescent="0.25"/>
  <cols>
    <col min="1" max="1" width="5.28515625" customWidth="1"/>
    <col min="2" max="2" width="23.5703125" customWidth="1"/>
    <col min="3" max="3" width="13.5703125" customWidth="1"/>
    <col min="4" max="10" width="6.7109375" style="20" customWidth="1"/>
    <col min="11" max="11" width="6.7109375" style="203" customWidth="1"/>
    <col min="12" max="18" width="6.7109375" style="20" customWidth="1"/>
    <col min="19" max="19" width="6.7109375" style="203" customWidth="1"/>
    <col min="20" max="20" width="15.7109375" style="20" customWidth="1"/>
  </cols>
  <sheetData>
    <row r="1" spans="1:20" ht="15.75" x14ac:dyDescent="0.25">
      <c r="A1" s="1400" t="s">
        <v>559</v>
      </c>
      <c r="B1" s="1400"/>
      <c r="C1" s="1400"/>
      <c r="D1" s="16"/>
      <c r="E1" s="16"/>
      <c r="F1" s="16"/>
      <c r="G1" s="16"/>
      <c r="H1" s="16"/>
      <c r="I1" s="16"/>
      <c r="J1" s="17"/>
      <c r="K1" s="17"/>
      <c r="L1" s="1401" t="s">
        <v>560</v>
      </c>
      <c r="M1" s="1401"/>
      <c r="N1" s="1401"/>
      <c r="O1" s="1401"/>
      <c r="P1" s="1402"/>
      <c r="Q1" s="1402"/>
      <c r="R1" s="1402"/>
      <c r="S1" s="1402"/>
      <c r="T1" s="1402"/>
    </row>
    <row r="2" spans="1:20" ht="15.75" x14ac:dyDescent="0.25">
      <c r="A2" s="1400" t="s">
        <v>561</v>
      </c>
      <c r="B2" s="1400"/>
      <c r="C2" s="1400"/>
      <c r="D2" s="16"/>
      <c r="E2" s="16"/>
      <c r="F2" s="16"/>
      <c r="G2" s="16"/>
      <c r="H2" s="16"/>
      <c r="I2" s="16"/>
      <c r="J2" s="17"/>
      <c r="K2" s="17"/>
      <c r="L2" s="1401" t="s">
        <v>562</v>
      </c>
      <c r="M2" s="1401"/>
      <c r="N2" s="1401"/>
      <c r="O2" s="1401"/>
      <c r="P2" s="1401"/>
      <c r="Q2" s="1401"/>
      <c r="R2" s="1401"/>
      <c r="S2" s="1401"/>
      <c r="T2" s="1401"/>
    </row>
    <row r="3" spans="1:20" ht="15.75" x14ac:dyDescent="0.25">
      <c r="A3" s="1401" t="s">
        <v>746</v>
      </c>
      <c r="B3" s="1401"/>
      <c r="C3" s="1401"/>
      <c r="D3" s="16"/>
      <c r="E3" s="16"/>
      <c r="F3" s="16"/>
      <c r="G3" s="16"/>
      <c r="H3" s="16"/>
      <c r="I3" s="16"/>
      <c r="J3" s="17"/>
      <c r="K3" s="17"/>
      <c r="L3" s="17"/>
      <c r="M3" s="17"/>
      <c r="N3" s="17"/>
      <c r="O3" s="17"/>
      <c r="P3" s="17"/>
      <c r="Q3" s="17"/>
      <c r="R3" s="17"/>
      <c r="S3" s="17"/>
      <c r="T3" s="17"/>
    </row>
    <row r="4" spans="1:20" ht="15.75" x14ac:dyDescent="0.25">
      <c r="A4" s="18"/>
      <c r="B4" s="18"/>
      <c r="C4" s="18"/>
      <c r="D4" s="16"/>
      <c r="E4" s="16"/>
      <c r="F4" s="16"/>
      <c r="G4" s="16"/>
      <c r="H4" s="16"/>
      <c r="I4" s="16"/>
      <c r="J4" s="17"/>
      <c r="K4" s="17"/>
      <c r="L4" s="17"/>
      <c r="M4" s="17"/>
      <c r="N4" s="17"/>
      <c r="O4" s="17"/>
      <c r="P4" s="17"/>
      <c r="Q4" s="17"/>
      <c r="R4" s="17"/>
      <c r="S4" s="17"/>
      <c r="T4" s="19" t="s">
        <v>563</v>
      </c>
    </row>
    <row r="5" spans="1:20" ht="20.25" x14ac:dyDescent="0.25">
      <c r="A5" s="1412" t="str">
        <f>'TT DHDL'!A5:AD5</f>
        <v>THỐNG KÊ CHI TIẾT KHỐI LƯỢNG CÔNG VIỆC THỰC HIỆN THÁNG 10/2023</v>
      </c>
      <c r="B5" s="1412"/>
      <c r="C5" s="1412"/>
      <c r="D5" s="1412"/>
      <c r="E5" s="1412"/>
      <c r="F5" s="1412"/>
      <c r="G5" s="1412"/>
      <c r="H5" s="1412"/>
      <c r="I5" s="1412"/>
      <c r="J5" s="1412"/>
      <c r="K5" s="1412"/>
      <c r="L5" s="1412"/>
      <c r="M5" s="1412"/>
      <c r="N5" s="1412"/>
      <c r="O5" s="1412"/>
      <c r="P5" s="1412"/>
      <c r="Q5" s="1412"/>
      <c r="R5" s="1412"/>
      <c r="S5" s="1412"/>
      <c r="T5" s="1412"/>
    </row>
    <row r="7" spans="1:20" ht="23.25" customHeight="1" x14ac:dyDescent="0.25">
      <c r="A7" s="1420" t="s">
        <v>0</v>
      </c>
      <c r="B7" s="1455" t="s">
        <v>564</v>
      </c>
      <c r="C7" s="1455"/>
      <c r="D7" s="1426" t="s">
        <v>110</v>
      </c>
      <c r="E7" s="1427"/>
      <c r="F7" s="1427"/>
      <c r="G7" s="1427"/>
      <c r="H7" s="1427"/>
      <c r="I7" s="1427"/>
      <c r="J7" s="1428"/>
      <c r="K7" s="253"/>
      <c r="L7" s="1426" t="s">
        <v>565</v>
      </c>
      <c r="M7" s="1427"/>
      <c r="N7" s="1427"/>
      <c r="O7" s="1427"/>
      <c r="P7" s="1427"/>
      <c r="Q7" s="1427"/>
      <c r="R7" s="1428"/>
      <c r="S7" s="123"/>
      <c r="T7" s="21" t="s">
        <v>4</v>
      </c>
    </row>
    <row r="8" spans="1:20" ht="30.75" customHeight="1" x14ac:dyDescent="0.25">
      <c r="A8" s="1420"/>
      <c r="B8" s="41" t="s">
        <v>461</v>
      </c>
      <c r="C8" s="41" t="s">
        <v>566</v>
      </c>
      <c r="D8" s="128" t="s">
        <v>567</v>
      </c>
      <c r="E8" s="128" t="s">
        <v>568</v>
      </c>
      <c r="F8" s="128" t="s">
        <v>569</v>
      </c>
      <c r="G8" s="128" t="s">
        <v>570</v>
      </c>
      <c r="H8" s="128" t="s">
        <v>571</v>
      </c>
      <c r="I8" s="128" t="s">
        <v>572</v>
      </c>
      <c r="J8" s="127" t="s">
        <v>588</v>
      </c>
      <c r="K8" s="267" t="s">
        <v>795</v>
      </c>
      <c r="L8" s="128" t="s">
        <v>567</v>
      </c>
      <c r="M8" s="128" t="s">
        <v>568</v>
      </c>
      <c r="N8" s="128" t="s">
        <v>569</v>
      </c>
      <c r="O8" s="128" t="s">
        <v>570</v>
      </c>
      <c r="P8" s="128" t="s">
        <v>571</v>
      </c>
      <c r="Q8" s="128" t="s">
        <v>572</v>
      </c>
      <c r="R8" s="127" t="s">
        <v>588</v>
      </c>
      <c r="S8" s="267" t="s">
        <v>795</v>
      </c>
      <c r="T8" s="21"/>
    </row>
    <row r="9" spans="1:20" ht="25.5" customHeight="1" x14ac:dyDescent="0.25">
      <c r="A9" s="22" t="s">
        <v>747</v>
      </c>
      <c r="B9" s="23"/>
      <c r="C9" s="268">
        <v>-1</v>
      </c>
      <c r="D9" s="268">
        <v>-2</v>
      </c>
      <c r="E9" s="268">
        <v>-3</v>
      </c>
      <c r="F9" s="268">
        <v>-4</v>
      </c>
      <c r="G9" s="268">
        <v>-5</v>
      </c>
      <c r="H9" s="268">
        <v>-6</v>
      </c>
      <c r="I9" s="268">
        <v>-7</v>
      </c>
      <c r="J9" s="278">
        <v>-8</v>
      </c>
      <c r="K9" s="269">
        <v>-9</v>
      </c>
      <c r="L9" s="268">
        <v>-10</v>
      </c>
      <c r="M9" s="268">
        <v>-11</v>
      </c>
      <c r="N9" s="268">
        <v>-12</v>
      </c>
      <c r="O9" s="268">
        <v>-13</v>
      </c>
      <c r="P9" s="268">
        <v>-14</v>
      </c>
      <c r="Q9" s="268">
        <v>-15</v>
      </c>
      <c r="R9" s="278">
        <v>-16</v>
      </c>
      <c r="S9" s="269">
        <v>-17</v>
      </c>
      <c r="T9" s="268">
        <v>-18</v>
      </c>
    </row>
    <row r="10" spans="1:20" ht="21.75" customHeight="1" x14ac:dyDescent="0.25">
      <c r="A10" s="26" t="s">
        <v>5</v>
      </c>
      <c r="B10" s="141"/>
      <c r="C10" s="141"/>
      <c r="D10" s="171"/>
      <c r="E10" s="171"/>
      <c r="F10" s="27"/>
      <c r="G10" s="27"/>
      <c r="H10" s="27"/>
      <c r="I10" s="27"/>
      <c r="J10" s="117">
        <f>COUNTA(D10:I10)</f>
        <v>0</v>
      </c>
      <c r="K10" s="276">
        <f>COUNTIF(D10:I10,"X")</f>
        <v>0</v>
      </c>
      <c r="L10" s="172"/>
      <c r="M10" s="28"/>
      <c r="N10" s="28"/>
      <c r="O10" s="28"/>
      <c r="P10" s="29"/>
      <c r="Q10" s="29"/>
      <c r="R10" s="117">
        <f>COUNTA(L10:Q10)</f>
        <v>0</v>
      </c>
      <c r="S10" s="276">
        <f>COUNTIF(L10:Q10,"X")</f>
        <v>0</v>
      </c>
      <c r="T10" s="25"/>
    </row>
    <row r="11" spans="1:20" ht="21.75" customHeight="1" x14ac:dyDescent="0.25">
      <c r="A11" s="26"/>
      <c r="B11" s="5"/>
      <c r="C11" s="124"/>
      <c r="D11" s="31"/>
      <c r="E11" s="32"/>
      <c r="F11" s="32"/>
      <c r="G11" s="32"/>
      <c r="H11" s="32"/>
      <c r="I11" s="32"/>
      <c r="J11" s="117">
        <f>COUNTA(D11:I11)</f>
        <v>0</v>
      </c>
      <c r="K11" s="276"/>
      <c r="L11" s="28"/>
      <c r="M11" s="28"/>
      <c r="N11" s="28"/>
      <c r="O11" s="28"/>
      <c r="P11" s="29"/>
      <c r="Q11" s="29"/>
      <c r="R11" s="117">
        <f>COUNTA(L11:Q11)</f>
        <v>0</v>
      </c>
      <c r="S11" s="276"/>
      <c r="T11" s="25"/>
    </row>
    <row r="12" spans="1:20" ht="15.75" x14ac:dyDescent="0.25">
      <c r="A12" s="1456"/>
      <c r="B12" s="1456"/>
      <c r="C12" s="1456"/>
      <c r="D12" s="1456"/>
      <c r="E12" s="1456"/>
      <c r="F12" s="1456"/>
      <c r="G12" s="1456"/>
      <c r="H12" s="1456"/>
      <c r="I12" s="1456"/>
      <c r="J12" s="1456"/>
      <c r="K12" s="1456"/>
      <c r="L12" s="1456"/>
      <c r="M12" s="1456"/>
      <c r="N12" s="1456"/>
      <c r="O12" s="1456"/>
      <c r="P12" s="1456"/>
      <c r="Q12" s="1456"/>
      <c r="R12" s="1456"/>
      <c r="S12" s="1456"/>
      <c r="T12" s="1456"/>
    </row>
    <row r="13" spans="1:20" ht="15.75" x14ac:dyDescent="0.25">
      <c r="A13" s="1425" t="s">
        <v>578</v>
      </c>
      <c r="B13" s="1425"/>
      <c r="C13" s="1425"/>
      <c r="D13" s="1425"/>
      <c r="E13" s="1425"/>
      <c r="F13" s="1425"/>
      <c r="G13" s="1425"/>
      <c r="H13" s="1425"/>
      <c r="I13" s="1425"/>
      <c r="J13" s="1425"/>
      <c r="K13" s="1425"/>
      <c r="L13" s="1425"/>
      <c r="M13" s="1425"/>
      <c r="N13" s="1425"/>
      <c r="O13" s="1425"/>
      <c r="P13" s="1425"/>
      <c r="Q13" s="1425"/>
      <c r="R13" s="1425"/>
      <c r="S13" s="1425"/>
      <c r="T13" s="1425"/>
    </row>
    <row r="14" spans="1:20" ht="17.25" x14ac:dyDescent="0.3">
      <c r="A14" s="33"/>
      <c r="B14" s="33"/>
      <c r="C14" s="33"/>
      <c r="D14" s="34"/>
      <c r="E14" s="34"/>
      <c r="F14" s="34"/>
      <c r="G14" s="34"/>
      <c r="H14" s="34"/>
      <c r="I14" s="34"/>
      <c r="J14" s="35"/>
      <c r="K14" s="35"/>
      <c r="L14" s="113"/>
      <c r="M14" s="113"/>
      <c r="N14" s="113" t="str">
        <f>'TT DHDL'!R20</f>
        <v>TP. HCM, ngày 2 tháng 11 năm 2023</v>
      </c>
      <c r="O14" s="113"/>
      <c r="P14" s="113"/>
      <c r="Q14" s="113"/>
      <c r="R14" s="113"/>
      <c r="S14" s="113"/>
      <c r="T14" s="113"/>
    </row>
    <row r="15" spans="1:20" ht="17.25" x14ac:dyDescent="0.3">
      <c r="A15" s="33"/>
      <c r="B15" s="33"/>
      <c r="C15" s="33"/>
      <c r="D15" s="34"/>
      <c r="E15" s="34"/>
      <c r="F15" s="34"/>
      <c r="G15" s="34"/>
      <c r="H15" s="34"/>
      <c r="I15" s="34"/>
      <c r="L15" s="1422" t="s">
        <v>579</v>
      </c>
      <c r="M15" s="1422"/>
      <c r="N15" s="1422"/>
      <c r="O15" s="1422"/>
      <c r="P15" s="1422"/>
      <c r="Q15" s="1422"/>
      <c r="R15" s="1422"/>
      <c r="S15" s="1422"/>
      <c r="T15" s="1422"/>
    </row>
    <row r="16" spans="1:20" ht="20.25" customHeight="1" x14ac:dyDescent="0.3">
      <c r="B16" s="344" t="s">
        <v>805</v>
      </c>
      <c r="C16" s="342" t="s">
        <v>802</v>
      </c>
    </row>
    <row r="17" spans="2:20" ht="18.75" x14ac:dyDescent="0.3">
      <c r="B17" s="343" t="s">
        <v>803</v>
      </c>
      <c r="C17" s="343" t="s">
        <v>804</v>
      </c>
    </row>
    <row r="20" spans="2:20" ht="15.75" x14ac:dyDescent="0.25">
      <c r="L20" s="1454"/>
      <c r="M20" s="1454"/>
      <c r="N20" s="1454"/>
      <c r="O20" s="1454"/>
      <c r="P20" s="1454"/>
      <c r="Q20" s="1454"/>
      <c r="R20" s="1454"/>
      <c r="S20" s="1454"/>
      <c r="T20" s="1454"/>
    </row>
  </sheetData>
  <mergeCells count="14">
    <mergeCell ref="L15:T15"/>
    <mergeCell ref="L20:T20"/>
    <mergeCell ref="A7:A8"/>
    <mergeCell ref="B7:C7"/>
    <mergeCell ref="D7:J7"/>
    <mergeCell ref="L7:R7"/>
    <mergeCell ref="A12:T12"/>
    <mergeCell ref="A13:T13"/>
    <mergeCell ref="A5:T5"/>
    <mergeCell ref="A1:C1"/>
    <mergeCell ref="L1:T1"/>
    <mergeCell ref="A2:C2"/>
    <mergeCell ref="L2:T2"/>
    <mergeCell ref="A3:C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3</vt:i4>
      </vt:variant>
    </vt:vector>
  </HeadingPairs>
  <TitlesOfParts>
    <vt:vector size="31" baseType="lpstr">
      <vt:lpstr>Don vi</vt:lpstr>
      <vt:lpstr>Thong ke</vt:lpstr>
      <vt:lpstr>CBQL</vt:lpstr>
      <vt:lpstr>Chi tiet</vt:lpstr>
      <vt:lpstr>P.KH-TC</vt:lpstr>
      <vt:lpstr>P.TS-ĐT</vt:lpstr>
      <vt:lpstr>TCHC</vt:lpstr>
      <vt:lpstr>P.TTGD-CTSV</vt:lpstr>
      <vt:lpstr>P.KT&amp;ĐBCL</vt:lpstr>
      <vt:lpstr>P.QLKH-HTQT</vt:lpstr>
      <vt:lpstr>P.QT-DV</vt:lpstr>
      <vt:lpstr>K.KHCB</vt:lpstr>
      <vt:lpstr>K.NG NGU</vt:lpstr>
      <vt:lpstr>K.LLCT</vt:lpstr>
      <vt:lpstr>K.CƠ KHÍ</vt:lpstr>
      <vt:lpstr>K.CNTT</vt:lpstr>
      <vt:lpstr>K.ĐỘNG LỰC</vt:lpstr>
      <vt:lpstr>K.Đ-ĐTỬ</vt:lpstr>
      <vt:lpstr>K.MAY-TT</vt:lpstr>
      <vt:lpstr>K.NHIỆT-LẠNH</vt:lpstr>
      <vt:lpstr>K.KINH TẾ</vt:lpstr>
      <vt:lpstr>K.XÂY DỰNG</vt:lpstr>
      <vt:lpstr>TT.THƯ VIỆN</vt:lpstr>
      <vt:lpstr>TT.ĐTLTT</vt:lpstr>
      <vt:lpstr>TT.Y TẾ</vt:lpstr>
      <vt:lpstr>TT.QHDN</vt:lpstr>
      <vt:lpstr>TT DHDL</vt:lpstr>
      <vt:lpstr>KONE</vt:lpstr>
      <vt:lpstr>'Chi tiet'!Print_Area</vt:lpstr>
      <vt:lpstr>CBQL!Print_Titles</vt:lpstr>
      <vt:lpstr>'Chi tiet'!Print_Titles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ThinkPad T440s</cp:lastModifiedBy>
  <cp:lastPrinted>2023-11-10T07:04:16Z</cp:lastPrinted>
  <dcterms:created xsi:type="dcterms:W3CDTF">2015-09-12T02:01:38Z</dcterms:created>
  <dcterms:modified xsi:type="dcterms:W3CDTF">2023-11-14T04:30:58Z</dcterms:modified>
</cp:coreProperties>
</file>