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3\Luong\Co huu\"/>
    </mc:Choice>
  </mc:AlternateContent>
  <bookViews>
    <workbookView xWindow="-15" yWindow="360" windowWidth="9600" windowHeight="1200" tabRatio="701" firstSheet="2" activeTab="3"/>
  </bookViews>
  <sheets>
    <sheet name="PCTN" sheetId="11" state="hidden" r:id="rId1"/>
    <sheet name="HD" sheetId="10" state="hidden" r:id="rId2"/>
    <sheet name="BC" sheetId="8" r:id="rId3"/>
    <sheet name="BĐC-BC T01.2023"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s>
  <definedNames>
    <definedName name="_xlnm._FilterDatabase" localSheetId="2" hidden="1">BC!$A$88:$BG$293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T01.2023'!$6:$7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Q11" i="2" l="1"/>
  <c r="I11" i="2"/>
  <c r="T23" i="2" l="1"/>
  <c r="L35" i="2" l="1"/>
  <c r="Q9" i="2"/>
  <c r="I9" i="2"/>
  <c r="T21" i="2"/>
  <c r="L21" i="2"/>
  <c r="T27" i="2"/>
  <c r="L27" i="2"/>
  <c r="T22" i="2"/>
  <c r="L22" i="2"/>
  <c r="T29" i="2"/>
  <c r="L29" i="2"/>
  <c r="L12" i="2" l="1"/>
  <c r="U150" i="8" l="1"/>
  <c r="AO150" i="8" s="1"/>
  <c r="AQ150" i="8" s="1"/>
  <c r="AR150" i="8" s="1"/>
  <c r="L38" i="2"/>
  <c r="L37" i="2"/>
  <c r="Y150" i="8" l="1"/>
  <c r="Z150" i="8" s="1"/>
  <c r="AA150" i="8" s="1"/>
  <c r="AC150" i="8" s="1"/>
  <c r="AH150" i="8"/>
  <c r="AD150" i="8" l="1"/>
  <c r="AF150" i="8"/>
  <c r="AE150" i="8"/>
  <c r="AG150" i="8"/>
  <c r="AJ150" i="8"/>
  <c r="AT150" i="8" s="1"/>
  <c r="Q10" i="2" l="1"/>
  <c r="I10" i="2"/>
  <c r="Q14" i="2"/>
  <c r="T14" i="2" s="1"/>
  <c r="L14" i="2"/>
  <c r="T28" i="2"/>
  <c r="L28" i="2"/>
  <c r="Q12" i="2"/>
  <c r="T17" i="2" l="1"/>
  <c r="L17" i="2"/>
  <c r="T33" i="2"/>
  <c r="L33" i="2"/>
  <c r="T32" i="2" l="1"/>
  <c r="L32" i="2"/>
  <c r="Q13" i="2"/>
  <c r="T13" i="2" s="1"/>
  <c r="I13" i="2"/>
  <c r="L13" i="2" s="1"/>
  <c r="I15" i="2"/>
  <c r="T26" i="2" l="1"/>
  <c r="L26" i="2"/>
  <c r="T36" i="2"/>
  <c r="L36" i="2"/>
  <c r="T30" i="2"/>
  <c r="L30" i="2"/>
  <c r="T31" i="2" l="1"/>
  <c r="L31" i="2"/>
  <c r="T16" i="2" l="1"/>
  <c r="L16" i="2"/>
  <c r="Q15" i="2"/>
  <c r="T15" i="2" s="1"/>
  <c r="L15" i="2"/>
  <c r="T11" i="2"/>
  <c r="L11" i="2"/>
  <c r="AO82" i="8"/>
  <c r="AQ82" i="8" s="1"/>
  <c r="AR82" i="8" s="1"/>
  <c r="AO83" i="8"/>
  <c r="AQ83" i="8" s="1"/>
  <c r="AR83" i="8" s="1"/>
  <c r="Y82" i="8"/>
  <c r="Z82" i="8" s="1"/>
  <c r="AA82" i="8" s="1"/>
  <c r="Y83" i="8"/>
  <c r="Z83" i="8" s="1"/>
  <c r="AA83" i="8" s="1"/>
  <c r="AG82" i="8" l="1"/>
  <c r="AH82" i="8"/>
  <c r="AC82" i="8"/>
  <c r="AE82" i="8" s="1"/>
  <c r="AF82" i="8"/>
  <c r="AJ82" i="8" s="1"/>
  <c r="AH83" i="8"/>
  <c r="AF83" i="8"/>
  <c r="AC83" i="8"/>
  <c r="AE83" i="8" s="1"/>
  <c r="AG83" i="8"/>
  <c r="U245" i="8"/>
  <c r="AT82" i="8" l="1"/>
  <c r="AJ83" i="8"/>
  <c r="AT83" i="8" s="1"/>
  <c r="T34" i="2"/>
  <c r="L34" i="2"/>
  <c r="AL163" i="8" l="1"/>
  <c r="AL158" i="8"/>
  <c r="AL159" i="8"/>
  <c r="AY127" i="8" l="1"/>
  <c r="U158" i="8" l="1"/>
  <c r="A24" i="8" l="1"/>
  <c r="AU22" i="8"/>
  <c r="AL22" i="8"/>
  <c r="U22" i="8"/>
  <c r="Y22" i="8" s="1"/>
  <c r="V22" i="8"/>
  <c r="Z22" i="8" l="1"/>
  <c r="AA22" i="8" s="1"/>
  <c r="AH22" i="8" s="1"/>
  <c r="S22" i="8"/>
  <c r="A25" i="8"/>
  <c r="A26" i="8" s="1"/>
  <c r="A27" i="8" s="1"/>
  <c r="A28" i="8" s="1"/>
  <c r="A29" i="8" s="1"/>
  <c r="A30" i="8" s="1"/>
  <c r="A31" i="8" s="1"/>
  <c r="A32" i="8" s="1"/>
  <c r="A33" i="8" s="1"/>
  <c r="A34" i="8" s="1"/>
  <c r="A35" i="8" s="1"/>
  <c r="A36" i="8" s="1"/>
  <c r="A37" i="8" s="1"/>
  <c r="A38" i="8" s="1"/>
  <c r="A39" i="8" s="1"/>
  <c r="A40" i="8" s="1"/>
  <c r="A41" i="8" s="1"/>
  <c r="A42" i="8" s="1"/>
  <c r="A43" i="8" s="1"/>
  <c r="A44" i="8" s="1"/>
  <c r="A45" i="8" s="1"/>
  <c r="AC22" i="8"/>
  <c r="AE22" i="8" s="1"/>
  <c r="AG22" i="8"/>
  <c r="AF22" i="8"/>
  <c r="AO22" i="8"/>
  <c r="AQ22" i="8" s="1"/>
  <c r="AR22" i="8" s="1"/>
  <c r="A46" i="8" l="1"/>
  <c r="A47" i="8" s="1"/>
  <c r="AJ22" i="8"/>
  <c r="AT22" i="8" s="1"/>
  <c r="AY144" i="8"/>
  <c r="AY145" i="8" s="1"/>
  <c r="AY146" i="8" s="1"/>
  <c r="A48" i="8" l="1"/>
  <c r="A49" i="8" s="1"/>
  <c r="A50" i="8" s="1"/>
  <c r="A51" i="8" s="1"/>
  <c r="A52" i="8" s="1"/>
  <c r="A53" i="8" s="1"/>
  <c r="A54" i="8" s="1"/>
  <c r="A55" i="8" s="1"/>
  <c r="A56" i="8" s="1"/>
  <c r="A57" i="8" s="1"/>
  <c r="A58" i="8" s="1"/>
  <c r="A59" i="8" s="1"/>
  <c r="A60" i="8" s="1"/>
  <c r="A61" i="8" s="1"/>
  <c r="A62" i="8" s="1"/>
  <c r="A63" i="8" s="1"/>
  <c r="A64" i="8" s="1"/>
  <c r="A65" i="8" s="1"/>
  <c r="A66" i="8" s="1"/>
  <c r="A67" i="8" s="1"/>
  <c r="A68" i="8" s="1"/>
  <c r="A69" i="8" s="1"/>
  <c r="L39" i="2"/>
  <c r="AO81" i="8"/>
  <c r="AQ81" i="8" s="1"/>
  <c r="AR81" i="8" s="1"/>
  <c r="Y81" i="8"/>
  <c r="Z81" i="8" s="1"/>
  <c r="AA81" i="8" s="1"/>
  <c r="AF81" i="8" s="1"/>
  <c r="AO80" i="8"/>
  <c r="AQ80" i="8" s="1"/>
  <c r="AR80" i="8" s="1"/>
  <c r="Y80" i="8"/>
  <c r="Z80" i="8" s="1"/>
  <c r="AA80" i="8" s="1"/>
  <c r="AQ96" i="8"/>
  <c r="AR96" i="8" s="1"/>
  <c r="AL96" i="8"/>
  <c r="U96" i="8"/>
  <c r="Y96" i="8" s="1"/>
  <c r="Z96" i="8" s="1"/>
  <c r="AA96" i="8" s="1"/>
  <c r="AH96" i="8" s="1"/>
  <c r="V96" i="8"/>
  <c r="AL130" i="8"/>
  <c r="A70" i="8" l="1"/>
  <c r="A71" i="8" s="1"/>
  <c r="AC81" i="8"/>
  <c r="AE81" i="8" s="1"/>
  <c r="AH81" i="8"/>
  <c r="AC96" i="8"/>
  <c r="AG96" i="8"/>
  <c r="AG81" i="8"/>
  <c r="AF96" i="8"/>
  <c r="AD96" i="8"/>
  <c r="AH80" i="8"/>
  <c r="AC80" i="8"/>
  <c r="AE80" i="8" s="1"/>
  <c r="AF80" i="8"/>
  <c r="AG80" i="8"/>
  <c r="A72" i="8" l="1"/>
  <c r="A73" i="8" s="1"/>
  <c r="A74" i="8" s="1"/>
  <c r="A75" i="8" s="1"/>
  <c r="A78" i="8" s="1"/>
  <c r="A79" i="8" s="1"/>
  <c r="A80" i="8" s="1"/>
  <c r="E290" i="8"/>
  <c r="AJ81" i="8"/>
  <c r="AT81" i="8" s="1"/>
  <c r="AJ80" i="8"/>
  <c r="AT80" i="8" s="1"/>
  <c r="AJ96" i="8"/>
  <c r="AE96" i="8"/>
  <c r="AL272" i="8"/>
  <c r="AL273" i="8"/>
  <c r="AL274" i="8"/>
  <c r="AL275" i="8"/>
  <c r="AL276" i="8"/>
  <c r="AL277" i="8"/>
  <c r="AL278" i="8"/>
  <c r="AL279" i="8"/>
  <c r="AL280" i="8"/>
  <c r="AL252" i="8"/>
  <c r="AL253" i="8"/>
  <c r="AL254" i="8"/>
  <c r="AL219" i="8"/>
  <c r="AL220" i="8"/>
  <c r="A81" i="8" l="1"/>
  <c r="AU80" i="8"/>
  <c r="AT96" i="8"/>
  <c r="AL245" i="8"/>
  <c r="AL246" i="8"/>
  <c r="U272" i="8"/>
  <c r="A82" i="8" l="1"/>
  <c r="AU81" i="8"/>
  <c r="A83" i="8" l="1"/>
  <c r="AU82" i="8"/>
  <c r="AY136" i="8"/>
  <c r="AU83" i="8" l="1"/>
  <c r="A84" i="8"/>
  <c r="AY137" i="8"/>
  <c r="AY138" i="8" s="1"/>
  <c r="A88" i="8" l="1"/>
  <c r="A89" i="8" s="1"/>
  <c r="A90" i="8" s="1"/>
  <c r="A91" i="8" s="1"/>
  <c r="A92" i="8" s="1"/>
  <c r="A93" i="8" s="1"/>
  <c r="A94" i="8" s="1"/>
  <c r="A95" i="8" s="1"/>
  <c r="A96" i="8" s="1"/>
  <c r="E291" i="8"/>
  <c r="AU96" i="8" l="1"/>
  <c r="A97" i="8"/>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L148" i="8"/>
  <c r="AL149" i="8"/>
  <c r="A150" i="8" l="1"/>
  <c r="AL105" i="8"/>
  <c r="A151" i="8" l="1"/>
  <c r="AU150" i="8"/>
  <c r="AU151" i="8" l="1"/>
  <c r="A152" i="8"/>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W133" i="8"/>
  <c r="AW132" i="8"/>
  <c r="E292" i="8" l="1"/>
  <c r="AW134" i="8"/>
  <c r="AL160" i="8"/>
  <c r="AL161" i="8"/>
  <c r="AU271" i="8"/>
  <c r="AN85" i="8"/>
  <c r="AM85" i="8"/>
  <c r="AM291" i="8" s="1"/>
  <c r="AL85" i="8"/>
  <c r="AK85" i="8"/>
  <c r="AD85" i="8"/>
  <c r="AD291" i="8" s="1"/>
  <c r="W85" i="8"/>
  <c r="W291" i="8" s="1"/>
  <c r="R85" i="8"/>
  <c r="R291" i="8" s="1"/>
  <c r="AU84" i="8"/>
  <c r="AO84" i="8"/>
  <c r="AQ84" i="8" s="1"/>
  <c r="AR84" i="8" s="1"/>
  <c r="Y84" i="8"/>
  <c r="Z84" i="8" s="1"/>
  <c r="AA84" i="8" s="1"/>
  <c r="AC84" i="8" s="1"/>
  <c r="AE84" i="8" s="1"/>
  <c r="AU79" i="8"/>
  <c r="Y79" i="8"/>
  <c r="Z79" i="8" s="1"/>
  <c r="AA79" i="8" s="1"/>
  <c r="AC79" i="8" s="1"/>
  <c r="AE79" i="8" s="1"/>
  <c r="AO79" i="8"/>
  <c r="AQ79" i="8" s="1"/>
  <c r="AR79" i="8" s="1"/>
  <c r="AU272" i="8"/>
  <c r="Y272" i="8"/>
  <c r="Z272" i="8" s="1"/>
  <c r="AA272" i="8" s="1"/>
  <c r="AO272" i="8"/>
  <c r="AQ272" i="8" s="1"/>
  <c r="AR272" i="8" s="1"/>
  <c r="AU78" i="8"/>
  <c r="AO78" i="8"/>
  <c r="AQ78" i="8" s="1"/>
  <c r="AR78" i="8" s="1"/>
  <c r="Y78" i="8"/>
  <c r="Z78" i="8" s="1"/>
  <c r="AA78" i="8" s="1"/>
  <c r="AF78" i="8" s="1"/>
  <c r="AU158" i="8"/>
  <c r="AO158" i="8"/>
  <c r="AQ158" i="8" s="1"/>
  <c r="AR158" i="8" s="1"/>
  <c r="Y158" i="8"/>
  <c r="Z158" i="8" s="1"/>
  <c r="AA158" i="8" s="1"/>
  <c r="AH158" i="8" s="1"/>
  <c r="Y245" i="8"/>
  <c r="Z245" i="8" s="1"/>
  <c r="AA245" i="8" s="1"/>
  <c r="AG245" i="8" s="1"/>
  <c r="AO245" i="8"/>
  <c r="AQ245" i="8" s="1"/>
  <c r="AR245" i="8" s="1"/>
  <c r="AU245" i="8"/>
  <c r="AL145" i="8"/>
  <c r="AL146" i="8"/>
  <c r="AL143" i="8"/>
  <c r="AL144" i="8"/>
  <c r="AL154" i="8"/>
  <c r="AL155" i="8"/>
  <c r="AL156" i="8"/>
  <c r="AL157" i="8"/>
  <c r="AL169" i="8"/>
  <c r="AL192" i="8"/>
  <c r="AL191" i="8"/>
  <c r="AL206" i="8"/>
  <c r="AL255" i="8"/>
  <c r="AL244" i="8"/>
  <c r="AU149" i="8"/>
  <c r="U149" i="8"/>
  <c r="Y149" i="8" s="1"/>
  <c r="R91" i="8"/>
  <c r="U91" i="8" s="1"/>
  <c r="AO91" i="8" s="1"/>
  <c r="AQ91" i="8" s="1"/>
  <c r="AR91" i="8" s="1"/>
  <c r="AU162" i="8"/>
  <c r="AU148" i="8"/>
  <c r="U148" i="8"/>
  <c r="AO148" i="8" s="1"/>
  <c r="AQ148" i="8" s="1"/>
  <c r="AR148" i="8" s="1"/>
  <c r="U162" i="8"/>
  <c r="U85" i="8" s="1"/>
  <c r="U291" i="8" s="1"/>
  <c r="AU275" i="8"/>
  <c r="AU276" i="8"/>
  <c r="AU277" i="8"/>
  <c r="N89" i="8"/>
  <c r="N90" i="8"/>
  <c r="N91" i="8"/>
  <c r="N92" i="8"/>
  <c r="N93" i="8"/>
  <c r="N94" i="8"/>
  <c r="N97" i="8"/>
  <c r="N98" i="8"/>
  <c r="N99" i="8"/>
  <c r="N100" i="8"/>
  <c r="N101" i="8"/>
  <c r="N102" i="8"/>
  <c r="N103" i="8"/>
  <c r="N104" i="8"/>
  <c r="N105" i="8"/>
  <c r="N106" i="8"/>
  <c r="N107" i="8"/>
  <c r="N108" i="8"/>
  <c r="N109" i="8"/>
  <c r="N110" i="8"/>
  <c r="N112" i="8"/>
  <c r="N113" i="8"/>
  <c r="N114" i="8"/>
  <c r="N116" i="8"/>
  <c r="N117" i="8"/>
  <c r="N118" i="8"/>
  <c r="N119" i="8"/>
  <c r="N120" i="8"/>
  <c r="N121" i="8"/>
  <c r="N122" i="8"/>
  <c r="N123" i="8"/>
  <c r="N124" i="8"/>
  <c r="N125" i="8"/>
  <c r="N126" i="8"/>
  <c r="N127" i="8"/>
  <c r="N128" i="8"/>
  <c r="N129" i="8"/>
  <c r="N130" i="8"/>
  <c r="N131" i="8"/>
  <c r="N132" i="8"/>
  <c r="N134" i="8"/>
  <c r="N135" i="8"/>
  <c r="N136" i="8"/>
  <c r="N137" i="8"/>
  <c r="N138" i="8"/>
  <c r="N139" i="8"/>
  <c r="N140" i="8"/>
  <c r="N141" i="8"/>
  <c r="N142" i="8"/>
  <c r="N143" i="8"/>
  <c r="N144" i="8"/>
  <c r="N146" i="8"/>
  <c r="N147" i="8"/>
  <c r="N151" i="8"/>
  <c r="N152" i="8"/>
  <c r="N153" i="8"/>
  <c r="N154" i="8"/>
  <c r="N155" i="8"/>
  <c r="N156" i="8"/>
  <c r="N157" i="8"/>
  <c r="N159"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2" i="8"/>
  <c r="N194" i="8"/>
  <c r="N193"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3" i="8"/>
  <c r="N244" i="8"/>
  <c r="N246" i="8"/>
  <c r="N115" i="8"/>
  <c r="N247" i="8"/>
  <c r="N248" i="8"/>
  <c r="N249" i="8"/>
  <c r="N250" i="8"/>
  <c r="N251" i="8"/>
  <c r="N252" i="8"/>
  <c r="N253" i="8"/>
  <c r="N254" i="8"/>
  <c r="N255"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8" i="8"/>
  <c r="N145" i="8"/>
  <c r="N161" i="8"/>
  <c r="N160"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9" i="8"/>
  <c r="AL90" i="8"/>
  <c r="AL91" i="8"/>
  <c r="AL92" i="8"/>
  <c r="AL93" i="8"/>
  <c r="AL94" i="8"/>
  <c r="AU89" i="8"/>
  <c r="AU90" i="8"/>
  <c r="AU88" i="8"/>
  <c r="AU284" i="8"/>
  <c r="AU279" i="8"/>
  <c r="AU244" i="8"/>
  <c r="AU145" i="8"/>
  <c r="AU192" i="8"/>
  <c r="AU161" i="8"/>
  <c r="AU159" i="8"/>
  <c r="AU160" i="8"/>
  <c r="AU278" i="8"/>
  <c r="AU144" i="8"/>
  <c r="AU191" i="8"/>
  <c r="AU101" i="8"/>
  <c r="AU102" i="8"/>
  <c r="AU103" i="8"/>
  <c r="AU104" i="8"/>
  <c r="AU105" i="8"/>
  <c r="AU106" i="8"/>
  <c r="AU107" i="8"/>
  <c r="AU108" i="8"/>
  <c r="AU119" i="8"/>
  <c r="AU120" i="8"/>
  <c r="AU121" i="8"/>
  <c r="AU122" i="8"/>
  <c r="AL241" i="8"/>
  <c r="AL242" i="8"/>
  <c r="AL243" i="8"/>
  <c r="AL265" i="8"/>
  <c r="AL266" i="8"/>
  <c r="AL267" i="8"/>
  <c r="AL268" i="8"/>
  <c r="AL269" i="8"/>
  <c r="AL270" i="8"/>
  <c r="AL271" i="8"/>
  <c r="AN286" i="8"/>
  <c r="AN292" i="8" s="1"/>
  <c r="AM286" i="8"/>
  <c r="AM292" i="8" s="1"/>
  <c r="AK286" i="8"/>
  <c r="AK292" i="8" s="1"/>
  <c r="AB286" i="8"/>
  <c r="AU167" i="8"/>
  <c r="AL167" i="8"/>
  <c r="U167" i="8"/>
  <c r="AO167" i="8" s="1"/>
  <c r="AQ167" i="8" s="1"/>
  <c r="AR167" i="8" s="1"/>
  <c r="K167" i="8"/>
  <c r="B167"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AK108" i="11"/>
  <c r="AT108" i="11"/>
  <c r="B109" i="11"/>
  <c r="K109" i="11"/>
  <c r="T109" i="11"/>
  <c r="W109" i="11"/>
  <c r="X88" i="8" s="1"/>
  <c r="AK109" i="11"/>
  <c r="AN109" i="11"/>
  <c r="AP109" i="11"/>
  <c r="AQ109" i="11" s="1"/>
  <c r="B110" i="11"/>
  <c r="T110" i="11"/>
  <c r="U110" i="11"/>
  <c r="W110" i="11"/>
  <c r="X128"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3"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2" i="8" s="1"/>
  <c r="AK139" i="11"/>
  <c r="AP139" i="11"/>
  <c r="AQ139" i="11"/>
  <c r="AT139" i="11"/>
  <c r="B140" i="11"/>
  <c r="K140" i="11"/>
  <c r="T140" i="11"/>
  <c r="U140" i="11"/>
  <c r="W140" i="11"/>
  <c r="X138"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X143" i="11" s="1"/>
  <c r="U143" i="11"/>
  <c r="W143" i="1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31" i="8" s="1"/>
  <c r="AK148" i="11"/>
  <c r="AN148" i="11"/>
  <c r="AP148" i="11"/>
  <c r="AQ148" i="11"/>
  <c r="AT148" i="11"/>
  <c r="B149" i="11"/>
  <c r="K149" i="11"/>
  <c r="T149" i="11"/>
  <c r="U149" i="11"/>
  <c r="W149" i="11"/>
  <c r="AK149" i="11"/>
  <c r="AP149" i="11"/>
  <c r="AQ149" i="11"/>
  <c r="AT149" i="11"/>
  <c r="B150" i="11"/>
  <c r="K150" i="11"/>
  <c r="T150" i="11"/>
  <c r="U150" i="11"/>
  <c r="W150" i="11"/>
  <c r="X102" i="8" s="1"/>
  <c r="AK150" i="11"/>
  <c r="AP150" i="11"/>
  <c r="AQ150" i="11"/>
  <c r="AT150" i="11"/>
  <c r="B151" i="11"/>
  <c r="K151" i="11"/>
  <c r="T151" i="11"/>
  <c r="U151" i="11"/>
  <c r="W151" i="11"/>
  <c r="AK151" i="11"/>
  <c r="AT151" i="11"/>
  <c r="B152" i="11"/>
  <c r="K152" i="11"/>
  <c r="T152" i="11"/>
  <c r="U152" i="11"/>
  <c r="W152" i="11"/>
  <c r="X118" i="8" s="1"/>
  <c r="AK152" i="11"/>
  <c r="AP152" i="11"/>
  <c r="AQ152" i="11" s="1"/>
  <c r="AT152" i="11"/>
  <c r="B153" i="11"/>
  <c r="K153" i="11"/>
  <c r="T153" i="11"/>
  <c r="U153" i="11"/>
  <c r="W153" i="11"/>
  <c r="X119"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AK158" i="11"/>
  <c r="AP158" i="11"/>
  <c r="AQ158" i="11"/>
  <c r="AT158" i="11"/>
  <c r="B159" i="11"/>
  <c r="K159" i="11"/>
  <c r="T159" i="11"/>
  <c r="U159" i="11"/>
  <c r="W159" i="11"/>
  <c r="X142"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3"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7" i="8" s="1"/>
  <c r="AK164" i="11"/>
  <c r="AP164" i="11"/>
  <c r="AQ164" i="11" s="1"/>
  <c r="AT164" i="11"/>
  <c r="AV164" i="11"/>
  <c r="B165" i="11"/>
  <c r="K165" i="11"/>
  <c r="T165" i="11"/>
  <c r="U165" i="11"/>
  <c r="W165" i="11"/>
  <c r="AK165" i="11"/>
  <c r="AP165" i="11"/>
  <c r="AQ165" i="11"/>
  <c r="AT165" i="11"/>
  <c r="B166" i="11"/>
  <c r="K166" i="11"/>
  <c r="T166" i="11"/>
  <c r="U166" i="11"/>
  <c r="W166" i="11"/>
  <c r="X111" i="8" s="1"/>
  <c r="AK166" i="11"/>
  <c r="AN166" i="11"/>
  <c r="AP166" i="11"/>
  <c r="AQ166" i="11" s="1"/>
  <c r="AT166" i="11"/>
  <c r="B167" i="11"/>
  <c r="K167" i="11"/>
  <c r="T167" i="11"/>
  <c r="U167" i="11"/>
  <c r="W167" i="11"/>
  <c r="AK167" i="11"/>
  <c r="AN167" i="11"/>
  <c r="AP167" i="11"/>
  <c r="AQ167" i="11"/>
  <c r="AT167" i="11"/>
  <c r="B168" i="11"/>
  <c r="K168" i="11"/>
  <c r="T168" i="11"/>
  <c r="U168" i="11"/>
  <c r="W168" i="1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7"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3"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X168" i="8" s="1"/>
  <c r="AK259" i="11"/>
  <c r="AT259" i="11"/>
  <c r="B260" i="11"/>
  <c r="K260" i="11"/>
  <c r="T260" i="11"/>
  <c r="W260" i="11"/>
  <c r="X155" i="8" s="1"/>
  <c r="AK260" i="11"/>
  <c r="AN260" i="11"/>
  <c r="AP260" i="11" s="1"/>
  <c r="AQ260" i="11" s="1"/>
  <c r="AT260" i="11"/>
  <c r="B261" i="11"/>
  <c r="K261" i="11"/>
  <c r="T261" i="11"/>
  <c r="W261" i="11"/>
  <c r="AK261" i="11"/>
  <c r="AN261" i="11"/>
  <c r="AP261" i="11" s="1"/>
  <c r="AQ261" i="11" s="1"/>
  <c r="AT261" i="11"/>
  <c r="B262" i="11"/>
  <c r="K262" i="11"/>
  <c r="T262" i="11"/>
  <c r="W262" i="11"/>
  <c r="X253"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9" i="8" s="1"/>
  <c r="AT270" i="11"/>
  <c r="B271" i="11"/>
  <c r="K271" i="11"/>
  <c r="T271" i="11"/>
  <c r="W271" i="11"/>
  <c r="X274" i="8" s="1"/>
  <c r="AN271" i="11"/>
  <c r="AP271" i="11" s="1"/>
  <c r="AQ271" i="11" s="1"/>
  <c r="B272" i="11"/>
  <c r="T272" i="11"/>
  <c r="W272" i="11"/>
  <c r="AN272" i="11"/>
  <c r="AP272" i="11" s="1"/>
  <c r="AQ272" i="11" s="1"/>
  <c r="T273" i="11"/>
  <c r="W273" i="11"/>
  <c r="X273" i="11" s="1"/>
  <c r="Y273" i="11" s="1"/>
  <c r="Z273" i="11" s="1"/>
  <c r="AN273" i="11"/>
  <c r="AP273" i="11" s="1"/>
  <c r="AQ273" i="11" s="1"/>
  <c r="B274" i="11"/>
  <c r="K274" i="11"/>
  <c r="T274" i="11"/>
  <c r="W274" i="11"/>
  <c r="AN274" i="11"/>
  <c r="AP274" i="11" s="1"/>
  <c r="AQ274" i="11" s="1"/>
  <c r="AT274" i="11"/>
  <c r="B275" i="11"/>
  <c r="K275" i="11"/>
  <c r="T275" i="11"/>
  <c r="W275" i="11"/>
  <c r="X275" i="11" s="1"/>
  <c r="Y275" i="11" s="1"/>
  <c r="Z275" i="11" s="1"/>
  <c r="AG275" i="11" s="1"/>
  <c r="AN275" i="11"/>
  <c r="AP275" i="11" s="1"/>
  <c r="AQ275" i="11" s="1"/>
  <c r="AT275" i="11"/>
  <c r="B276" i="11"/>
  <c r="K276" i="11"/>
  <c r="T276" i="11"/>
  <c r="W276" i="1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5" i="8" s="1"/>
  <c r="AK279" i="11"/>
  <c r="AT279" i="11"/>
  <c r="B280" i="11"/>
  <c r="K280" i="11"/>
  <c r="T280" i="11"/>
  <c r="U280" i="11"/>
  <c r="U282" i="11" s="1"/>
  <c r="W280" i="11"/>
  <c r="X109" i="8" s="1"/>
  <c r="AK280" i="11"/>
  <c r="AN280" i="11"/>
  <c r="AP280" i="11" s="1"/>
  <c r="AQ280" i="11" s="1"/>
  <c r="AT280" i="11"/>
  <c r="B281" i="11"/>
  <c r="K281" i="11"/>
  <c r="T281" i="11"/>
  <c r="W281" i="11"/>
  <c r="X140"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91" i="8"/>
  <c r="AO191" i="8" s="1"/>
  <c r="AQ191" i="8" s="1"/>
  <c r="AR191" i="8" s="1"/>
  <c r="U144" i="8"/>
  <c r="AO144" i="8" s="1"/>
  <c r="AQ144" i="8" s="1"/>
  <c r="AR144" i="8" s="1"/>
  <c r="U276" i="8"/>
  <c r="Y276" i="8" s="1"/>
  <c r="Z276" i="8" s="1"/>
  <c r="AA276" i="8" s="1"/>
  <c r="U284" i="8"/>
  <c r="AO284" i="8" s="1"/>
  <c r="AQ284" i="8" s="1"/>
  <c r="AR284" i="8" s="1"/>
  <c r="U279" i="8"/>
  <c r="AO279" i="8" s="1"/>
  <c r="AQ279" i="8" s="1"/>
  <c r="AR279" i="8" s="1"/>
  <c r="U244" i="8"/>
  <c r="Y244" i="8" s="1"/>
  <c r="U145" i="8"/>
  <c r="AO145" i="8" s="1"/>
  <c r="AQ145" i="8" s="1"/>
  <c r="AR145" i="8" s="1"/>
  <c r="U277" i="8"/>
  <c r="AO277" i="8" s="1"/>
  <c r="AQ277" i="8" s="1"/>
  <c r="AR277" i="8" s="1"/>
  <c r="U192" i="8"/>
  <c r="AO192" i="8" s="1"/>
  <c r="AQ192" i="8" s="1"/>
  <c r="AR192" i="8" s="1"/>
  <c r="X192" i="8"/>
  <c r="U161" i="8"/>
  <c r="AO161" i="8" s="1"/>
  <c r="AQ161" i="8" s="1"/>
  <c r="AR161" i="8" s="1"/>
  <c r="X161" i="8"/>
  <c r="U275" i="8"/>
  <c r="AO275" i="8" s="1"/>
  <c r="AQ275" i="8" s="1"/>
  <c r="AR275" i="8" s="1"/>
  <c r="U159" i="8"/>
  <c r="Y159" i="8" s="1"/>
  <c r="U160" i="8"/>
  <c r="AO160" i="8" s="1"/>
  <c r="AQ160" i="8" s="1"/>
  <c r="AR160" i="8" s="1"/>
  <c r="U278" i="8"/>
  <c r="AO278" i="8" s="1"/>
  <c r="AQ278" i="8" s="1"/>
  <c r="AR278" i="8" s="1"/>
  <c r="B85" i="8"/>
  <c r="T85" i="8"/>
  <c r="T291" i="8" s="1"/>
  <c r="AS85" i="8"/>
  <c r="AS286" i="8" s="1"/>
  <c r="B86" i="8"/>
  <c r="B87" i="8"/>
  <c r="B256" i="8"/>
  <c r="K256" i="8"/>
  <c r="U256" i="8"/>
  <c r="Y256" i="8" s="1"/>
  <c r="V256" i="8"/>
  <c r="AL256" i="8"/>
  <c r="AU256" i="8"/>
  <c r="B226" i="8"/>
  <c r="K226" i="8"/>
  <c r="U226" i="8"/>
  <c r="AO226" i="8" s="1"/>
  <c r="AQ226" i="8" s="1"/>
  <c r="AR226" i="8" s="1"/>
  <c r="V226" i="8"/>
  <c r="AL226" i="8"/>
  <c r="AU226" i="8"/>
  <c r="B133" i="8"/>
  <c r="K133" i="8"/>
  <c r="U133" i="8"/>
  <c r="AO133" i="8" s="1"/>
  <c r="AQ133" i="8" s="1"/>
  <c r="AR133" i="8" s="1"/>
  <c r="V133" i="8"/>
  <c r="AL133" i="8"/>
  <c r="AU133" i="8"/>
  <c r="B136" i="8"/>
  <c r="K136" i="8"/>
  <c r="U136" i="8"/>
  <c r="V136" i="8"/>
  <c r="AL136" i="8"/>
  <c r="AU136" i="8"/>
  <c r="B134" i="8"/>
  <c r="K134" i="8"/>
  <c r="U134" i="8"/>
  <c r="AO134" i="8" s="1"/>
  <c r="AQ134" i="8" s="1"/>
  <c r="AR134" i="8" s="1"/>
  <c r="V134" i="8"/>
  <c r="AL134" i="8"/>
  <c r="AU134" i="8"/>
  <c r="B114" i="8"/>
  <c r="K114" i="8"/>
  <c r="U114" i="8"/>
  <c r="AO114" i="8" s="1"/>
  <c r="AQ114" i="8" s="1"/>
  <c r="AR114" i="8" s="1"/>
  <c r="AL114" i="8"/>
  <c r="AU114" i="8"/>
  <c r="B88" i="8"/>
  <c r="K88" i="8"/>
  <c r="U88" i="8"/>
  <c r="AO88" i="8" s="1"/>
  <c r="AQ88" i="8" s="1"/>
  <c r="AR88" i="8" s="1"/>
  <c r="AL88" i="8"/>
  <c r="B128" i="8"/>
  <c r="U128" i="8"/>
  <c r="AO128" i="8" s="1"/>
  <c r="AQ128" i="8" s="1"/>
  <c r="AR128" i="8" s="1"/>
  <c r="V128" i="8"/>
  <c r="AL128" i="8"/>
  <c r="AU128" i="8"/>
  <c r="B194" i="8"/>
  <c r="K194" i="8"/>
  <c r="U194" i="8"/>
  <c r="V194" i="8"/>
  <c r="AL194" i="8"/>
  <c r="AU194" i="8"/>
  <c r="B193" i="8"/>
  <c r="K193" i="8"/>
  <c r="U193" i="8"/>
  <c r="V193" i="8"/>
  <c r="AL193" i="8"/>
  <c r="AU193" i="8"/>
  <c r="B227" i="8"/>
  <c r="U227" i="8"/>
  <c r="AO227" i="8" s="1"/>
  <c r="AQ227" i="8" s="1"/>
  <c r="AR227" i="8" s="1"/>
  <c r="V227" i="8"/>
  <c r="AL227" i="8"/>
  <c r="AU227" i="8"/>
  <c r="B143" i="8"/>
  <c r="K143" i="8"/>
  <c r="U143" i="8"/>
  <c r="Y143" i="8" s="1"/>
  <c r="Z143" i="8" s="1"/>
  <c r="AA143" i="8" s="1"/>
  <c r="AD143" i="8" s="1"/>
  <c r="AU143" i="8"/>
  <c r="B206" i="8"/>
  <c r="K206" i="8"/>
  <c r="U206" i="8"/>
  <c r="AO206" i="8" s="1"/>
  <c r="AQ206" i="8" s="1"/>
  <c r="AR206" i="8" s="1"/>
  <c r="AU206" i="8"/>
  <c r="B280" i="8"/>
  <c r="K280" i="8"/>
  <c r="U280" i="8"/>
  <c r="Y280" i="8" s="1"/>
  <c r="Z280" i="8" s="1"/>
  <c r="AA280" i="8" s="1"/>
  <c r="AG280" i="8" s="1"/>
  <c r="AU280" i="8"/>
  <c r="B163" i="8"/>
  <c r="K163" i="8"/>
  <c r="U163" i="8"/>
  <c r="AO163" i="8" s="1"/>
  <c r="AQ163" i="8" s="1"/>
  <c r="AR163" i="8" s="1"/>
  <c r="V163" i="8"/>
  <c r="AU163" i="8"/>
  <c r="B281" i="8"/>
  <c r="K281" i="8"/>
  <c r="U281" i="8"/>
  <c r="Y281" i="8" s="1"/>
  <c r="Z281" i="8" s="1"/>
  <c r="AA281" i="8" s="1"/>
  <c r="V281" i="8"/>
  <c r="AL281" i="8"/>
  <c r="AU281" i="8"/>
  <c r="B139" i="8"/>
  <c r="K139" i="8"/>
  <c r="U139" i="8"/>
  <c r="Y139" i="8" s="1"/>
  <c r="V139" i="8"/>
  <c r="AL139" i="8"/>
  <c r="AU139" i="8"/>
  <c r="B89" i="8"/>
  <c r="U89" i="8"/>
  <c r="AO89" i="8" s="1"/>
  <c r="AQ89" i="8" s="1"/>
  <c r="AR89" i="8" s="1"/>
  <c r="B115" i="8"/>
  <c r="K115" i="8"/>
  <c r="U115" i="8"/>
  <c r="V115" i="8"/>
  <c r="AL115" i="8"/>
  <c r="AU115" i="8"/>
  <c r="B228" i="8"/>
  <c r="K228" i="8"/>
  <c r="U228" i="8"/>
  <c r="V228" i="8"/>
  <c r="AL228" i="8"/>
  <c r="AU228" i="8"/>
  <c r="B257" i="8"/>
  <c r="K257" i="8"/>
  <c r="U257" i="8"/>
  <c r="AO257" i="8" s="1"/>
  <c r="AQ257" i="8" s="1"/>
  <c r="AR257" i="8" s="1"/>
  <c r="V257" i="8"/>
  <c r="AL257" i="8"/>
  <c r="AU257" i="8"/>
  <c r="B258" i="8"/>
  <c r="K258" i="8"/>
  <c r="U258" i="8"/>
  <c r="AO258" i="8" s="1"/>
  <c r="AQ258" i="8" s="1"/>
  <c r="AR258" i="8" s="1"/>
  <c r="V258" i="8"/>
  <c r="AL258" i="8"/>
  <c r="AU258" i="8"/>
  <c r="B214" i="8"/>
  <c r="K214" i="8"/>
  <c r="U214" i="8"/>
  <c r="AO214" i="8" s="1"/>
  <c r="AQ214" i="8" s="1"/>
  <c r="AR214" i="8" s="1"/>
  <c r="V214" i="8"/>
  <c r="AL214" i="8"/>
  <c r="AU214" i="8"/>
  <c r="B171" i="8"/>
  <c r="U171" i="8"/>
  <c r="V171" i="8"/>
  <c r="W171" i="8"/>
  <c r="AL171" i="8"/>
  <c r="AU171" i="8"/>
  <c r="B218" i="8"/>
  <c r="K218" i="8"/>
  <c r="U218" i="8"/>
  <c r="V218" i="8"/>
  <c r="AL218" i="8"/>
  <c r="AU218" i="8"/>
  <c r="B195" i="8"/>
  <c r="K195" i="8"/>
  <c r="U195" i="8"/>
  <c r="Y195" i="8" s="1"/>
  <c r="V195" i="8"/>
  <c r="AL195" i="8"/>
  <c r="AU195" i="8"/>
  <c r="B146" i="8"/>
  <c r="K146" i="8"/>
  <c r="U146" i="8"/>
  <c r="AO146" i="8" s="1"/>
  <c r="AQ146" i="8" s="1"/>
  <c r="AR146" i="8" s="1"/>
  <c r="V146" i="8"/>
  <c r="AU146" i="8"/>
  <c r="B147" i="8"/>
  <c r="K147" i="8"/>
  <c r="U147" i="8"/>
  <c r="Y147" i="8" s="1"/>
  <c r="Z147" i="8" s="1"/>
  <c r="AA147" i="8" s="1"/>
  <c r="AD147" i="8" s="1"/>
  <c r="V147" i="8"/>
  <c r="AL147" i="8"/>
  <c r="AU147" i="8"/>
  <c r="B229" i="8"/>
  <c r="U229" i="8"/>
  <c r="AO229" i="8" s="1"/>
  <c r="AQ229" i="8" s="1"/>
  <c r="AR229" i="8" s="1"/>
  <c r="V229" i="8"/>
  <c r="AL229" i="8"/>
  <c r="AU229" i="8"/>
  <c r="B259" i="8"/>
  <c r="K259" i="8"/>
  <c r="U259" i="8"/>
  <c r="Y259" i="8" s="1"/>
  <c r="Z259" i="8" s="1"/>
  <c r="AA259" i="8" s="1"/>
  <c r="AD259" i="8" s="1"/>
  <c r="AE259" i="8" s="1"/>
  <c r="AL259" i="8"/>
  <c r="AU259" i="8"/>
  <c r="B246" i="8"/>
  <c r="U246" i="8"/>
  <c r="AO246" i="8" s="1"/>
  <c r="AQ246" i="8" s="1"/>
  <c r="AR246" i="8" s="1"/>
  <c r="V246" i="8"/>
  <c r="AU246" i="8"/>
  <c r="B100" i="8"/>
  <c r="K100" i="8"/>
  <c r="U100" i="8"/>
  <c r="AO100" i="8" s="1"/>
  <c r="AQ100" i="8" s="1"/>
  <c r="AR100" i="8" s="1"/>
  <c r="V100" i="8"/>
  <c r="X100" i="8"/>
  <c r="AL100" i="8"/>
  <c r="AU100" i="8"/>
  <c r="B103" i="8"/>
  <c r="K103" i="8"/>
  <c r="U103" i="8"/>
  <c r="V103" i="8"/>
  <c r="AL103" i="8"/>
  <c r="AQ103" i="8"/>
  <c r="AR103" i="8" s="1"/>
  <c r="B124" i="8"/>
  <c r="K124" i="8"/>
  <c r="U124" i="8"/>
  <c r="AO124" i="8" s="1"/>
  <c r="AQ124" i="8" s="1"/>
  <c r="AR124" i="8" s="1"/>
  <c r="V124" i="8"/>
  <c r="AL124" i="8"/>
  <c r="AU124" i="8"/>
  <c r="B126" i="8"/>
  <c r="K126" i="8"/>
  <c r="U126" i="8"/>
  <c r="V126" i="8"/>
  <c r="AL126" i="8"/>
  <c r="AQ126" i="8"/>
  <c r="AR126" i="8" s="1"/>
  <c r="AU126" i="8"/>
  <c r="B112" i="8"/>
  <c r="K112" i="8"/>
  <c r="U112" i="8"/>
  <c r="V112" i="8"/>
  <c r="AL112" i="8"/>
  <c r="AQ112" i="8"/>
  <c r="AR112" i="8" s="1"/>
  <c r="AU112" i="8"/>
  <c r="B138" i="8"/>
  <c r="K138" i="8"/>
  <c r="U138" i="8"/>
  <c r="V138" i="8"/>
  <c r="AL138" i="8"/>
  <c r="AQ138" i="8"/>
  <c r="AR138" i="8" s="1"/>
  <c r="AU138" i="8"/>
  <c r="B99" i="8"/>
  <c r="K99" i="8"/>
  <c r="U99" i="8"/>
  <c r="V99" i="8"/>
  <c r="AL99" i="8"/>
  <c r="AQ99" i="8"/>
  <c r="AR99" i="8" s="1"/>
  <c r="AU99" i="8"/>
  <c r="B129" i="8"/>
  <c r="K129" i="8"/>
  <c r="U129" i="8"/>
  <c r="V129" i="8"/>
  <c r="AL129" i="8"/>
  <c r="AQ129" i="8"/>
  <c r="AR129" i="8" s="1"/>
  <c r="AU129" i="8"/>
  <c r="B90" i="8"/>
  <c r="K90" i="8"/>
  <c r="U90" i="8"/>
  <c r="V90" i="8"/>
  <c r="AQ90" i="8"/>
  <c r="AR90" i="8" s="1"/>
  <c r="B91" i="8"/>
  <c r="K91" i="8"/>
  <c r="AU91" i="8"/>
  <c r="B116" i="8"/>
  <c r="K116" i="8"/>
  <c r="U116" i="8"/>
  <c r="V116" i="8"/>
  <c r="AL116" i="8"/>
  <c r="AQ116" i="8"/>
  <c r="AR116" i="8" s="1"/>
  <c r="AU116" i="8"/>
  <c r="B141" i="8"/>
  <c r="K141" i="8"/>
  <c r="U141" i="8"/>
  <c r="AO141" i="8" s="1"/>
  <c r="AQ141" i="8" s="1"/>
  <c r="AR141" i="8" s="1"/>
  <c r="V141" i="8"/>
  <c r="AL141" i="8"/>
  <c r="AU141" i="8"/>
  <c r="B117" i="8"/>
  <c r="K117" i="8"/>
  <c r="U117" i="8"/>
  <c r="V117" i="8"/>
  <c r="AL117" i="8"/>
  <c r="AQ117" i="8"/>
  <c r="AR117" i="8" s="1"/>
  <c r="AU117" i="8"/>
  <c r="B131" i="8"/>
  <c r="K131" i="8"/>
  <c r="U131" i="8"/>
  <c r="AL131" i="8"/>
  <c r="AU131" i="8"/>
  <c r="B101" i="8"/>
  <c r="K101" i="8"/>
  <c r="U101" i="8"/>
  <c r="V101" i="8"/>
  <c r="AL101" i="8"/>
  <c r="AQ101" i="8"/>
  <c r="AR101" i="8" s="1"/>
  <c r="B102" i="8"/>
  <c r="K102" i="8"/>
  <c r="U102" i="8"/>
  <c r="V102" i="8"/>
  <c r="AL102" i="8"/>
  <c r="AQ102" i="8"/>
  <c r="AR102" i="8" s="1"/>
  <c r="B94" i="8"/>
  <c r="K94" i="8"/>
  <c r="U94" i="8"/>
  <c r="AO94" i="8" s="1"/>
  <c r="AQ94" i="8" s="1"/>
  <c r="AR94" i="8" s="1"/>
  <c r="V94" i="8"/>
  <c r="AU94" i="8"/>
  <c r="B118" i="8"/>
  <c r="K118" i="8"/>
  <c r="U118" i="8"/>
  <c r="V118" i="8"/>
  <c r="AL118" i="8"/>
  <c r="AQ118" i="8"/>
  <c r="AR118" i="8" s="1"/>
  <c r="AU118" i="8"/>
  <c r="AY118" i="8"/>
  <c r="AY119" i="8" s="1"/>
  <c r="AY122" i="8" s="1"/>
  <c r="AY108" i="8" s="1"/>
  <c r="AZ118" i="8"/>
  <c r="AZ119" i="8" s="1"/>
  <c r="AZ122" i="8" s="1"/>
  <c r="AZ108" i="8" s="1"/>
  <c r="B119" i="8"/>
  <c r="K119" i="8"/>
  <c r="U119" i="8"/>
  <c r="V119" i="8"/>
  <c r="AL119" i="8"/>
  <c r="AQ119" i="8"/>
  <c r="AR119" i="8" s="1"/>
  <c r="B122" i="8"/>
  <c r="K122" i="8"/>
  <c r="U122" i="8"/>
  <c r="AO122" i="8" s="1"/>
  <c r="AQ122" i="8" s="1"/>
  <c r="AR122" i="8" s="1"/>
  <c r="AL122" i="8"/>
  <c r="B108" i="8"/>
  <c r="U108" i="8"/>
  <c r="V108" i="8"/>
  <c r="AL108" i="8"/>
  <c r="AQ108" i="8"/>
  <c r="AR108" i="8" s="1"/>
  <c r="B95" i="8"/>
  <c r="K95" i="8"/>
  <c r="U95" i="8"/>
  <c r="V95" i="8"/>
  <c r="AL95" i="8"/>
  <c r="AQ95" i="8"/>
  <c r="AR95" i="8" s="1"/>
  <c r="AU95" i="8"/>
  <c r="B92" i="8"/>
  <c r="K92" i="8"/>
  <c r="U92" i="8"/>
  <c r="AO92" i="8" s="1"/>
  <c r="AQ92" i="8" s="1"/>
  <c r="AR92" i="8" s="1"/>
  <c r="V92" i="8"/>
  <c r="AU92" i="8"/>
  <c r="B132" i="8"/>
  <c r="K132" i="8"/>
  <c r="U132" i="8"/>
  <c r="V132" i="8"/>
  <c r="AL132" i="8"/>
  <c r="AQ132" i="8"/>
  <c r="AR132" i="8" s="1"/>
  <c r="AU132" i="8"/>
  <c r="B142" i="8"/>
  <c r="K142" i="8"/>
  <c r="U142" i="8"/>
  <c r="AO142" i="8" s="1"/>
  <c r="AQ142" i="8" s="1"/>
  <c r="AR142" i="8" s="1"/>
  <c r="V142" i="8"/>
  <c r="AL142" i="8"/>
  <c r="AU142" i="8"/>
  <c r="B120" i="8"/>
  <c r="K120" i="8"/>
  <c r="U120" i="8"/>
  <c r="V120" i="8"/>
  <c r="AL120" i="8"/>
  <c r="AQ120" i="8"/>
  <c r="AR120" i="8" s="1"/>
  <c r="B93" i="8"/>
  <c r="K93" i="8"/>
  <c r="U93" i="8"/>
  <c r="V93" i="8"/>
  <c r="AQ93" i="8"/>
  <c r="AR93" i="8" s="1"/>
  <c r="AU93" i="8"/>
  <c r="B113" i="8"/>
  <c r="K113" i="8"/>
  <c r="U113" i="8"/>
  <c r="AO113" i="8" s="1"/>
  <c r="AQ113" i="8" s="1"/>
  <c r="AR113" i="8" s="1"/>
  <c r="AL113" i="8"/>
  <c r="AU113" i="8"/>
  <c r="B97" i="8"/>
  <c r="U97" i="8"/>
  <c r="AO97" i="8" s="1"/>
  <c r="AQ97" i="8" s="1"/>
  <c r="AR97" i="8" s="1"/>
  <c r="V97" i="8"/>
  <c r="AL97" i="8"/>
  <c r="AU97" i="8"/>
  <c r="B127" i="8"/>
  <c r="K127" i="8"/>
  <c r="U127" i="8"/>
  <c r="V127" i="8"/>
  <c r="AL127" i="8"/>
  <c r="AQ127" i="8"/>
  <c r="AR127" i="8" s="1"/>
  <c r="AU127" i="8"/>
  <c r="AW127" i="8"/>
  <c r="B110" i="8"/>
  <c r="K110" i="8"/>
  <c r="U110" i="8"/>
  <c r="V110" i="8"/>
  <c r="AL110" i="8"/>
  <c r="AQ110" i="8"/>
  <c r="AR110" i="8" s="1"/>
  <c r="AU110" i="8"/>
  <c r="B111" i="8"/>
  <c r="K111" i="8"/>
  <c r="U111" i="8"/>
  <c r="AO111" i="8" s="1"/>
  <c r="AQ111" i="8" s="1"/>
  <c r="AR111" i="8" s="1"/>
  <c r="V111" i="8"/>
  <c r="AL111" i="8"/>
  <c r="AU111" i="8"/>
  <c r="B106" i="8"/>
  <c r="K106" i="8"/>
  <c r="U106" i="8"/>
  <c r="AO106" i="8" s="1"/>
  <c r="AQ106" i="8" s="1"/>
  <c r="AR106" i="8" s="1"/>
  <c r="V106" i="8"/>
  <c r="AL106" i="8"/>
  <c r="B107" i="8"/>
  <c r="K107" i="8"/>
  <c r="U107" i="8"/>
  <c r="AO107" i="8" s="1"/>
  <c r="AQ107" i="8" s="1"/>
  <c r="AR107" i="8" s="1"/>
  <c r="V107" i="8"/>
  <c r="AL107" i="8"/>
  <c r="B98" i="8"/>
  <c r="K98" i="8"/>
  <c r="U98" i="8"/>
  <c r="V98" i="8"/>
  <c r="AL98" i="8"/>
  <c r="AQ98" i="8"/>
  <c r="AR98" i="8" s="1"/>
  <c r="AU98" i="8"/>
  <c r="AW98" i="8"/>
  <c r="B137" i="8"/>
  <c r="K137" i="8"/>
  <c r="U137" i="8"/>
  <c r="V137" i="8"/>
  <c r="AL137" i="8"/>
  <c r="AQ137" i="8"/>
  <c r="AR137" i="8" s="1"/>
  <c r="AU137" i="8"/>
  <c r="B104" i="8"/>
  <c r="U104" i="8"/>
  <c r="V104" i="8"/>
  <c r="AL104" i="8"/>
  <c r="AQ104" i="8"/>
  <c r="AR104" i="8" s="1"/>
  <c r="B105" i="8"/>
  <c r="U105" i="8"/>
  <c r="AO105" i="8" s="1"/>
  <c r="AQ105" i="8" s="1"/>
  <c r="AR105" i="8" s="1"/>
  <c r="B230" i="8"/>
  <c r="K230" i="8"/>
  <c r="U230" i="8"/>
  <c r="AO230" i="8" s="1"/>
  <c r="AQ230" i="8" s="1"/>
  <c r="AR230" i="8" s="1"/>
  <c r="V230" i="8"/>
  <c r="AL230" i="8"/>
  <c r="AU230" i="8"/>
  <c r="B190" i="8"/>
  <c r="K190" i="8"/>
  <c r="U190" i="8"/>
  <c r="Y190" i="8" s="1"/>
  <c r="Z190" i="8" s="1"/>
  <c r="AA190" i="8" s="1"/>
  <c r="AC190" i="8" s="1"/>
  <c r="V190" i="8"/>
  <c r="AL190" i="8"/>
  <c r="AU190" i="8"/>
  <c r="B283" i="8"/>
  <c r="K283" i="8"/>
  <c r="U283" i="8"/>
  <c r="AO283" i="8" s="1"/>
  <c r="AQ283" i="8" s="1"/>
  <c r="AR283" i="8" s="1"/>
  <c r="V283" i="8"/>
  <c r="AL283" i="8"/>
  <c r="AU283" i="8"/>
  <c r="B172" i="8"/>
  <c r="K172" i="8"/>
  <c r="U172" i="8"/>
  <c r="V172" i="8"/>
  <c r="AL172" i="8"/>
  <c r="AU172" i="8"/>
  <c r="B173" i="8"/>
  <c r="K173" i="8"/>
  <c r="U173" i="8"/>
  <c r="Y173" i="8" s="1"/>
  <c r="Z173" i="8" s="1"/>
  <c r="AA173" i="8" s="1"/>
  <c r="AH173" i="8" s="1"/>
  <c r="V173" i="8"/>
  <c r="AL173" i="8"/>
  <c r="AU173" i="8"/>
  <c r="B174" i="8"/>
  <c r="K174" i="8"/>
  <c r="U174" i="8"/>
  <c r="V174" i="8"/>
  <c r="AL174" i="8"/>
  <c r="AU174" i="8"/>
  <c r="B207" i="8"/>
  <c r="K207" i="8"/>
  <c r="U207" i="8"/>
  <c r="AO207" i="8" s="1"/>
  <c r="AQ207" i="8" s="1"/>
  <c r="AR207" i="8" s="1"/>
  <c r="V207" i="8"/>
  <c r="AL207" i="8"/>
  <c r="AU207" i="8"/>
  <c r="B248" i="8"/>
  <c r="K248" i="8"/>
  <c r="U248" i="8"/>
  <c r="AO248" i="8" s="1"/>
  <c r="AQ248" i="8" s="1"/>
  <c r="AR248" i="8" s="1"/>
  <c r="V248" i="8"/>
  <c r="AL248" i="8"/>
  <c r="AU248" i="8"/>
  <c r="B202" i="8"/>
  <c r="K202" i="8"/>
  <c r="U202" i="8"/>
  <c r="V202" i="8"/>
  <c r="AL202" i="8"/>
  <c r="AU202" i="8"/>
  <c r="B175" i="8"/>
  <c r="K175" i="8"/>
  <c r="U175" i="8"/>
  <c r="V175" i="8"/>
  <c r="AL175" i="8"/>
  <c r="AU175" i="8"/>
  <c r="B224" i="8"/>
  <c r="K224" i="8"/>
  <c r="U224" i="8"/>
  <c r="V224" i="8"/>
  <c r="AL224" i="8"/>
  <c r="AU224" i="8"/>
  <c r="B208" i="8"/>
  <c r="K208" i="8"/>
  <c r="U208" i="8"/>
  <c r="V208" i="8"/>
  <c r="AL208" i="8"/>
  <c r="AU208" i="8"/>
  <c r="B198" i="8"/>
  <c r="U198" i="8"/>
  <c r="V198" i="8"/>
  <c r="AL198" i="8"/>
  <c r="AU198" i="8"/>
  <c r="B123" i="8"/>
  <c r="K123" i="8"/>
  <c r="U123" i="8"/>
  <c r="V123" i="8"/>
  <c r="AL123" i="8"/>
  <c r="AU123" i="8"/>
  <c r="B251" i="8"/>
  <c r="U251" i="8"/>
  <c r="V251" i="8"/>
  <c r="AL251" i="8"/>
  <c r="AU251" i="8"/>
  <c r="B261" i="8"/>
  <c r="K261" i="8"/>
  <c r="U261" i="8"/>
  <c r="Y261" i="8" s="1"/>
  <c r="S261" i="8" s="1"/>
  <c r="V261" i="8"/>
  <c r="AL261" i="8"/>
  <c r="AU261" i="8"/>
  <c r="B199" i="8"/>
  <c r="K199" i="8"/>
  <c r="U199" i="8"/>
  <c r="AO199" i="8" s="1"/>
  <c r="AQ199" i="8" s="1"/>
  <c r="AR199" i="8" s="1"/>
  <c r="V199" i="8"/>
  <c r="AL199" i="8"/>
  <c r="AU199" i="8"/>
  <c r="B220" i="8"/>
  <c r="K220" i="8"/>
  <c r="U220" i="8"/>
  <c r="AO220" i="8" s="1"/>
  <c r="AQ220" i="8" s="1"/>
  <c r="AR220" i="8" s="1"/>
  <c r="V220" i="8"/>
  <c r="AU220" i="8"/>
  <c r="B210" i="8"/>
  <c r="K210" i="8"/>
  <c r="U210" i="8"/>
  <c r="Y210" i="8" s="1"/>
  <c r="V210" i="8"/>
  <c r="AL210" i="8"/>
  <c r="AU210" i="8"/>
  <c r="B222" i="8"/>
  <c r="K222" i="8"/>
  <c r="U222" i="8"/>
  <c r="AO222" i="8" s="1"/>
  <c r="AQ222" i="8" s="1"/>
  <c r="AR222" i="8" s="1"/>
  <c r="V222" i="8"/>
  <c r="AL222" i="8"/>
  <c r="AU222" i="8"/>
  <c r="B264" i="8"/>
  <c r="K264" i="8"/>
  <c r="U264" i="8"/>
  <c r="V264" i="8"/>
  <c r="AL264" i="8"/>
  <c r="AU264" i="8"/>
  <c r="B212" i="8"/>
  <c r="K212" i="8"/>
  <c r="U212" i="8"/>
  <c r="AO212" i="8" s="1"/>
  <c r="AQ212" i="8" s="1"/>
  <c r="AR212" i="8" s="1"/>
  <c r="V212" i="8"/>
  <c r="AL212" i="8"/>
  <c r="AU212" i="8"/>
  <c r="B178" i="8"/>
  <c r="K178" i="8"/>
  <c r="U178" i="8"/>
  <c r="V178" i="8"/>
  <c r="AL178" i="8"/>
  <c r="AU178" i="8"/>
  <c r="B223" i="8"/>
  <c r="K223" i="8"/>
  <c r="U223" i="8"/>
  <c r="AO223" i="8" s="1"/>
  <c r="AQ223" i="8" s="1"/>
  <c r="AR223" i="8" s="1"/>
  <c r="V223" i="8"/>
  <c r="AL223" i="8"/>
  <c r="AU223" i="8"/>
  <c r="B153" i="8"/>
  <c r="K153" i="8"/>
  <c r="U153" i="8"/>
  <c r="V153" i="8"/>
  <c r="AL153" i="8"/>
  <c r="AU153" i="8"/>
  <c r="B179" i="8"/>
  <c r="U179" i="8"/>
  <c r="V179" i="8"/>
  <c r="AL179" i="8"/>
  <c r="AU179" i="8"/>
  <c r="B231" i="8"/>
  <c r="U231" i="8"/>
  <c r="Y231" i="8" s="1"/>
  <c r="V231" i="8"/>
  <c r="AL231" i="8"/>
  <c r="AU231" i="8"/>
  <c r="B209" i="8"/>
  <c r="K209" i="8"/>
  <c r="U209" i="8"/>
  <c r="V209" i="8"/>
  <c r="AL209" i="8"/>
  <c r="AU209" i="8"/>
  <c r="B180" i="8"/>
  <c r="K180" i="8"/>
  <c r="U180" i="8"/>
  <c r="V180" i="8"/>
  <c r="AL180" i="8"/>
  <c r="AU180" i="8"/>
  <c r="B181" i="8"/>
  <c r="U181" i="8"/>
  <c r="V181" i="8"/>
  <c r="AL181" i="8"/>
  <c r="AU181" i="8"/>
  <c r="B213" i="8"/>
  <c r="K213" i="8"/>
  <c r="U213" i="8"/>
  <c r="V213" i="8"/>
  <c r="AL213" i="8"/>
  <c r="AU213" i="8"/>
  <c r="B262" i="8"/>
  <c r="K262" i="8"/>
  <c r="U262" i="8"/>
  <c r="V262" i="8"/>
  <c r="AL262" i="8"/>
  <c r="AU262" i="8"/>
  <c r="B232" i="8"/>
  <c r="K232" i="8"/>
  <c r="U232" i="8"/>
  <c r="V232" i="8"/>
  <c r="AL232" i="8"/>
  <c r="AU232" i="8"/>
  <c r="B211" i="8"/>
  <c r="K211" i="8"/>
  <c r="U211" i="8"/>
  <c r="V211" i="8"/>
  <c r="AL211" i="8"/>
  <c r="AU211" i="8"/>
  <c r="B216" i="8"/>
  <c r="K216" i="8"/>
  <c r="U216" i="8"/>
  <c r="Y216" i="8" s="1"/>
  <c r="V216" i="8"/>
  <c r="AL216" i="8"/>
  <c r="AU216" i="8"/>
  <c r="B215" i="8"/>
  <c r="K215" i="8"/>
  <c r="U215" i="8"/>
  <c r="V215" i="8"/>
  <c r="AL215" i="8"/>
  <c r="AU215" i="8"/>
  <c r="B182" i="8"/>
  <c r="K182" i="8"/>
  <c r="U182" i="8"/>
  <c r="Y182" i="8" s="1"/>
  <c r="V182" i="8"/>
  <c r="AL182" i="8"/>
  <c r="AU182" i="8"/>
  <c r="B183" i="8"/>
  <c r="K183" i="8"/>
  <c r="U183" i="8"/>
  <c r="V183" i="8"/>
  <c r="AL183" i="8"/>
  <c r="AU183" i="8"/>
  <c r="B217" i="8"/>
  <c r="K217" i="8"/>
  <c r="U217" i="8"/>
  <c r="V217" i="8"/>
  <c r="AL217" i="8"/>
  <c r="AU217" i="8"/>
  <c r="B184" i="8"/>
  <c r="K184" i="8"/>
  <c r="U184" i="8"/>
  <c r="Y184" i="8" s="1"/>
  <c r="Z184" i="8" s="1"/>
  <c r="AA184" i="8" s="1"/>
  <c r="V184" i="8"/>
  <c r="AL184" i="8"/>
  <c r="AU184" i="8"/>
  <c r="B200" i="8"/>
  <c r="U200" i="8"/>
  <c r="AO200" i="8" s="1"/>
  <c r="AQ200" i="8" s="1"/>
  <c r="AR200" i="8" s="1"/>
  <c r="V200" i="8"/>
  <c r="AL200" i="8"/>
  <c r="AU200" i="8"/>
  <c r="B196" i="8"/>
  <c r="K196" i="8"/>
  <c r="U196" i="8"/>
  <c r="Y196" i="8" s="1"/>
  <c r="Z196" i="8" s="1"/>
  <c r="AA196" i="8" s="1"/>
  <c r="V196" i="8"/>
  <c r="AL196" i="8"/>
  <c r="AU196" i="8"/>
  <c r="B225" i="8"/>
  <c r="K225" i="8"/>
  <c r="U225" i="8"/>
  <c r="AO225" i="8" s="1"/>
  <c r="AQ225" i="8" s="1"/>
  <c r="AR225" i="8" s="1"/>
  <c r="V225" i="8"/>
  <c r="AL225" i="8"/>
  <c r="AU225" i="8"/>
  <c r="B164" i="8"/>
  <c r="K164" i="8"/>
  <c r="U164" i="8"/>
  <c r="AO164" i="8" s="1"/>
  <c r="AQ164" i="8" s="1"/>
  <c r="AR164" i="8" s="1"/>
  <c r="V164" i="8"/>
  <c r="AL164" i="8"/>
  <c r="AU164" i="8"/>
  <c r="B201" i="8"/>
  <c r="K201" i="8"/>
  <c r="U201" i="8"/>
  <c r="AO201" i="8" s="1"/>
  <c r="AQ201" i="8" s="1"/>
  <c r="AR201" i="8" s="1"/>
  <c r="V201" i="8"/>
  <c r="AL201" i="8"/>
  <c r="AU201" i="8"/>
  <c r="U235" i="8"/>
  <c r="Y235" i="8" s="1"/>
  <c r="Z235" i="8" s="1"/>
  <c r="AA235" i="8" s="1"/>
  <c r="AC235" i="8" s="1"/>
  <c r="V235" i="8"/>
  <c r="AL235" i="8"/>
  <c r="AU235" i="8"/>
  <c r="B233" i="8"/>
  <c r="K233" i="8"/>
  <c r="U233" i="8"/>
  <c r="AO233" i="8" s="1"/>
  <c r="AQ233" i="8" s="1"/>
  <c r="AR233" i="8" s="1"/>
  <c r="V233" i="8"/>
  <c r="AL233" i="8"/>
  <c r="AU233" i="8"/>
  <c r="B263" i="8"/>
  <c r="K263" i="8"/>
  <c r="U263" i="8"/>
  <c r="Y263" i="8" s="1"/>
  <c r="V263" i="8"/>
  <c r="AL263" i="8"/>
  <c r="AU263" i="8"/>
  <c r="B282" i="8"/>
  <c r="K282" i="8"/>
  <c r="U282" i="8"/>
  <c r="V282" i="8"/>
  <c r="AL282" i="8"/>
  <c r="AU282" i="8"/>
  <c r="B247" i="8"/>
  <c r="U247" i="8"/>
  <c r="AO247" i="8" s="1"/>
  <c r="AQ247" i="8" s="1"/>
  <c r="AR247" i="8" s="1"/>
  <c r="V247" i="8"/>
  <c r="AL247" i="8"/>
  <c r="AU247" i="8"/>
  <c r="B266" i="8"/>
  <c r="K266" i="8"/>
  <c r="U266" i="8"/>
  <c r="V266" i="8"/>
  <c r="AU266" i="8"/>
  <c r="B234" i="8"/>
  <c r="K234" i="8"/>
  <c r="U234" i="8"/>
  <c r="V234" i="8"/>
  <c r="AL234" i="8"/>
  <c r="AU234" i="8"/>
  <c r="B165" i="8"/>
  <c r="K165" i="8"/>
  <c r="U165" i="8"/>
  <c r="Y165" i="8" s="1"/>
  <c r="Z165" i="8" s="1"/>
  <c r="AA165" i="8" s="1"/>
  <c r="V165" i="8"/>
  <c r="AL165" i="8"/>
  <c r="AU165" i="8"/>
  <c r="B237" i="8"/>
  <c r="U237" i="8"/>
  <c r="V237" i="8"/>
  <c r="AL237" i="8"/>
  <c r="AU237" i="8"/>
  <c r="B125" i="8"/>
  <c r="K125" i="8"/>
  <c r="U125" i="8"/>
  <c r="AO125" i="8" s="1"/>
  <c r="AQ125" i="8" s="1"/>
  <c r="AR125" i="8" s="1"/>
  <c r="V125" i="8"/>
  <c r="AL125" i="8"/>
  <c r="AU125" i="8"/>
  <c r="B121" i="8"/>
  <c r="K121" i="8"/>
  <c r="U121" i="8"/>
  <c r="AO121" i="8" s="1"/>
  <c r="AQ121" i="8" s="1"/>
  <c r="AR121" i="8" s="1"/>
  <c r="V121" i="8"/>
  <c r="AL121" i="8"/>
  <c r="B197" i="8"/>
  <c r="K197" i="8"/>
  <c r="U197" i="8"/>
  <c r="V197" i="8"/>
  <c r="AL197" i="8"/>
  <c r="AU197" i="8"/>
  <c r="B271" i="8"/>
  <c r="U271" i="8"/>
  <c r="Y271" i="8" s="1"/>
  <c r="Z271" i="8" s="1"/>
  <c r="AA271" i="8" s="1"/>
  <c r="B250" i="8"/>
  <c r="K250" i="8"/>
  <c r="U250" i="8"/>
  <c r="V250" i="8"/>
  <c r="AL250" i="8"/>
  <c r="AU250" i="8"/>
  <c r="B249" i="8"/>
  <c r="K249" i="8"/>
  <c r="U249" i="8"/>
  <c r="AO249" i="8" s="1"/>
  <c r="AQ249" i="8" s="1"/>
  <c r="AR249" i="8" s="1"/>
  <c r="V249" i="8"/>
  <c r="AL249" i="8"/>
  <c r="AU249" i="8"/>
  <c r="B267" i="8"/>
  <c r="K267" i="8"/>
  <c r="U267" i="8"/>
  <c r="V267" i="8"/>
  <c r="AU267" i="8"/>
  <c r="B236" i="8"/>
  <c r="U236" i="8"/>
  <c r="Y236" i="8" s="1"/>
  <c r="V236" i="8"/>
  <c r="AL236" i="8"/>
  <c r="AU236" i="8"/>
  <c r="B285" i="8"/>
  <c r="K285" i="8"/>
  <c r="U285" i="8"/>
  <c r="AO285" i="8" s="1"/>
  <c r="AQ285" i="8" s="1"/>
  <c r="AR285" i="8" s="1"/>
  <c r="V285" i="8"/>
  <c r="AL285" i="8"/>
  <c r="AU285" i="8"/>
  <c r="B268" i="8"/>
  <c r="K268" i="8"/>
  <c r="U268" i="8"/>
  <c r="V268" i="8"/>
  <c r="AU268" i="8"/>
  <c r="B219" i="8"/>
  <c r="U219" i="8"/>
  <c r="Y219" i="8" s="1"/>
  <c r="Z219" i="8" s="1"/>
  <c r="AA219" i="8" s="1"/>
  <c r="AF219" i="8" s="1"/>
  <c r="AU219" i="8"/>
  <c r="K176" i="8"/>
  <c r="U176" i="8"/>
  <c r="V176" i="8"/>
  <c r="AL176" i="8"/>
  <c r="AU176" i="8"/>
  <c r="B166" i="8"/>
  <c r="K166" i="8"/>
  <c r="U166" i="8"/>
  <c r="V166" i="8"/>
  <c r="AL166" i="8"/>
  <c r="AU166" i="8"/>
  <c r="B269" i="8"/>
  <c r="K269" i="8"/>
  <c r="U269" i="8"/>
  <c r="Y269" i="8" s="1"/>
  <c r="Z269" i="8" s="1"/>
  <c r="AA269" i="8" s="1"/>
  <c r="V269" i="8"/>
  <c r="AU269" i="8"/>
  <c r="B221" i="8"/>
  <c r="K221" i="8"/>
  <c r="U221" i="8"/>
  <c r="V221" i="8"/>
  <c r="AL221" i="8"/>
  <c r="AU221" i="8"/>
  <c r="B238" i="8"/>
  <c r="K238" i="8"/>
  <c r="U238" i="8"/>
  <c r="Y238" i="8" s="1"/>
  <c r="S238" i="8" s="1"/>
  <c r="V238" i="8"/>
  <c r="AL238" i="8"/>
  <c r="AU238" i="8"/>
  <c r="B270" i="8"/>
  <c r="K270" i="8"/>
  <c r="U270" i="8"/>
  <c r="V270" i="8"/>
  <c r="AU270" i="8"/>
  <c r="B170" i="8"/>
  <c r="K170" i="8"/>
  <c r="U170" i="8"/>
  <c r="Y170" i="8" s="1"/>
  <c r="V170" i="8"/>
  <c r="AL170" i="8"/>
  <c r="AU170" i="8"/>
  <c r="B151" i="8"/>
  <c r="K151" i="8"/>
  <c r="U151" i="8"/>
  <c r="V151" i="8"/>
  <c r="AL151" i="8"/>
  <c r="B203" i="8"/>
  <c r="U203" i="8"/>
  <c r="AO203" i="8" s="1"/>
  <c r="AQ203" i="8" s="1"/>
  <c r="AR203" i="8" s="1"/>
  <c r="V203" i="8"/>
  <c r="AL203" i="8"/>
  <c r="AU203" i="8"/>
  <c r="B239" i="8"/>
  <c r="U239" i="8"/>
  <c r="AO239" i="8" s="1"/>
  <c r="AQ239" i="8" s="1"/>
  <c r="AR239" i="8" s="1"/>
  <c r="V239" i="8"/>
  <c r="AL239" i="8"/>
  <c r="AU239" i="8"/>
  <c r="B204" i="8"/>
  <c r="K204" i="8"/>
  <c r="U204" i="8"/>
  <c r="Y204" i="8" s="1"/>
  <c r="V204" i="8"/>
  <c r="AL204" i="8"/>
  <c r="AU204" i="8"/>
  <c r="B260" i="8"/>
  <c r="K260" i="8"/>
  <c r="U260" i="8"/>
  <c r="AO260" i="8" s="1"/>
  <c r="AQ260" i="8" s="1"/>
  <c r="AR260" i="8" s="1"/>
  <c r="AL260" i="8"/>
  <c r="AU260" i="8"/>
  <c r="AW260" i="8"/>
  <c r="B177" i="8"/>
  <c r="U177" i="8"/>
  <c r="V177" i="8"/>
  <c r="AL177" i="8"/>
  <c r="AU177" i="8"/>
  <c r="B185" i="8"/>
  <c r="K185" i="8"/>
  <c r="U185" i="8"/>
  <c r="V185" i="8"/>
  <c r="AL185" i="8"/>
  <c r="AU185" i="8"/>
  <c r="B186" i="8"/>
  <c r="K186" i="8"/>
  <c r="U186" i="8"/>
  <c r="AO186" i="8" s="1"/>
  <c r="AQ186" i="8" s="1"/>
  <c r="AR186" i="8" s="1"/>
  <c r="AL186" i="8"/>
  <c r="AU186" i="8"/>
  <c r="AW186" i="8"/>
  <c r="B187" i="8"/>
  <c r="K187" i="8"/>
  <c r="U187" i="8"/>
  <c r="Y187" i="8" s="1"/>
  <c r="AL187" i="8"/>
  <c r="AU187" i="8"/>
  <c r="AW187" i="8"/>
  <c r="AW205" i="8" s="1"/>
  <c r="B205" i="8"/>
  <c r="K205" i="8"/>
  <c r="U205" i="8"/>
  <c r="AO205" i="8" s="1"/>
  <c r="AQ205" i="8" s="1"/>
  <c r="AR205" i="8" s="1"/>
  <c r="AL205" i="8"/>
  <c r="AU205" i="8"/>
  <c r="B168" i="8"/>
  <c r="K168" i="8"/>
  <c r="U168" i="8"/>
  <c r="AO168" i="8" s="1"/>
  <c r="AQ168" i="8" s="1"/>
  <c r="AR168" i="8" s="1"/>
  <c r="AL168" i="8"/>
  <c r="AU168" i="8"/>
  <c r="B155" i="8"/>
  <c r="K155" i="8"/>
  <c r="U155" i="8"/>
  <c r="AO155" i="8" s="1"/>
  <c r="AQ155" i="8" s="1"/>
  <c r="AR155" i="8" s="1"/>
  <c r="AU155" i="8"/>
  <c r="B156" i="8"/>
  <c r="K156" i="8"/>
  <c r="U156" i="8"/>
  <c r="AO156" i="8" s="1"/>
  <c r="AQ156" i="8" s="1"/>
  <c r="AR156" i="8" s="1"/>
  <c r="AU156" i="8"/>
  <c r="B253" i="8"/>
  <c r="K253" i="8"/>
  <c r="U253" i="8"/>
  <c r="AO253" i="8" s="1"/>
  <c r="AQ253" i="8" s="1"/>
  <c r="AR253" i="8" s="1"/>
  <c r="AU253" i="8"/>
  <c r="B240" i="8"/>
  <c r="K240" i="8"/>
  <c r="U240" i="8"/>
  <c r="AL240" i="8"/>
  <c r="AU240" i="8"/>
  <c r="B152" i="8"/>
  <c r="K152" i="8"/>
  <c r="U152" i="8"/>
  <c r="Y152" i="8" s="1"/>
  <c r="V152" i="8"/>
  <c r="AL152" i="8"/>
  <c r="AU152" i="8"/>
  <c r="B188" i="8"/>
  <c r="K188" i="8"/>
  <c r="U188" i="8"/>
  <c r="V188" i="8"/>
  <c r="AL188" i="8"/>
  <c r="AU188" i="8"/>
  <c r="B189" i="8"/>
  <c r="K189" i="8"/>
  <c r="U189" i="8"/>
  <c r="AO189" i="8" s="1"/>
  <c r="AQ189" i="8" s="1"/>
  <c r="AR189" i="8" s="1"/>
  <c r="V189" i="8"/>
  <c r="AL189" i="8"/>
  <c r="AU189" i="8"/>
  <c r="B241" i="8"/>
  <c r="K241" i="8"/>
  <c r="U241" i="8"/>
  <c r="AO241" i="8" s="1"/>
  <c r="AQ241" i="8" s="1"/>
  <c r="AR241" i="8" s="1"/>
  <c r="AU241" i="8"/>
  <c r="B157" i="8"/>
  <c r="K157" i="8"/>
  <c r="U157" i="8"/>
  <c r="AO157" i="8" s="1"/>
  <c r="AQ157" i="8" s="1"/>
  <c r="AR157" i="8" s="1"/>
  <c r="AU157" i="8"/>
  <c r="B169" i="8"/>
  <c r="K169" i="8"/>
  <c r="U169" i="8"/>
  <c r="AU169" i="8"/>
  <c r="B274" i="8"/>
  <c r="K274" i="8"/>
  <c r="U274" i="8"/>
  <c r="AU274" i="8"/>
  <c r="U130" i="8"/>
  <c r="AO130" i="8" s="1"/>
  <c r="AQ130" i="8" s="1"/>
  <c r="AR130" i="8" s="1"/>
  <c r="AU130" i="8"/>
  <c r="B154" i="8"/>
  <c r="U154" i="8"/>
  <c r="AU154" i="8"/>
  <c r="B255" i="8"/>
  <c r="K255" i="8"/>
  <c r="U255" i="8"/>
  <c r="AO255" i="8" s="1"/>
  <c r="AQ255" i="8" s="1"/>
  <c r="AR255" i="8" s="1"/>
  <c r="AU255" i="8"/>
  <c r="B273" i="8"/>
  <c r="K273" i="8"/>
  <c r="U273" i="8"/>
  <c r="AO273" i="8" s="1"/>
  <c r="AQ273" i="8" s="1"/>
  <c r="AR273" i="8" s="1"/>
  <c r="AU273" i="8"/>
  <c r="B265" i="8"/>
  <c r="K265" i="8"/>
  <c r="U265" i="8"/>
  <c r="AO265" i="8" s="1"/>
  <c r="AQ265" i="8" s="1"/>
  <c r="AR265" i="8" s="1"/>
  <c r="AU265" i="8"/>
  <c r="B254" i="8"/>
  <c r="U254" i="8"/>
  <c r="AO254" i="8" s="1"/>
  <c r="AQ254" i="8" s="1"/>
  <c r="AR254" i="8" s="1"/>
  <c r="AU254" i="8"/>
  <c r="B242" i="8"/>
  <c r="U242" i="8"/>
  <c r="AO242" i="8" s="1"/>
  <c r="AQ242" i="8" s="1"/>
  <c r="AR242" i="8" s="1"/>
  <c r="AU242" i="8"/>
  <c r="U243" i="8"/>
  <c r="AO243" i="8" s="1"/>
  <c r="AQ243" i="8" s="1"/>
  <c r="AR243" i="8" s="1"/>
  <c r="AU243" i="8"/>
  <c r="U252" i="8"/>
  <c r="AU252" i="8"/>
  <c r="B135" i="8"/>
  <c r="K135" i="8"/>
  <c r="U135" i="8"/>
  <c r="V135" i="8"/>
  <c r="AL135" i="8"/>
  <c r="AU135" i="8"/>
  <c r="B109" i="8"/>
  <c r="K109" i="8"/>
  <c r="U109" i="8"/>
  <c r="V109" i="8"/>
  <c r="AL109" i="8"/>
  <c r="AU109" i="8"/>
  <c r="B140" i="8"/>
  <c r="K140" i="8"/>
  <c r="U140" i="8"/>
  <c r="AL140" i="8"/>
  <c r="AU140" i="8"/>
  <c r="T286" i="8"/>
  <c r="G287" i="8"/>
  <c r="I289" i="8"/>
  <c r="I290" i="8"/>
  <c r="X290" i="8"/>
  <c r="AM290" i="8"/>
  <c r="AN290" i="8"/>
  <c r="I291" i="8"/>
  <c r="S291" i="8"/>
  <c r="V291" i="8"/>
  <c r="AI291" i="8"/>
  <c r="E293"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R254" i="11"/>
  <c r="X24" i="11"/>
  <c r="R24" i="11" s="1"/>
  <c r="X110" i="11"/>
  <c r="R110" i="11" s="1"/>
  <c r="X147" i="11"/>
  <c r="R147" i="11" s="1"/>
  <c r="X117" i="8"/>
  <c r="X120" i="11"/>
  <c r="R120" i="11" s="1"/>
  <c r="Y249" i="11"/>
  <c r="Z249" i="11" s="1"/>
  <c r="X93" i="11"/>
  <c r="Y93" i="11" s="1"/>
  <c r="Z93" i="11" s="1"/>
  <c r="X191" i="8"/>
  <c r="Y191" i="8" s="1"/>
  <c r="Z191" i="8" s="1"/>
  <c r="AA191" i="8" s="1"/>
  <c r="AC191" i="8" s="1"/>
  <c r="X108" i="8"/>
  <c r="X271" i="11"/>
  <c r="Y271" i="11" s="1"/>
  <c r="Z271" i="11" s="1"/>
  <c r="AE271" i="11" s="1"/>
  <c r="X137" i="11"/>
  <c r="X124" i="8"/>
  <c r="X160" i="11"/>
  <c r="Y160" i="11" s="1"/>
  <c r="Z160" i="11" s="1"/>
  <c r="X120" i="8"/>
  <c r="X270" i="11"/>
  <c r="Y270" i="11" s="1"/>
  <c r="Z270" i="11" s="1"/>
  <c r="AF270" i="11" s="1"/>
  <c r="X108" i="11"/>
  <c r="X114" i="8"/>
  <c r="X144" i="11"/>
  <c r="Y144" i="11" s="1"/>
  <c r="Z144" i="11" s="1"/>
  <c r="AB144" i="11" s="1"/>
  <c r="AD144" i="11" s="1"/>
  <c r="X91" i="8"/>
  <c r="R28" i="11"/>
  <c r="R186" i="11"/>
  <c r="Z186" i="11"/>
  <c r="AG186" i="11" s="1"/>
  <c r="X168" i="11"/>
  <c r="Y168" i="11" s="1"/>
  <c r="Z168" i="11" s="1"/>
  <c r="AC168" i="11" s="1"/>
  <c r="X107" i="8"/>
  <c r="X97" i="8"/>
  <c r="X92" i="8"/>
  <c r="X157" i="11"/>
  <c r="X99" i="11"/>
  <c r="Y99" i="11" s="1"/>
  <c r="Z99" i="11" s="1"/>
  <c r="AB99" i="11" s="1"/>
  <c r="X278" i="8"/>
  <c r="AF239" i="11"/>
  <c r="X141" i="8"/>
  <c r="X136" i="11"/>
  <c r="R136" i="11" s="1"/>
  <c r="X158" i="11"/>
  <c r="Y158" i="11" s="1"/>
  <c r="Z158" i="11" s="1"/>
  <c r="X132" i="8"/>
  <c r="X148" i="11"/>
  <c r="Y148" i="11" s="1"/>
  <c r="Z148" i="11" s="1"/>
  <c r="AF148" i="11" s="1"/>
  <c r="AY47" i="8"/>
  <c r="AO70" i="8"/>
  <c r="AQ70" i="8" s="1"/>
  <c r="AR70" i="8" s="1"/>
  <c r="Y148" i="8"/>
  <c r="Z148" i="8" s="1"/>
  <c r="AA148" i="8" s="1"/>
  <c r="AH148" i="8" s="1"/>
  <c r="Y167" i="8"/>
  <c r="Z149" i="8"/>
  <c r="AA149" i="8" s="1"/>
  <c r="AD149" i="8" s="1"/>
  <c r="AO149" i="8"/>
  <c r="AQ149" i="8" s="1"/>
  <c r="AR149" i="8" s="1"/>
  <c r="Z62" i="11"/>
  <c r="R62" i="11"/>
  <c r="X273" i="8"/>
  <c r="X104" i="8"/>
  <c r="X53" i="11"/>
  <c r="R53" i="11" s="1"/>
  <c r="X171" i="11"/>
  <c r="X126" i="8"/>
  <c r="X187" i="11"/>
  <c r="Y187" i="11" s="1"/>
  <c r="Z187" i="11" s="1"/>
  <c r="AG187" i="11" s="1"/>
  <c r="X23" i="8"/>
  <c r="X134" i="8"/>
  <c r="X280" i="11"/>
  <c r="Y280" i="11" s="1"/>
  <c r="Z280" i="11" s="1"/>
  <c r="AB280" i="11" s="1"/>
  <c r="X262" i="11"/>
  <c r="Y262" i="11" s="1"/>
  <c r="Z262" i="11" s="1"/>
  <c r="AC262" i="11" s="1"/>
  <c r="X101" i="8"/>
  <c r="X90" i="8"/>
  <c r="X279" i="11"/>
  <c r="R279" i="11" s="1"/>
  <c r="X157" i="8"/>
  <c r="Z264" i="11"/>
  <c r="AC264" i="11" s="1"/>
  <c r="X95" i="11"/>
  <c r="Y95" i="11" s="1"/>
  <c r="Z95" i="11" s="1"/>
  <c r="AC95" i="11" s="1"/>
  <c r="X277" i="8"/>
  <c r="X153" i="11"/>
  <c r="Y153" i="11" s="1"/>
  <c r="Z153" i="11" s="1"/>
  <c r="AE153" i="11" s="1"/>
  <c r="X129" i="8"/>
  <c r="X142" i="11"/>
  <c r="Y142" i="11" s="1"/>
  <c r="Z142" i="11" s="1"/>
  <c r="AG142" i="11" s="1"/>
  <c r="X30" i="8"/>
  <c r="X84" i="11"/>
  <c r="X94" i="8"/>
  <c r="X154" i="11"/>
  <c r="Y154" i="11" s="1"/>
  <c r="Z154" i="11" s="1"/>
  <c r="AB154" i="11" s="1"/>
  <c r="X122" i="8"/>
  <c r="X89" i="11"/>
  <c r="Y89" i="11" s="1"/>
  <c r="Z89" i="11" s="1"/>
  <c r="W100" i="11"/>
  <c r="W287" i="11" s="1"/>
  <c r="X255" i="8"/>
  <c r="X274" i="11"/>
  <c r="Y274" i="11" s="1"/>
  <c r="Z274" i="11" s="1"/>
  <c r="AB274" i="11" s="1"/>
  <c r="X268" i="11"/>
  <c r="Y268" i="11" s="1"/>
  <c r="Z268" i="11" s="1"/>
  <c r="AC268" i="11" s="1"/>
  <c r="X164" i="11"/>
  <c r="Y164" i="11" s="1"/>
  <c r="Z164" i="11" s="1"/>
  <c r="AB23" i="11"/>
  <c r="AF28" i="11"/>
  <c r="R266" i="11"/>
  <c r="X261" i="11"/>
  <c r="Y261" i="11" s="1"/>
  <c r="Z261" i="11" s="1"/>
  <c r="AG261" i="11" s="1"/>
  <c r="X156" i="8"/>
  <c r="Y247" i="11"/>
  <c r="Z247" i="11" s="1"/>
  <c r="AB247" i="11" s="1"/>
  <c r="X167" i="11"/>
  <c r="X106" i="8"/>
  <c r="X165" i="11"/>
  <c r="R165" i="11" s="1"/>
  <c r="X110" i="8"/>
  <c r="X159" i="11"/>
  <c r="X95" i="8"/>
  <c r="X145" i="11"/>
  <c r="X116" i="8"/>
  <c r="X141" i="11"/>
  <c r="X99" i="8"/>
  <c r="X93" i="8"/>
  <c r="X161" i="11"/>
  <c r="Z81" i="11"/>
  <c r="AC81" i="11" s="1"/>
  <c r="R81" i="11"/>
  <c r="R23" i="11"/>
  <c r="X162" i="11"/>
  <c r="Y162" i="11" s="1"/>
  <c r="Z162" i="11" s="1"/>
  <c r="AE239" i="11"/>
  <c r="AC239" i="11"/>
  <c r="X170" i="11"/>
  <c r="X98" i="8"/>
  <c r="X16" i="11"/>
  <c r="R16" i="11" s="1"/>
  <c r="X254"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Y59" i="8"/>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X237" i="11"/>
  <c r="R237" i="11" s="1"/>
  <c r="R231" i="11"/>
  <c r="Y231" i="11"/>
  <c r="Z231" i="11" s="1"/>
  <c r="AN188" i="11"/>
  <c r="AP188" i="11" s="1"/>
  <c r="AQ188" i="11" s="1"/>
  <c r="Y18" i="10"/>
  <c r="Z18" i="10" s="1"/>
  <c r="Y17" i="10"/>
  <c r="Z17" i="10" s="1"/>
  <c r="Y16" i="10"/>
  <c r="Z16" i="10" s="1"/>
  <c r="X272" i="11"/>
  <c r="Y272" i="11" s="1"/>
  <c r="Z272" i="11" s="1"/>
  <c r="AC272" i="11"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X232" i="11"/>
  <c r="Y232" i="11" s="1"/>
  <c r="Z232" i="11" s="1"/>
  <c r="AG23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Y143" i="11"/>
  <c r="Z143" i="11" s="1"/>
  <c r="AB143" i="11" s="1"/>
  <c r="R143" i="11"/>
  <c r="R250" i="11"/>
  <c r="R138" i="11"/>
  <c r="Y138" i="11"/>
  <c r="Z138" i="11" s="1"/>
  <c r="AG138" i="11" s="1"/>
  <c r="Y146" i="11"/>
  <c r="Z146" i="11" s="1"/>
  <c r="AC146" i="11" s="1"/>
  <c r="Y121" i="11"/>
  <c r="Z121" i="11" s="1"/>
  <c r="AF121" i="11" s="1"/>
  <c r="R265" i="11"/>
  <c r="AF250" i="11"/>
  <c r="AF79" i="8"/>
  <c r="AH79" i="8"/>
  <c r="AO67" i="8"/>
  <c r="AQ67" i="8" s="1"/>
  <c r="AR67" i="8" s="1"/>
  <c r="Y46" i="8"/>
  <c r="S46" i="8" s="1"/>
  <c r="Y37" i="8"/>
  <c r="S37" i="8" s="1"/>
  <c r="AO37" i="8"/>
  <c r="AQ37" i="8" s="1"/>
  <c r="AR37" i="8" s="1"/>
  <c r="AO46" i="8"/>
  <c r="AQ46" i="8" s="1"/>
  <c r="AR46" i="8" s="1"/>
  <c r="Y75" i="8"/>
  <c r="S75" i="8" s="1"/>
  <c r="AK291" i="8"/>
  <c r="AL291" i="8"/>
  <c r="AN291" i="8"/>
  <c r="AG250" i="11"/>
  <c r="AC250" i="11"/>
  <c r="AB250" i="11"/>
  <c r="X281" i="11"/>
  <c r="Y281" i="11" s="1"/>
  <c r="Z281" i="11" s="1"/>
  <c r="X265" i="8"/>
  <c r="X276" i="11"/>
  <c r="Y276" i="11" s="1"/>
  <c r="Z276" i="11" s="1"/>
  <c r="AC273" i="11"/>
  <c r="AF273" i="11"/>
  <c r="AE273" i="11"/>
  <c r="AE250" i="11"/>
  <c r="AG23" i="11"/>
  <c r="AC23" i="11"/>
  <c r="AE23" i="11"/>
  <c r="AE28" i="11"/>
  <c r="AG28" i="11"/>
  <c r="Y227" i="11"/>
  <c r="Z227" i="11" s="1"/>
  <c r="R227" i="11"/>
  <c r="X260" i="11"/>
  <c r="Y260" i="11" s="1"/>
  <c r="Z260" i="11" s="1"/>
  <c r="AC260" i="11" s="1"/>
  <c r="Y26" i="8"/>
  <c r="Z26" i="8" s="1"/>
  <c r="AA26" i="8" s="1"/>
  <c r="E23" i="10"/>
  <c r="AF245" i="8" l="1"/>
  <c r="Y277" i="8"/>
  <c r="Z277" i="8" s="1"/>
  <c r="AA277" i="8" s="1"/>
  <c r="AO48" i="8"/>
  <c r="AQ48" i="8" s="1"/>
  <c r="AR48" i="8" s="1"/>
  <c r="AO58" i="8"/>
  <c r="AQ58" i="8" s="1"/>
  <c r="AR58" i="8" s="1"/>
  <c r="Z58" i="8"/>
  <c r="AA58" i="8" s="1"/>
  <c r="AD58" i="8" s="1"/>
  <c r="Z167" i="8"/>
  <c r="AA167" i="8" s="1"/>
  <c r="AD167" i="8" s="1"/>
  <c r="AO15" i="8"/>
  <c r="AQ15" i="8" s="1"/>
  <c r="AR15" i="8" s="1"/>
  <c r="AO21" i="8"/>
  <c r="AQ21" i="8" s="1"/>
  <c r="AR21" i="8" s="1"/>
  <c r="AO54" i="8"/>
  <c r="AQ54" i="8" s="1"/>
  <c r="AR54" i="8" s="1"/>
  <c r="S48" i="8"/>
  <c r="Y49" i="8"/>
  <c r="R286" i="8"/>
  <c r="R292" i="8" s="1"/>
  <c r="Y19" i="8"/>
  <c r="Z19" i="8" s="1"/>
  <c r="AA19" i="8" s="1"/>
  <c r="AD19" i="8" s="1"/>
  <c r="Y17" i="8"/>
  <c r="S17" i="8" s="1"/>
  <c r="Y38" i="8"/>
  <c r="S38" i="8" s="1"/>
  <c r="Y18" i="8"/>
  <c r="Z18" i="8" s="1"/>
  <c r="AA18" i="8" s="1"/>
  <c r="AF18" i="8" s="1"/>
  <c r="Y62" i="8"/>
  <c r="Z62" i="8" s="1"/>
  <c r="AA62" i="8" s="1"/>
  <c r="AH62" i="8" s="1"/>
  <c r="AO147" i="8"/>
  <c r="AQ147" i="8" s="1"/>
  <c r="AR147" i="8" s="1"/>
  <c r="Y55" i="8"/>
  <c r="S55" i="8" s="1"/>
  <c r="Y284" i="8"/>
  <c r="Z284" i="8" s="1"/>
  <c r="AA284" i="8" s="1"/>
  <c r="AD284" i="8" s="1"/>
  <c r="Z48" i="8"/>
  <c r="AA48" i="8" s="1"/>
  <c r="AD48" i="8" s="1"/>
  <c r="Z15" i="8"/>
  <c r="AA15" i="8" s="1"/>
  <c r="AC15" i="8" s="1"/>
  <c r="Y57" i="8"/>
  <c r="S57" i="8" s="1"/>
  <c r="AO276" i="8"/>
  <c r="AQ276" i="8" s="1"/>
  <c r="AR276" i="8" s="1"/>
  <c r="Y171" i="8"/>
  <c r="S171" i="8" s="1"/>
  <c r="Y28" i="8"/>
  <c r="S28" i="8" s="1"/>
  <c r="Y30" i="8"/>
  <c r="S30" i="8" s="1"/>
  <c r="Y61" i="8"/>
  <c r="Z61" i="8" s="1"/>
  <c r="AA61" i="8" s="1"/>
  <c r="Y44" i="8"/>
  <c r="Z44" i="8" s="1"/>
  <c r="AA44" i="8" s="1"/>
  <c r="AH44" i="8" s="1"/>
  <c r="S70" i="8"/>
  <c r="AO71" i="8"/>
  <c r="AQ71" i="8" s="1"/>
  <c r="AR71" i="8" s="1"/>
  <c r="Z34" i="8"/>
  <c r="AA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3" i="8"/>
  <c r="S203" i="8" s="1"/>
  <c r="AM287" i="8"/>
  <c r="AM293" i="8" s="1"/>
  <c r="Y36" i="8"/>
  <c r="Z36" i="8" s="1"/>
  <c r="AA36" i="8" s="1"/>
  <c r="AG36" i="8" s="1"/>
  <c r="Y88" i="8"/>
  <c r="Z88" i="8" s="1"/>
  <c r="AA88" i="8" s="1"/>
  <c r="AC88" i="8" s="1"/>
  <c r="Y145" i="8"/>
  <c r="Z145" i="8" s="1"/>
  <c r="AA145" i="8" s="1"/>
  <c r="AD145" i="8" s="1"/>
  <c r="Y160" i="8"/>
  <c r="Z160" i="8" s="1"/>
  <c r="AA160" i="8" s="1"/>
  <c r="AC160" i="8" s="1"/>
  <c r="Z75" i="8"/>
  <c r="AA75" i="8" s="1"/>
  <c r="AH75" i="8" s="1"/>
  <c r="Y24" i="8"/>
  <c r="Z24" i="8" s="1"/>
  <c r="AA24" i="8" s="1"/>
  <c r="AG24" i="8" s="1"/>
  <c r="Y45" i="8"/>
  <c r="Z45" i="8" s="1"/>
  <c r="AA45" i="8" s="1"/>
  <c r="AO261" i="8"/>
  <c r="AQ261" i="8" s="1"/>
  <c r="AR261" i="8" s="1"/>
  <c r="Y156" i="8"/>
  <c r="Z156" i="8" s="1"/>
  <c r="AA156" i="8" s="1"/>
  <c r="AD156" i="8" s="1"/>
  <c r="Y260" i="8"/>
  <c r="S260" i="8" s="1"/>
  <c r="Y14" i="8"/>
  <c r="Z14" i="8" s="1"/>
  <c r="AA14" i="8" s="1"/>
  <c r="AH14" i="8" s="1"/>
  <c r="Y134" i="8"/>
  <c r="S134" i="8" s="1"/>
  <c r="Y51" i="8"/>
  <c r="S51" i="8" s="1"/>
  <c r="AO256" i="8"/>
  <c r="AQ256" i="8" s="1"/>
  <c r="AR256" i="8" s="1"/>
  <c r="Y91" i="8"/>
  <c r="Z91" i="8" s="1"/>
  <c r="AA91" i="8" s="1"/>
  <c r="AH91" i="8" s="1"/>
  <c r="Y129" i="8"/>
  <c r="Z129" i="8" s="1"/>
  <c r="AA129" i="8" s="1"/>
  <c r="AH129" i="8" s="1"/>
  <c r="Y133" i="8"/>
  <c r="S133" i="8" s="1"/>
  <c r="Y247" i="8"/>
  <c r="Z247" i="8" s="1"/>
  <c r="AA247" i="8" s="1"/>
  <c r="AG247" i="8" s="1"/>
  <c r="Y278" i="8"/>
  <c r="Z278" i="8" s="1"/>
  <c r="AA278" i="8" s="1"/>
  <c r="AH278" i="8" s="1"/>
  <c r="Y25" i="8"/>
  <c r="Z25" i="8" s="1"/>
  <c r="AA25" i="8" s="1"/>
  <c r="AD25" i="8" s="1"/>
  <c r="AO47" i="8"/>
  <c r="AQ47" i="8" s="1"/>
  <c r="AR47" i="8" s="1"/>
  <c r="Y163" i="8"/>
  <c r="S163" i="8" s="1"/>
  <c r="Z170" i="8"/>
  <c r="AA170" i="8" s="1"/>
  <c r="AF170" i="8" s="1"/>
  <c r="Y279" i="8"/>
  <c r="Z279" i="8" s="1"/>
  <c r="AA279" i="8" s="1"/>
  <c r="AG279" i="8" s="1"/>
  <c r="Y239" i="8"/>
  <c r="S239" i="8" s="1"/>
  <c r="Y100" i="8"/>
  <c r="S100" i="8" s="1"/>
  <c r="AO170" i="8"/>
  <c r="AQ170" i="8" s="1"/>
  <c r="AR170" i="8" s="1"/>
  <c r="AO195" i="8"/>
  <c r="AQ195" i="8" s="1"/>
  <c r="AR195" i="8" s="1"/>
  <c r="AI287" i="8"/>
  <c r="AI293" i="8" s="1"/>
  <c r="S170" i="8"/>
  <c r="Y92" i="8"/>
  <c r="S92" i="8" s="1"/>
  <c r="Z67" i="8"/>
  <c r="AA67" i="8" s="1"/>
  <c r="AD67" i="8" s="1"/>
  <c r="Y279" i="11"/>
  <c r="Z279" i="11" s="1"/>
  <c r="AF279" i="11" s="1"/>
  <c r="AB186" i="11"/>
  <c r="R153" i="11"/>
  <c r="AH245" i="8"/>
  <c r="AJ245" i="8" s="1"/>
  <c r="AC78" i="8"/>
  <c r="AE78" i="8" s="1"/>
  <c r="AC245" i="8"/>
  <c r="AE245" i="8" s="1"/>
  <c r="AG78" i="8"/>
  <c r="AJ84" i="8"/>
  <c r="AT84" i="8" s="1"/>
  <c r="AH78" i="8"/>
  <c r="AG70" i="8"/>
  <c r="Y155" i="8"/>
  <c r="Z155" i="8" s="1"/>
  <c r="AA155" i="8" s="1"/>
  <c r="AG155" i="8" s="1"/>
  <c r="AD190" i="8"/>
  <c r="AE190" i="8" s="1"/>
  <c r="AO235" i="8"/>
  <c r="AQ235" i="8" s="1"/>
  <c r="AR235" i="8" s="1"/>
  <c r="AO259" i="8"/>
  <c r="AQ259" i="8" s="1"/>
  <c r="AR259" i="8" s="1"/>
  <c r="Y161" i="8"/>
  <c r="Z161" i="8" s="1"/>
  <c r="AA161" i="8" s="1"/>
  <c r="AF161" i="8" s="1"/>
  <c r="S182" i="8"/>
  <c r="AO263" i="8"/>
  <c r="AQ263" i="8" s="1"/>
  <c r="AR263" i="8" s="1"/>
  <c r="AO182" i="8"/>
  <c r="AQ182" i="8" s="1"/>
  <c r="AR182" i="8" s="1"/>
  <c r="Y162" i="8"/>
  <c r="Z162" i="8" s="1"/>
  <c r="AC70" i="8"/>
  <c r="AH147" i="8"/>
  <c r="AD70" i="8"/>
  <c r="AC196" i="8"/>
  <c r="AE196" i="8" s="1"/>
  <c r="AH196" i="8"/>
  <c r="AG196" i="8"/>
  <c r="AF196" i="8"/>
  <c r="AH145" i="8"/>
  <c r="AG147" i="8"/>
  <c r="AF70" i="8"/>
  <c r="AF81" i="11"/>
  <c r="AE232" i="11"/>
  <c r="AG81" i="11"/>
  <c r="R162" i="11"/>
  <c r="AB261" i="11"/>
  <c r="Y135" i="11"/>
  <c r="Z135" i="11" s="1"/>
  <c r="AF135" i="11" s="1"/>
  <c r="R163" i="11"/>
  <c r="Y163" i="11"/>
  <c r="Z163" i="11" s="1"/>
  <c r="AB163" i="11" s="1"/>
  <c r="W282" i="11"/>
  <c r="W288" i="11" s="1"/>
  <c r="X121" i="8"/>
  <c r="Y121" i="8" s="1"/>
  <c r="Z121" i="8" s="1"/>
  <c r="AA121" i="8" s="1"/>
  <c r="AC121" i="8" s="1"/>
  <c r="AE121" i="8" s="1"/>
  <c r="AB121" i="11"/>
  <c r="X125" i="8"/>
  <c r="Y125" i="8" s="1"/>
  <c r="Z125" i="8" s="1"/>
  <c r="AA125" i="8" s="1"/>
  <c r="AF125" i="8" s="1"/>
  <c r="X166" i="11"/>
  <c r="R166" i="11" s="1"/>
  <c r="X144" i="8"/>
  <c r="Y144" i="8" s="1"/>
  <c r="Z144" i="8" s="1"/>
  <c r="AA144" i="8" s="1"/>
  <c r="AH144" i="8" s="1"/>
  <c r="Y147" i="11"/>
  <c r="Z147" i="11" s="1"/>
  <c r="AF147" i="11" s="1"/>
  <c r="AF40" i="8"/>
  <c r="AG40" i="8"/>
  <c r="AG79" i="8"/>
  <c r="AJ79" i="8" s="1"/>
  <c r="AT79" i="8" s="1"/>
  <c r="AC158" i="8"/>
  <c r="AE158" i="8" s="1"/>
  <c r="Y149" i="11"/>
  <c r="Z149" i="11" s="1"/>
  <c r="AE149" i="11" s="1"/>
  <c r="Y16" i="11"/>
  <c r="Z16" i="11" s="1"/>
  <c r="AF16" i="11" s="1"/>
  <c r="X116" i="11"/>
  <c r="Y116" i="11" s="1"/>
  <c r="Z116" i="11" s="1"/>
  <c r="AE116" i="11" s="1"/>
  <c r="Y135" i="8"/>
  <c r="Z135" i="8" s="1"/>
  <c r="AA135" i="8" s="1"/>
  <c r="AH135" i="8" s="1"/>
  <c r="S143" i="8"/>
  <c r="AO53" i="8"/>
  <c r="AQ53" i="8" s="1"/>
  <c r="AR53" i="8" s="1"/>
  <c r="Y31" i="11"/>
  <c r="Z31" i="11" s="1"/>
  <c r="AF31" i="11" s="1"/>
  <c r="AB264" i="11"/>
  <c r="AD264" i="11" s="1"/>
  <c r="AI250" i="11"/>
  <c r="AC269" i="11"/>
  <c r="Y253" i="11"/>
  <c r="Z253" i="11" s="1"/>
  <c r="AB253" i="11" s="1"/>
  <c r="AD253" i="11" s="1"/>
  <c r="AD219" i="8"/>
  <c r="AC272" i="8"/>
  <c r="AE272" i="8" s="1"/>
  <c r="AH272" i="8"/>
  <c r="Y23" i="8"/>
  <c r="Z23" i="8" s="1"/>
  <c r="AA23" i="8" s="1"/>
  <c r="AC23" i="8" s="1"/>
  <c r="S65" i="8"/>
  <c r="AO29" i="8"/>
  <c r="AQ29" i="8" s="1"/>
  <c r="AR29" i="8" s="1"/>
  <c r="AO65" i="8"/>
  <c r="AQ65" i="8" s="1"/>
  <c r="AR65" i="8" s="1"/>
  <c r="S56" i="8"/>
  <c r="Y72" i="8"/>
  <c r="S72" i="8" s="1"/>
  <c r="AO63" i="8"/>
  <c r="AQ63" i="8" s="1"/>
  <c r="AR63" i="8" s="1"/>
  <c r="AF24" i="8"/>
  <c r="Y43" i="8"/>
  <c r="S43" i="8" s="1"/>
  <c r="AG29" i="8"/>
  <c r="AH29" i="8"/>
  <c r="AF58" i="8"/>
  <c r="S21" i="8"/>
  <c r="AC24" i="8"/>
  <c r="AH18" i="8"/>
  <c r="Z56" i="8"/>
  <c r="AA56" i="8" s="1"/>
  <c r="AD56" i="8" s="1"/>
  <c r="AG19" i="8"/>
  <c r="Z65" i="8"/>
  <c r="AA65" i="8" s="1"/>
  <c r="AC65" i="8" s="1"/>
  <c r="Y35" i="8"/>
  <c r="S35" i="8" s="1"/>
  <c r="AH58" i="8"/>
  <c r="Y16" i="8"/>
  <c r="S16" i="8" s="1"/>
  <c r="Y122" i="8"/>
  <c r="S122" i="8" s="1"/>
  <c r="AG265" i="11"/>
  <c r="AF265" i="11"/>
  <c r="AB260" i="11"/>
  <c r="AD260" i="11" s="1"/>
  <c r="AF247" i="11"/>
  <c r="AE264" i="11"/>
  <c r="AG271" i="11"/>
  <c r="R229" i="11"/>
  <c r="AF275" i="11"/>
  <c r="R27" i="11"/>
  <c r="Y257" i="11"/>
  <c r="Z257" i="11" s="1"/>
  <c r="AC257" i="11" s="1"/>
  <c r="Y103" i="8"/>
  <c r="Z103" i="8" s="1"/>
  <c r="AA103" i="8" s="1"/>
  <c r="AD103" i="8" s="1"/>
  <c r="AE279" i="11"/>
  <c r="AC271" i="11"/>
  <c r="R82" i="11"/>
  <c r="R264" i="11"/>
  <c r="AG278" i="11"/>
  <c r="AE278" i="11"/>
  <c r="AC278" i="11"/>
  <c r="AB277" i="11"/>
  <c r="AC277" i="11"/>
  <c r="AE277" i="11"/>
  <c r="Y238" i="11"/>
  <c r="Z238" i="11" s="1"/>
  <c r="AE238" i="11" s="1"/>
  <c r="R238" i="11"/>
  <c r="AB266" i="11"/>
  <c r="AD266" i="11" s="1"/>
  <c r="AG266" i="11"/>
  <c r="AG272" i="11"/>
  <c r="AC279" i="11"/>
  <c r="Y24" i="11"/>
  <c r="Z24" i="11" s="1"/>
  <c r="AE24" i="11" s="1"/>
  <c r="AD250" i="11"/>
  <c r="X242" i="8"/>
  <c r="Y242" i="8" s="1"/>
  <c r="Z242" i="8" s="1"/>
  <c r="AA242" i="8" s="1"/>
  <c r="AB168" i="11"/>
  <c r="AD168" i="11" s="1"/>
  <c r="AF235" i="11"/>
  <c r="R148" i="11"/>
  <c r="Y188" i="11"/>
  <c r="Z188" i="11" s="1"/>
  <c r="AC188" i="11" s="1"/>
  <c r="AB270" i="11"/>
  <c r="AI239"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E262" i="11"/>
  <c r="AC142" i="11"/>
  <c r="AE270" i="11"/>
  <c r="AG247" i="11"/>
  <c r="R154" i="11"/>
  <c r="AC186" i="11"/>
  <c r="AD186" i="11" s="1"/>
  <c r="Y53" i="11"/>
  <c r="Z53" i="11" s="1"/>
  <c r="AE53" i="11" s="1"/>
  <c r="X151" i="11"/>
  <c r="Y166" i="11"/>
  <c r="Z166" i="11" s="1"/>
  <c r="AE166" i="11" s="1"/>
  <c r="AE142" i="11"/>
  <c r="X205" i="11"/>
  <c r="Y113" i="8"/>
  <c r="S113" i="8" s="1"/>
  <c r="Y120" i="11"/>
  <c r="Z120" i="11" s="1"/>
  <c r="AE266" i="11"/>
  <c r="R280" i="11"/>
  <c r="AG262" i="11"/>
  <c r="AC99" i="11"/>
  <c r="AD99" i="11" s="1"/>
  <c r="R155" i="11"/>
  <c r="R142" i="11"/>
  <c r="Y237" i="11"/>
  <c r="Z237" i="11" s="1"/>
  <c r="AE237" i="11" s="1"/>
  <c r="AF264" i="11"/>
  <c r="Y89" i="8"/>
  <c r="Z89" i="8" s="1"/>
  <c r="AA89" i="8" s="1"/>
  <c r="AF89" i="8" s="1"/>
  <c r="Y73" i="8"/>
  <c r="S73" i="8" s="1"/>
  <c r="Z182" i="8"/>
  <c r="AA182" i="8" s="1"/>
  <c r="AH182" i="8" s="1"/>
  <c r="Y106" i="8"/>
  <c r="Z106" i="8" s="1"/>
  <c r="AA106" i="8" s="1"/>
  <c r="Y230" i="8"/>
  <c r="Z230" i="8" s="1"/>
  <c r="AA230" i="8" s="1"/>
  <c r="AC230" i="8" s="1"/>
  <c r="Y97" i="8"/>
  <c r="S97" i="8" s="1"/>
  <c r="Y120" i="8"/>
  <c r="AF259" i="8"/>
  <c r="S259" i="8"/>
  <c r="Y243" i="8"/>
  <c r="Z243" i="8" s="1"/>
  <c r="AA243" i="8" s="1"/>
  <c r="AD243" i="8" s="1"/>
  <c r="Y255" i="8"/>
  <c r="Z255" i="8" s="1"/>
  <c r="AA255" i="8" s="1"/>
  <c r="AF255" i="8" s="1"/>
  <c r="Y126" i="8"/>
  <c r="S126" i="8" s="1"/>
  <c r="Y104" i="8"/>
  <c r="S104" i="8" s="1"/>
  <c r="Z139" i="8"/>
  <c r="AA139" i="8" s="1"/>
  <c r="AH139" i="8" s="1"/>
  <c r="S173" i="8"/>
  <c r="Y283" i="8"/>
  <c r="S283" i="8" s="1"/>
  <c r="Y141" i="8"/>
  <c r="Z141" i="8" s="1"/>
  <c r="AA141" i="8" s="1"/>
  <c r="AF141" i="8" s="1"/>
  <c r="Y265" i="8"/>
  <c r="Z265" i="8" s="1"/>
  <c r="AA265" i="8" s="1"/>
  <c r="AD265" i="8" s="1"/>
  <c r="AH71" i="8"/>
  <c r="AO244" i="8"/>
  <c r="AQ244" i="8" s="1"/>
  <c r="AR244" i="8" s="1"/>
  <c r="Y273" i="8"/>
  <c r="Z273" i="8" s="1"/>
  <c r="AA273" i="8" s="1"/>
  <c r="AC273" i="8" s="1"/>
  <c r="AO173" i="8"/>
  <c r="AQ173" i="8" s="1"/>
  <c r="AR173" i="8" s="1"/>
  <c r="Y207" i="8"/>
  <c r="S207" i="8" s="1"/>
  <c r="Y127" i="8"/>
  <c r="Z127" i="8" s="1"/>
  <c r="AA127" i="8" s="1"/>
  <c r="AF127" i="8" s="1"/>
  <c r="Y90" i="8"/>
  <c r="Y102" i="8"/>
  <c r="S102"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C280" i="11"/>
  <c r="AD280" i="11" s="1"/>
  <c r="AI28" i="11"/>
  <c r="AF99" i="11"/>
  <c r="R156" i="11"/>
  <c r="Y156" i="11"/>
  <c r="Z156" i="11" s="1"/>
  <c r="AB156" i="11" s="1"/>
  <c r="AB273" i="11"/>
  <c r="AD273" i="11" s="1"/>
  <c r="AG273" i="11"/>
  <c r="AI273" i="11" s="1"/>
  <c r="Y30" i="11"/>
  <c r="Z30" i="11" s="1"/>
  <c r="R30" i="11"/>
  <c r="AC143" i="11"/>
  <c r="AD143" i="11" s="1"/>
  <c r="AF143" i="11"/>
  <c r="R117" i="11"/>
  <c r="Y117" i="11"/>
  <c r="Z117" i="11" s="1"/>
  <c r="AC117" i="11" s="1"/>
  <c r="AE143" i="11"/>
  <c r="AB272" i="11"/>
  <c r="AD272" i="11" s="1"/>
  <c r="AF272" i="11"/>
  <c r="Y171" i="11"/>
  <c r="Z171" i="11" s="1"/>
  <c r="R171" i="11"/>
  <c r="AG143" i="11"/>
  <c r="AG274" i="11"/>
  <c r="Y14" i="11"/>
  <c r="Z14" i="11" s="1"/>
  <c r="AE14" i="11" s="1"/>
  <c r="AG121" i="11"/>
  <c r="AG99" i="11"/>
  <c r="AE272" i="11"/>
  <c r="AG153" i="11"/>
  <c r="AF274" i="11"/>
  <c r="Y199" i="11"/>
  <c r="Z199" i="11" s="1"/>
  <c r="AF199" i="11" s="1"/>
  <c r="AC232" i="11"/>
  <c r="R161" i="11"/>
  <c r="Y161" i="11"/>
  <c r="Z161" i="11" s="1"/>
  <c r="AE161" i="11" s="1"/>
  <c r="AG229" i="11"/>
  <c r="AF229" i="11"/>
  <c r="Y136" i="11"/>
  <c r="Z136" i="11" s="1"/>
  <c r="AB136" i="11" s="1"/>
  <c r="AB262" i="11"/>
  <c r="AD262" i="11" s="1"/>
  <c r="AF262" i="11"/>
  <c r="AC270" i="11"/>
  <c r="AG270" i="11"/>
  <c r="AF93" i="11"/>
  <c r="AG93" i="11"/>
  <c r="Y137" i="8"/>
  <c r="S137" i="8" s="1"/>
  <c r="X172" i="11"/>
  <c r="X152" i="11"/>
  <c r="X150" i="11"/>
  <c r="X86" i="11"/>
  <c r="X85" i="11"/>
  <c r="AD23" i="11"/>
  <c r="AF160" i="11"/>
  <c r="AE265" i="11"/>
  <c r="AB279" i="11"/>
  <c r="R109" i="11"/>
  <c r="Y31" i="8"/>
  <c r="X169" i="11"/>
  <c r="X139" i="11"/>
  <c r="X63" i="11"/>
  <c r="Y253" i="8"/>
  <c r="Z253" i="8" s="1"/>
  <c r="AA253" i="8" s="1"/>
  <c r="AF253" i="8" s="1"/>
  <c r="Z195" i="8"/>
  <c r="AA195" i="8" s="1"/>
  <c r="AG195" i="8" s="1"/>
  <c r="S195" i="8"/>
  <c r="Y105" i="8"/>
  <c r="Z105" i="8" s="1"/>
  <c r="AA105" i="8" s="1"/>
  <c r="AG105" i="8" s="1"/>
  <c r="AO187" i="8"/>
  <c r="AQ187" i="8" s="1"/>
  <c r="AR187" i="8" s="1"/>
  <c r="Y107" i="8"/>
  <c r="S107" i="8" s="1"/>
  <c r="AG191" i="8"/>
  <c r="S36" i="8"/>
  <c r="Z46" i="8"/>
  <c r="AA46" i="8" s="1"/>
  <c r="AH46" i="8" s="1"/>
  <c r="AO152" i="8"/>
  <c r="AQ152" i="8" s="1"/>
  <c r="AR152" i="8" s="1"/>
  <c r="AD29" i="8"/>
  <c r="Z55" i="8"/>
  <c r="AA55" i="8" s="1"/>
  <c r="AG55" i="8" s="1"/>
  <c r="AF147" i="8"/>
  <c r="AC147" i="8"/>
  <c r="AE147" i="8" s="1"/>
  <c r="Z244" i="8"/>
  <c r="AA244" i="8" s="1"/>
  <c r="AG244" i="8" s="1"/>
  <c r="Y94" i="8"/>
  <c r="Z94" i="8" s="1"/>
  <c r="AA94" i="8" s="1"/>
  <c r="Y189" i="8"/>
  <c r="S189" i="8" s="1"/>
  <c r="AO196" i="8"/>
  <c r="AQ196" i="8" s="1"/>
  <c r="AR196" i="8" s="1"/>
  <c r="Y212" i="8"/>
  <c r="S212" i="8" s="1"/>
  <c r="AO139" i="8"/>
  <c r="AQ139" i="8" s="1"/>
  <c r="AR139" i="8" s="1"/>
  <c r="AL76" i="8"/>
  <c r="AL290" i="8" s="1"/>
  <c r="AC39" i="8"/>
  <c r="AE39" i="8" s="1"/>
  <c r="AG58" i="8"/>
  <c r="AC58" i="8"/>
  <c r="AE58" i="8" s="1"/>
  <c r="AC170" i="8"/>
  <c r="AO159" i="8"/>
  <c r="AQ159" i="8" s="1"/>
  <c r="AR159" i="8" s="1"/>
  <c r="Y222" i="8"/>
  <c r="Z222" i="8" s="1"/>
  <c r="AA222" i="8" s="1"/>
  <c r="S139" i="8"/>
  <c r="Z159" i="8"/>
  <c r="AA159" i="8" s="1"/>
  <c r="AG159" i="8" s="1"/>
  <c r="Y33" i="8"/>
  <c r="AO231" i="8"/>
  <c r="AQ231" i="8" s="1"/>
  <c r="AR231" i="8" s="1"/>
  <c r="Y164" i="8"/>
  <c r="Z164" i="8" s="1"/>
  <c r="AA164" i="8" s="1"/>
  <c r="Y257" i="8"/>
  <c r="S231" i="8"/>
  <c r="Y220" i="8"/>
  <c r="Z220" i="8" s="1"/>
  <c r="AA220" i="8" s="1"/>
  <c r="AH220" i="8" s="1"/>
  <c r="S165" i="8"/>
  <c r="AD74" i="8"/>
  <c r="AH74" i="8"/>
  <c r="AH64" i="8"/>
  <c r="AF64" i="8"/>
  <c r="AG64" i="8"/>
  <c r="Z203" i="8"/>
  <c r="AA203" i="8" s="1"/>
  <c r="AG203" i="8" s="1"/>
  <c r="AD71" i="8"/>
  <c r="AE71" i="8" s="1"/>
  <c r="AF145" i="8"/>
  <c r="AH143" i="8"/>
  <c r="Z38" i="8"/>
  <c r="AA38" i="8" s="1"/>
  <c r="AH38" i="8" s="1"/>
  <c r="Y68" i="8"/>
  <c r="Z68" i="8" s="1"/>
  <c r="AA68" i="8" s="1"/>
  <c r="AD68" i="8" s="1"/>
  <c r="AC40" i="8"/>
  <c r="AE40" i="8" s="1"/>
  <c r="AC29" i="8"/>
  <c r="AH40" i="8"/>
  <c r="AF148" i="8"/>
  <c r="S29" i="8"/>
  <c r="Y69" i="8"/>
  <c r="S69" i="8" s="1"/>
  <c r="Y42" i="8"/>
  <c r="Z42" i="8" s="1"/>
  <c r="AA42" i="8" s="1"/>
  <c r="S187" i="8"/>
  <c r="AO40" i="8"/>
  <c r="AQ40" i="8" s="1"/>
  <c r="AR40" i="8" s="1"/>
  <c r="Y248" i="8"/>
  <c r="S248" i="8" s="1"/>
  <c r="AO165" i="8"/>
  <c r="AQ165" i="8" s="1"/>
  <c r="AR165" i="8" s="1"/>
  <c r="Z187" i="8"/>
  <c r="AA187" i="8" s="1"/>
  <c r="AD187" i="8" s="1"/>
  <c r="AO238" i="8"/>
  <c r="AQ238" i="8" s="1"/>
  <c r="AR238" i="8" s="1"/>
  <c r="Y50" i="8"/>
  <c r="S50" i="8" s="1"/>
  <c r="Y275" i="8"/>
  <c r="Z275" i="8" s="1"/>
  <c r="AA275" i="8" s="1"/>
  <c r="AF275" i="8" s="1"/>
  <c r="AO74" i="8"/>
  <c r="AQ74" i="8" s="1"/>
  <c r="AR74" i="8" s="1"/>
  <c r="S40" i="8"/>
  <c r="Y186" i="8"/>
  <c r="S186" i="8" s="1"/>
  <c r="Y101" i="8"/>
  <c r="Z101" i="8" s="1"/>
  <c r="Y109" i="8"/>
  <c r="S109" i="8" s="1"/>
  <c r="AC143" i="8"/>
  <c r="AE143" i="8" s="1"/>
  <c r="Y205" i="8"/>
  <c r="Z205" i="8" s="1"/>
  <c r="AA205" i="8" s="1"/>
  <c r="AH205" i="8" s="1"/>
  <c r="AO135" i="8"/>
  <c r="AQ135" i="8" s="1"/>
  <c r="AR135" i="8" s="1"/>
  <c r="S235" i="8"/>
  <c r="Y27" i="8"/>
  <c r="Z27" i="8" s="1"/>
  <c r="AA27" i="8" s="1"/>
  <c r="AG27" i="8" s="1"/>
  <c r="Y285" i="8"/>
  <c r="Z285" i="8" s="1"/>
  <c r="AA285" i="8" s="1"/>
  <c r="AO64" i="8"/>
  <c r="AQ64" i="8" s="1"/>
  <c r="AR64" i="8" s="1"/>
  <c r="Y124" i="8"/>
  <c r="S124" i="8" s="1"/>
  <c r="Y117" i="8"/>
  <c r="Z117" i="8" s="1"/>
  <c r="AA117" i="8" s="1"/>
  <c r="AG117" i="8" s="1"/>
  <c r="AK287" i="8"/>
  <c r="AK293" i="8" s="1"/>
  <c r="Z17" i="8"/>
  <c r="AA17" i="8" s="1"/>
  <c r="AD17" i="8" s="1"/>
  <c r="Z54" i="8"/>
  <c r="AA54" i="8" s="1"/>
  <c r="S74" i="8"/>
  <c r="Z238" i="8"/>
  <c r="AA238" i="8" s="1"/>
  <c r="AG238" i="8" s="1"/>
  <c r="S167" i="8"/>
  <c r="AF29" i="8"/>
  <c r="Y60" i="8"/>
  <c r="S60" i="8" s="1"/>
  <c r="Y241" i="8"/>
  <c r="Z241" i="8" s="1"/>
  <c r="AA241" i="8" s="1"/>
  <c r="AF241" i="8" s="1"/>
  <c r="Y200" i="8"/>
  <c r="Z200" i="8" s="1"/>
  <c r="AA200" i="8" s="1"/>
  <c r="AH200" i="8" s="1"/>
  <c r="Y229" i="8"/>
  <c r="S229" i="8" s="1"/>
  <c r="Z231" i="8"/>
  <c r="AA231" i="8" s="1"/>
  <c r="AH231" i="8" s="1"/>
  <c r="Y201" i="8"/>
  <c r="Z201" i="8" s="1"/>
  <c r="AA201" i="8" s="1"/>
  <c r="AH201" i="8" s="1"/>
  <c r="AF272" i="8"/>
  <c r="AG272" i="8"/>
  <c r="AG165" i="8"/>
  <c r="AD165" i="8"/>
  <c r="AH165" i="8"/>
  <c r="AF21" i="8"/>
  <c r="AH21" i="8"/>
  <c r="AG65" i="8"/>
  <c r="V286" i="8"/>
  <c r="Z53" i="8"/>
  <c r="AA53" i="8" s="1"/>
  <c r="AH53" i="8" s="1"/>
  <c r="S196" i="8"/>
  <c r="AG145" i="8"/>
  <c r="AH24" i="8"/>
  <c r="AC21" i="8"/>
  <c r="AE21" i="8" s="1"/>
  <c r="AG143" i="8"/>
  <c r="Z37" i="8"/>
  <c r="AA37" i="8" s="1"/>
  <c r="AC37" i="8" s="1"/>
  <c r="AC64" i="8"/>
  <c r="S147" i="8"/>
  <c r="Y168" i="8"/>
  <c r="Z168" i="8" s="1"/>
  <c r="AA168" i="8" s="1"/>
  <c r="AH168" i="8" s="1"/>
  <c r="Y226" i="8"/>
  <c r="AS287" i="8"/>
  <c r="AC145" i="8"/>
  <c r="AE145" i="8" s="1"/>
  <c r="Z72" i="8"/>
  <c r="AA72" i="8" s="1"/>
  <c r="AC72" i="8" s="1"/>
  <c r="AF143" i="8"/>
  <c r="AG167" i="8"/>
  <c r="AO109" i="8"/>
  <c r="AQ109" i="8" s="1"/>
  <c r="AR109" i="8" s="1"/>
  <c r="AD64" i="8"/>
  <c r="AC148" i="8"/>
  <c r="AE148" i="8" s="1"/>
  <c r="Y192" i="8"/>
  <c r="Z192" i="8" s="1"/>
  <c r="AA192" i="8" s="1"/>
  <c r="AH192" i="8" s="1"/>
  <c r="AG269" i="8"/>
  <c r="AC269" i="8"/>
  <c r="AD269" i="8"/>
  <c r="AH269" i="8"/>
  <c r="AF269" i="8"/>
  <c r="AF184" i="8"/>
  <c r="AG184" i="8"/>
  <c r="AD184" i="8"/>
  <c r="AH184" i="8"/>
  <c r="AC184" i="8"/>
  <c r="AO270" i="8"/>
  <c r="AQ270" i="8" s="1"/>
  <c r="AR270" i="8" s="1"/>
  <c r="AO250" i="8"/>
  <c r="AQ250" i="8" s="1"/>
  <c r="AR250" i="8" s="1"/>
  <c r="Y250" i="8"/>
  <c r="Z250" i="8" s="1"/>
  <c r="AA250" i="8" s="1"/>
  <c r="Y197" i="8"/>
  <c r="S197" i="8" s="1"/>
  <c r="AO197" i="8"/>
  <c r="AQ197" i="8" s="1"/>
  <c r="AR197" i="8" s="1"/>
  <c r="AO282" i="8"/>
  <c r="AQ282" i="8" s="1"/>
  <c r="AR282" i="8" s="1"/>
  <c r="Y282" i="8"/>
  <c r="Z282" i="8" s="1"/>
  <c r="AA282" i="8" s="1"/>
  <c r="AO209" i="8"/>
  <c r="AQ209" i="8" s="1"/>
  <c r="AR209" i="8" s="1"/>
  <c r="Y209" i="8"/>
  <c r="S209" i="8" s="1"/>
  <c r="Y153" i="8"/>
  <c r="Z153" i="8" s="1"/>
  <c r="AA153" i="8" s="1"/>
  <c r="AO153" i="8"/>
  <c r="AQ153" i="8" s="1"/>
  <c r="AR153" i="8" s="1"/>
  <c r="AO178" i="8"/>
  <c r="AQ178" i="8" s="1"/>
  <c r="AR178" i="8" s="1"/>
  <c r="Y178" i="8"/>
  <c r="Z178" i="8" s="1"/>
  <c r="AA178" i="8" s="1"/>
  <c r="AF178" i="8" s="1"/>
  <c r="Y264" i="8"/>
  <c r="Z264" i="8" s="1"/>
  <c r="AA264" i="8" s="1"/>
  <c r="AD264" i="8" s="1"/>
  <c r="AO264" i="8"/>
  <c r="AQ264" i="8" s="1"/>
  <c r="AR264" i="8" s="1"/>
  <c r="AO210" i="8"/>
  <c r="AQ210" i="8" s="1"/>
  <c r="AR210" i="8" s="1"/>
  <c r="S210" i="8"/>
  <c r="Y199" i="8"/>
  <c r="S199" i="8" s="1"/>
  <c r="Y251" i="8"/>
  <c r="Z251" i="8" s="1"/>
  <c r="AA251" i="8" s="1"/>
  <c r="AO251" i="8"/>
  <c r="AQ251" i="8" s="1"/>
  <c r="AR251" i="8" s="1"/>
  <c r="AO208" i="8"/>
  <c r="AQ208" i="8" s="1"/>
  <c r="AR208" i="8" s="1"/>
  <c r="Y208" i="8"/>
  <c r="S208" i="8" s="1"/>
  <c r="Y221" i="8"/>
  <c r="Z221" i="8" s="1"/>
  <c r="AA221" i="8" s="1"/>
  <c r="AO221" i="8"/>
  <c r="AQ221" i="8" s="1"/>
  <c r="AR221" i="8" s="1"/>
  <c r="AD34" i="8"/>
  <c r="AH34" i="8"/>
  <c r="Y270" i="8"/>
  <c r="Z270" i="8" s="1"/>
  <c r="AA270" i="8" s="1"/>
  <c r="AG276" i="8"/>
  <c r="AF276" i="8"/>
  <c r="Y154" i="8"/>
  <c r="Z154" i="8" s="1"/>
  <c r="AA154" i="8" s="1"/>
  <c r="AO154" i="8"/>
  <c r="AQ154" i="8" s="1"/>
  <c r="AR154" i="8" s="1"/>
  <c r="AO240" i="8"/>
  <c r="AQ240" i="8" s="1"/>
  <c r="AR240" i="8" s="1"/>
  <c r="Y240" i="8"/>
  <c r="Z240" i="8" s="1"/>
  <c r="AA240" i="8" s="1"/>
  <c r="Y151" i="8"/>
  <c r="S151" i="8" s="1"/>
  <c r="AO211" i="8"/>
  <c r="AQ211" i="8" s="1"/>
  <c r="AR211" i="8" s="1"/>
  <c r="Y211" i="8"/>
  <c r="Z211" i="8" s="1"/>
  <c r="AA211" i="8" s="1"/>
  <c r="AC211" i="8" s="1"/>
  <c r="AO262" i="8"/>
  <c r="AQ262" i="8" s="1"/>
  <c r="AR262" i="8" s="1"/>
  <c r="Y262" i="8"/>
  <c r="Z262" i="8" s="1"/>
  <c r="AA262" i="8" s="1"/>
  <c r="Y123" i="8"/>
  <c r="Z123" i="8" s="1"/>
  <c r="AA123" i="8" s="1"/>
  <c r="AH123" i="8" s="1"/>
  <c r="AO123" i="8"/>
  <c r="AQ123" i="8" s="1"/>
  <c r="AR123" i="8" s="1"/>
  <c r="AG190" i="8"/>
  <c r="AH190" i="8"/>
  <c r="AO268" i="8"/>
  <c r="AQ268" i="8" s="1"/>
  <c r="AR268" i="8" s="1"/>
  <c r="Y268" i="8"/>
  <c r="Z268" i="8" s="1"/>
  <c r="AA268" i="8" s="1"/>
  <c r="AO267" i="8"/>
  <c r="AQ267" i="8" s="1"/>
  <c r="AR267" i="8" s="1"/>
  <c r="Y267" i="8"/>
  <c r="S267" i="8" s="1"/>
  <c r="Y237" i="8"/>
  <c r="Z237" i="8" s="1"/>
  <c r="AA237" i="8" s="1"/>
  <c r="AG237" i="8" s="1"/>
  <c r="AO237" i="8"/>
  <c r="AQ237" i="8" s="1"/>
  <c r="AR237" i="8" s="1"/>
  <c r="AO266" i="8"/>
  <c r="AQ266" i="8" s="1"/>
  <c r="AR266" i="8" s="1"/>
  <c r="Y266" i="8"/>
  <c r="Z266" i="8" s="1"/>
  <c r="AA266" i="8" s="1"/>
  <c r="Y233" i="8"/>
  <c r="S233" i="8" s="1"/>
  <c r="AO215" i="8"/>
  <c r="AQ215" i="8" s="1"/>
  <c r="AR215" i="8" s="1"/>
  <c r="Y215" i="8"/>
  <c r="AO181" i="8"/>
  <c r="AQ181" i="8" s="1"/>
  <c r="AR181" i="8" s="1"/>
  <c r="Y181" i="8"/>
  <c r="Z181" i="8" s="1"/>
  <c r="AA181" i="8" s="1"/>
  <c r="AF173" i="8"/>
  <c r="AF190" i="8"/>
  <c r="Z210" i="8"/>
  <c r="AA210" i="8" s="1"/>
  <c r="Z57" i="8"/>
  <c r="AA57" i="8" s="1"/>
  <c r="Y130" i="8"/>
  <c r="Z130" i="8" s="1"/>
  <c r="AA130" i="8" s="1"/>
  <c r="Z43" i="8"/>
  <c r="AA43" i="8" s="1"/>
  <c r="AH43" i="8" s="1"/>
  <c r="Z261" i="8"/>
  <c r="AA261" i="8" s="1"/>
  <c r="AF261" i="8" s="1"/>
  <c r="AG71" i="8"/>
  <c r="AF71" i="8"/>
  <c r="AC173" i="8"/>
  <c r="AH247" i="8"/>
  <c r="AO219" i="8"/>
  <c r="AQ219" i="8" s="1"/>
  <c r="AR219" i="8" s="1"/>
  <c r="S269" i="8"/>
  <c r="AO269" i="8"/>
  <c r="AQ269" i="8" s="1"/>
  <c r="AR269" i="8" s="1"/>
  <c r="Y176" i="8"/>
  <c r="S176" i="8" s="1"/>
  <c r="AO176" i="8"/>
  <c r="AQ176" i="8" s="1"/>
  <c r="AR176" i="8" s="1"/>
  <c r="AO184" i="8"/>
  <c r="AQ184" i="8" s="1"/>
  <c r="AR184" i="8" s="1"/>
  <c r="S184" i="8"/>
  <c r="Y183" i="8"/>
  <c r="Z183" i="8" s="1"/>
  <c r="AA183" i="8" s="1"/>
  <c r="AO183" i="8"/>
  <c r="AQ183" i="8" s="1"/>
  <c r="AR183" i="8" s="1"/>
  <c r="AO174" i="8"/>
  <c r="AQ174" i="8" s="1"/>
  <c r="AR174" i="8" s="1"/>
  <c r="Y174" i="8"/>
  <c r="S174" i="8" s="1"/>
  <c r="Y172" i="8"/>
  <c r="S172" i="8" s="1"/>
  <c r="AO172" i="8"/>
  <c r="AQ172" i="8" s="1"/>
  <c r="AR172" i="8" s="1"/>
  <c r="AH167" i="8"/>
  <c r="AG34" i="8"/>
  <c r="Z152" i="8"/>
  <c r="AA152" i="8" s="1"/>
  <c r="AG152" i="8" s="1"/>
  <c r="S152" i="8"/>
  <c r="AO236" i="8"/>
  <c r="AQ236" i="8" s="1"/>
  <c r="AR236" i="8" s="1"/>
  <c r="AH149" i="8"/>
  <c r="AF149" i="8"/>
  <c r="AG149" i="8"/>
  <c r="AC149" i="8"/>
  <c r="AE149" i="8" s="1"/>
  <c r="Y175" i="8"/>
  <c r="Z175" i="8" s="1"/>
  <c r="AA175" i="8" s="1"/>
  <c r="AC165" i="8"/>
  <c r="AF165" i="8"/>
  <c r="AD235" i="8"/>
  <c r="AE235" i="8" s="1"/>
  <c r="AF235" i="8"/>
  <c r="Y85" i="8"/>
  <c r="Y291" i="8" s="1"/>
  <c r="AO175" i="8"/>
  <c r="AQ175" i="8" s="1"/>
  <c r="AR175" i="8" s="1"/>
  <c r="AO140" i="8"/>
  <c r="AQ140" i="8" s="1"/>
  <c r="AR140" i="8" s="1"/>
  <c r="Y140" i="8"/>
  <c r="AO131" i="8"/>
  <c r="AQ131" i="8" s="1"/>
  <c r="AR131" i="8" s="1"/>
  <c r="Y131" i="8"/>
  <c r="Y246" i="8"/>
  <c r="Z246" i="8" s="1"/>
  <c r="AA246" i="8" s="1"/>
  <c r="AF246" i="8" s="1"/>
  <c r="AF280" i="8"/>
  <c r="AH280" i="8"/>
  <c r="Y214" i="8"/>
  <c r="Z214" i="8" s="1"/>
  <c r="AA214" i="8" s="1"/>
  <c r="AO115" i="8"/>
  <c r="AQ115" i="8" s="1"/>
  <c r="AR115" i="8" s="1"/>
  <c r="Y115" i="8"/>
  <c r="Y132" i="8"/>
  <c r="Y177" i="8"/>
  <c r="AO177" i="8"/>
  <c r="AQ177" i="8" s="1"/>
  <c r="AR177" i="8" s="1"/>
  <c r="AF158" i="8"/>
  <c r="AG158" i="8"/>
  <c r="S64" i="8"/>
  <c r="Y254" i="8"/>
  <c r="Z254" i="8" s="1"/>
  <c r="AA254" i="8" s="1"/>
  <c r="AD254" i="8" s="1"/>
  <c r="Y93" i="8"/>
  <c r="S93" i="8" s="1"/>
  <c r="Y116" i="8"/>
  <c r="Z116" i="8" s="1"/>
  <c r="AA116" i="8" s="1"/>
  <c r="Y142" i="8"/>
  <c r="S142" i="8" s="1"/>
  <c r="Y111" i="8"/>
  <c r="S111" i="8" s="1"/>
  <c r="Z256" i="8"/>
  <c r="AA256" i="8" s="1"/>
  <c r="S256" i="8"/>
  <c r="S280" i="8"/>
  <c r="Y98" i="8"/>
  <c r="S98" i="8" s="1"/>
  <c r="Y157" i="8"/>
  <c r="Z157" i="8" s="1"/>
  <c r="AA157" i="8" s="1"/>
  <c r="AF157" i="8" s="1"/>
  <c r="Y146" i="8"/>
  <c r="AO280" i="8"/>
  <c r="AQ280" i="8" s="1"/>
  <c r="AR280" i="8" s="1"/>
  <c r="AO143" i="8"/>
  <c r="AQ143" i="8" s="1"/>
  <c r="AR143" i="8" s="1"/>
  <c r="Y128" i="8"/>
  <c r="S128" i="8" s="1"/>
  <c r="V76" i="8"/>
  <c r="V287" i="8" s="1"/>
  <c r="Y99" i="8"/>
  <c r="S99" i="8" s="1"/>
  <c r="Y110" i="8"/>
  <c r="Z110" i="8" s="1"/>
  <c r="AA110" i="8" s="1"/>
  <c r="AF110" i="8" s="1"/>
  <c r="Y227" i="8"/>
  <c r="Y206" i="8"/>
  <c r="Y112" i="8"/>
  <c r="J293" i="8"/>
  <c r="S26" i="8"/>
  <c r="AD15" i="8"/>
  <c r="AE15" i="8" s="1"/>
  <c r="AH15" i="8"/>
  <c r="S15" i="8"/>
  <c r="AD14" i="8"/>
  <c r="S14" i="8"/>
  <c r="AC14" i="8"/>
  <c r="AF14" i="8"/>
  <c r="AG74" i="8"/>
  <c r="AF74" i="8"/>
  <c r="S263" i="8"/>
  <c r="Z263" i="8"/>
  <c r="AA263" i="8" s="1"/>
  <c r="S59" i="8"/>
  <c r="Z59" i="8"/>
  <c r="AA59" i="8" s="1"/>
  <c r="AH259" i="8"/>
  <c r="AG259" i="8"/>
  <c r="AG173" i="8"/>
  <c r="AD173" i="8"/>
  <c r="AH235" i="8"/>
  <c r="AG235" i="8"/>
  <c r="AC280" i="8"/>
  <c r="AD280" i="8"/>
  <c r="S236" i="8"/>
  <c r="Z236" i="8"/>
  <c r="AA236" i="8" s="1"/>
  <c r="AC236" i="8" s="1"/>
  <c r="AE236" i="8" s="1"/>
  <c r="AG15" i="8"/>
  <c r="AF15" i="8"/>
  <c r="AC18" i="8"/>
  <c r="AG219" i="8"/>
  <c r="AC219" i="8"/>
  <c r="AH219" i="8"/>
  <c r="AF39" i="8"/>
  <c r="S39" i="8"/>
  <c r="AC74" i="8"/>
  <c r="S49" i="8"/>
  <c r="Z49" i="8"/>
  <c r="AA49" i="8" s="1"/>
  <c r="AG49" i="8" s="1"/>
  <c r="AD211" i="8"/>
  <c r="AC34" i="8"/>
  <c r="AF34" i="8"/>
  <c r="AG182" i="8"/>
  <c r="AO274" i="8"/>
  <c r="AQ274" i="8" s="1"/>
  <c r="AR274" i="8" s="1"/>
  <c r="Y274" i="8"/>
  <c r="Z274" i="8" s="1"/>
  <c r="AA274" i="8" s="1"/>
  <c r="AH274" i="8" s="1"/>
  <c r="Y169" i="8"/>
  <c r="Z169" i="8" s="1"/>
  <c r="AA169" i="8" s="1"/>
  <c r="Z216" i="8"/>
  <c r="AA216" i="8" s="1"/>
  <c r="AO216" i="8"/>
  <c r="AQ216" i="8" s="1"/>
  <c r="AR216" i="8" s="1"/>
  <c r="Y232" i="8"/>
  <c r="S232" i="8" s="1"/>
  <c r="AO232" i="8"/>
  <c r="AQ232" i="8" s="1"/>
  <c r="AR232" i="8" s="1"/>
  <c r="AO213" i="8"/>
  <c r="AQ213" i="8" s="1"/>
  <c r="AR213" i="8" s="1"/>
  <c r="Y213" i="8"/>
  <c r="AD276" i="8"/>
  <c r="AC276" i="8"/>
  <c r="AG148" i="8"/>
  <c r="AH276" i="8"/>
  <c r="S216" i="8"/>
  <c r="AC19" i="8"/>
  <c r="AE19" i="8" s="1"/>
  <c r="AO151" i="8"/>
  <c r="AQ151" i="8" s="1"/>
  <c r="AR151" i="8" s="1"/>
  <c r="AO202" i="8"/>
  <c r="AQ202" i="8" s="1"/>
  <c r="AR202" i="8" s="1"/>
  <c r="Y202" i="8"/>
  <c r="S202" i="8" s="1"/>
  <c r="Y136" i="8"/>
  <c r="Z136" i="8" s="1"/>
  <c r="AA136" i="8" s="1"/>
  <c r="AO136" i="8"/>
  <c r="AQ136" i="8" s="1"/>
  <c r="AR136" i="8" s="1"/>
  <c r="Y179" i="8"/>
  <c r="S179" i="8" s="1"/>
  <c r="AO179" i="8"/>
  <c r="AQ179" i="8" s="1"/>
  <c r="AR179" i="8" s="1"/>
  <c r="Y198" i="8"/>
  <c r="AO198" i="8"/>
  <c r="AQ198" i="8" s="1"/>
  <c r="AR198" i="8" s="1"/>
  <c r="AO228" i="8"/>
  <c r="AQ228" i="8" s="1"/>
  <c r="AR228" i="8" s="1"/>
  <c r="Y228" i="8"/>
  <c r="S204" i="8"/>
  <c r="AO204" i="8"/>
  <c r="AQ204" i="8" s="1"/>
  <c r="AR204" i="8" s="1"/>
  <c r="Z204" i="8"/>
  <c r="AA204" i="8" s="1"/>
  <c r="AO234" i="8"/>
  <c r="AQ234" i="8" s="1"/>
  <c r="AR234" i="8" s="1"/>
  <c r="Y234" i="8"/>
  <c r="S234" i="8" s="1"/>
  <c r="Y225" i="8"/>
  <c r="S225" i="8" s="1"/>
  <c r="AO190" i="8"/>
  <c r="AQ190" i="8" s="1"/>
  <c r="AR190" i="8" s="1"/>
  <c r="S190" i="8"/>
  <c r="AS291" i="8"/>
  <c r="AS293" i="8" s="1"/>
  <c r="Y114" i="8"/>
  <c r="Z114" i="8" s="1"/>
  <c r="AA114" i="8" s="1"/>
  <c r="AG114" i="8" s="1"/>
  <c r="AO194" i="8"/>
  <c r="AQ194" i="8" s="1"/>
  <c r="AR194" i="8" s="1"/>
  <c r="Y194" i="8"/>
  <c r="Z194" i="8" s="1"/>
  <c r="AA194" i="8" s="1"/>
  <c r="Y249" i="8"/>
  <c r="S249" i="8" s="1"/>
  <c r="Y218" i="8"/>
  <c r="Z218" i="8" s="1"/>
  <c r="AA218" i="8" s="1"/>
  <c r="AO218" i="8"/>
  <c r="AQ218" i="8" s="1"/>
  <c r="AR218" i="8" s="1"/>
  <c r="Y185" i="8"/>
  <c r="Z185" i="8" s="1"/>
  <c r="AA185" i="8" s="1"/>
  <c r="AC185" i="8" s="1"/>
  <c r="AO185" i="8"/>
  <c r="AQ185" i="8" s="1"/>
  <c r="AR185" i="8" s="1"/>
  <c r="Y166" i="8"/>
  <c r="Z166" i="8" s="1"/>
  <c r="AA166" i="8" s="1"/>
  <c r="AO166" i="8"/>
  <c r="AQ166" i="8" s="1"/>
  <c r="AR166" i="8" s="1"/>
  <c r="AO217" i="8"/>
  <c r="AQ217" i="8" s="1"/>
  <c r="AR217" i="8" s="1"/>
  <c r="Y217" i="8"/>
  <c r="Z217" i="8" s="1"/>
  <c r="AA217" i="8" s="1"/>
  <c r="AO180" i="8"/>
  <c r="AQ180" i="8" s="1"/>
  <c r="AR180" i="8" s="1"/>
  <c r="Y180" i="8"/>
  <c r="Y223" i="8"/>
  <c r="S223" i="8" s="1"/>
  <c r="AO224" i="8"/>
  <c r="AQ224" i="8" s="1"/>
  <c r="AR224" i="8" s="1"/>
  <c r="Y224" i="8"/>
  <c r="W286" i="8"/>
  <c r="AO171" i="8"/>
  <c r="AQ171" i="8" s="1"/>
  <c r="AR171" i="8" s="1"/>
  <c r="AO193" i="8"/>
  <c r="AQ193" i="8" s="1"/>
  <c r="AR193" i="8" s="1"/>
  <c r="Y193" i="8"/>
  <c r="Y108" i="8"/>
  <c r="S108" i="8" s="1"/>
  <c r="Y138" i="8"/>
  <c r="S138" i="8" s="1"/>
  <c r="S34" i="8"/>
  <c r="Y95" i="8"/>
  <c r="Z95" i="8" s="1"/>
  <c r="AA95" i="8" s="1"/>
  <c r="AC95" i="8" s="1"/>
  <c r="Y119" i="8"/>
  <c r="S119" i="8" s="1"/>
  <c r="AO162" i="8"/>
  <c r="AQ162" i="8" s="1"/>
  <c r="AE227" i="11"/>
  <c r="AG227" i="11"/>
  <c r="AB227" i="11"/>
  <c r="AF227" i="11"/>
  <c r="AC227" i="11"/>
  <c r="AF164" i="11"/>
  <c r="AE164" i="11"/>
  <c r="AB164" i="11"/>
  <c r="AC164" i="11"/>
  <c r="AG164" i="11"/>
  <c r="AC74" i="11"/>
  <c r="AG16" i="11"/>
  <c r="AC16" i="11"/>
  <c r="AC281" i="11"/>
  <c r="AF281" i="11"/>
  <c r="AB281" i="11"/>
  <c r="AE281" i="11"/>
  <c r="AF161" i="11"/>
  <c r="AF109" i="11"/>
  <c r="AC109" i="11"/>
  <c r="AG109" i="11"/>
  <c r="AE109" i="11"/>
  <c r="AB109" i="11"/>
  <c r="AF90" i="11"/>
  <c r="AB90" i="11"/>
  <c r="AE90" i="11"/>
  <c r="AG90" i="11"/>
  <c r="AC90" i="11"/>
  <c r="AG168" i="11"/>
  <c r="AE146" i="11"/>
  <c r="AB19" i="11"/>
  <c r="AB269" i="11"/>
  <c r="AD269" i="11" s="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D261" i="11" s="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F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271" i="11"/>
  <c r="AB271" i="11"/>
  <c r="AF155" i="11"/>
  <c r="R281" i="11"/>
  <c r="AF187" i="11"/>
  <c r="AD239" i="11"/>
  <c r="R141" i="11"/>
  <c r="Y141" i="11"/>
  <c r="Z141" i="11" s="1"/>
  <c r="AB141" i="11" s="1"/>
  <c r="Y84" i="11"/>
  <c r="Z84" i="11" s="1"/>
  <c r="AF84" i="11" s="1"/>
  <c r="R84" i="11"/>
  <c r="AF153"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Z28" i="8"/>
  <c r="AA28" i="8" s="1"/>
  <c r="AF28" i="8" s="1"/>
  <c r="S281" i="8"/>
  <c r="AC277" i="8"/>
  <c r="AF277" i="8"/>
  <c r="AH277" i="8"/>
  <c r="AG277" i="8"/>
  <c r="AD277" i="8"/>
  <c r="AH88" i="8"/>
  <c r="AH191" i="8"/>
  <c r="AE191" i="8"/>
  <c r="AF88" i="8"/>
  <c r="AF191" i="8"/>
  <c r="Y118"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2" i="8"/>
  <c r="Z252" i="8" s="1"/>
  <c r="AA252" i="8" s="1"/>
  <c r="AO252" i="8"/>
  <c r="AQ252" i="8" s="1"/>
  <c r="AR252" i="8" s="1"/>
  <c r="U286" i="8"/>
  <c r="AG45" i="8"/>
  <c r="AC45" i="8"/>
  <c r="AH45" i="8"/>
  <c r="AF45" i="8"/>
  <c r="AD45" i="8"/>
  <c r="S45" i="8"/>
  <c r="AC26" i="8"/>
  <c r="AF26" i="8"/>
  <c r="AH26" i="8"/>
  <c r="AD26" i="8"/>
  <c r="AG26" i="8"/>
  <c r="AF281" i="8"/>
  <c r="AD281" i="8"/>
  <c r="AC281" i="8"/>
  <c r="AG281" i="8"/>
  <c r="AH281" i="8"/>
  <c r="AG260" i="11"/>
  <c r="AF260" i="11"/>
  <c r="AE260" i="11"/>
  <c r="AC276" i="11"/>
  <c r="AB276" i="11"/>
  <c r="AF276" i="11"/>
  <c r="AG276" i="11"/>
  <c r="AE276" i="11"/>
  <c r="AF167" i="11"/>
  <c r="AG29" i="11"/>
  <c r="AF29" i="11"/>
  <c r="AE29" i="11"/>
  <c r="AC29" i="11"/>
  <c r="AB29" i="11"/>
  <c r="AG280" i="11"/>
  <c r="AF280" i="11"/>
  <c r="AE280" i="11"/>
  <c r="AB135" i="11"/>
  <c r="AC31"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AD138" i="11" s="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9" i="8"/>
  <c r="AQ169" i="8" s="1"/>
  <c r="AO188" i="8"/>
  <c r="AQ188" i="8" s="1"/>
  <c r="AR188" i="8" s="1"/>
  <c r="AB249" i="11"/>
  <c r="AL286" i="8"/>
  <c r="R160" i="11"/>
  <c r="AF249" i="11"/>
  <c r="Y188" i="8"/>
  <c r="Z188" i="8" s="1"/>
  <c r="AA188"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F278" i="8" l="1"/>
  <c r="Z30" i="8"/>
  <c r="AA30" i="8" s="1"/>
  <c r="AH30" i="8" s="1"/>
  <c r="AH160" i="8"/>
  <c r="AH284" i="8"/>
  <c r="AD88" i="8"/>
  <c r="AE88" i="8" s="1"/>
  <c r="S88" i="8"/>
  <c r="AC247" i="8"/>
  <c r="AE247" i="8" s="1"/>
  <c r="AF167" i="8"/>
  <c r="AJ167" i="8" s="1"/>
  <c r="S247" i="8"/>
  <c r="AC167" i="8"/>
  <c r="AE167" i="8" s="1"/>
  <c r="Z260" i="8"/>
  <c r="AA260" i="8" s="1"/>
  <c r="S258" i="8"/>
  <c r="AG88" i="8"/>
  <c r="Z163" i="8"/>
  <c r="AA163" i="8" s="1"/>
  <c r="AG163" i="8" s="1"/>
  <c r="AF247" i="8"/>
  <c r="AJ247" i="8" s="1"/>
  <c r="AT247" i="8" s="1"/>
  <c r="AD24" i="8"/>
  <c r="S24" i="8"/>
  <c r="R287" i="8"/>
  <c r="R293" i="8" s="1"/>
  <c r="AF19" i="8"/>
  <c r="AD41" i="8"/>
  <c r="S62" i="8"/>
  <c r="AH19" i="8"/>
  <c r="AJ19" i="8" s="1"/>
  <c r="AT19" i="8" s="1"/>
  <c r="AG48" i="8"/>
  <c r="AC44" i="8"/>
  <c r="S19" i="8"/>
  <c r="S41" i="8"/>
  <c r="AF48" i="8"/>
  <c r="AF44" i="8"/>
  <c r="S129" i="8"/>
  <c r="S285" i="8"/>
  <c r="AH41" i="8"/>
  <c r="S61" i="8"/>
  <c r="AF160" i="8"/>
  <c r="AJ160" i="8" s="1"/>
  <c r="AF41" i="8"/>
  <c r="Z171" i="8"/>
  <c r="AA171" i="8" s="1"/>
  <c r="AH171" i="8" s="1"/>
  <c r="S52" i="8"/>
  <c r="AG284" i="8"/>
  <c r="AG44" i="8"/>
  <c r="AJ44" i="8" s="1"/>
  <c r="AG18" i="8"/>
  <c r="S44" i="8"/>
  <c r="AG41" i="8"/>
  <c r="Z134" i="8"/>
  <c r="AA134" i="8" s="1"/>
  <c r="AD134" i="8" s="1"/>
  <c r="AF25" i="8"/>
  <c r="AD18" i="8"/>
  <c r="AH48" i="8"/>
  <c r="AJ48" i="8" s="1"/>
  <c r="AF284" i="8"/>
  <c r="AC48" i="8"/>
  <c r="AE48" i="8" s="1"/>
  <c r="AD44" i="8"/>
  <c r="AH39" i="8"/>
  <c r="AJ39" i="8" s="1"/>
  <c r="AT39" i="8" s="1"/>
  <c r="AC284" i="8"/>
  <c r="AE284" i="8" s="1"/>
  <c r="S18" i="8"/>
  <c r="Z66" i="8"/>
  <c r="AA66" i="8" s="1"/>
  <c r="AD66" i="8" s="1"/>
  <c r="AE70" i="8"/>
  <c r="AG75" i="8"/>
  <c r="AD36" i="8"/>
  <c r="AH156" i="8"/>
  <c r="AC139" i="8"/>
  <c r="Z133" i="8"/>
  <c r="AA133" i="8" s="1"/>
  <c r="AD133" i="8" s="1"/>
  <c r="AC75" i="8"/>
  <c r="AC161" i="8"/>
  <c r="AE161" i="8" s="1"/>
  <c r="AC156" i="8"/>
  <c r="AE156" i="8" s="1"/>
  <c r="AC243" i="8"/>
  <c r="AE243" i="8" s="1"/>
  <c r="AH67" i="8"/>
  <c r="AG156" i="8"/>
  <c r="AH36" i="8"/>
  <c r="AG139" i="8"/>
  <c r="AC36" i="8"/>
  <c r="AJ78" i="8"/>
  <c r="AJ85" i="8" s="1"/>
  <c r="AD75" i="8"/>
  <c r="AE75" i="8" s="1"/>
  <c r="AF156" i="8"/>
  <c r="AG243" i="8"/>
  <c r="AF36" i="8"/>
  <c r="AF75" i="8"/>
  <c r="Z51" i="8"/>
  <c r="AA51" i="8" s="1"/>
  <c r="AF51" i="8" s="1"/>
  <c r="AC25" i="8"/>
  <c r="AE25" i="8" s="1"/>
  <c r="AD279" i="8"/>
  <c r="AH25" i="8"/>
  <c r="AG25" i="8"/>
  <c r="AF159" i="8"/>
  <c r="AF279" i="8"/>
  <c r="AD159" i="8"/>
  <c r="S25" i="8"/>
  <c r="AG14" i="8"/>
  <c r="S178" i="8"/>
  <c r="AC278" i="8"/>
  <c r="AG170" i="8"/>
  <c r="AG278" i="8"/>
  <c r="AJ278" i="8" s="1"/>
  <c r="Z92" i="8"/>
  <c r="AA92" i="8" s="1"/>
  <c r="AH92" i="8" s="1"/>
  <c r="AF91" i="8"/>
  <c r="AG91" i="8"/>
  <c r="AT245" i="8"/>
  <c r="AD278" i="8"/>
  <c r="AC91" i="8"/>
  <c r="AE91" i="8" s="1"/>
  <c r="Z172" i="8"/>
  <c r="AA172" i="8" s="1"/>
  <c r="AF172" i="8" s="1"/>
  <c r="Z35" i="8"/>
  <c r="AA35" i="8" s="1"/>
  <c r="AC35" i="8" s="1"/>
  <c r="AH170" i="8"/>
  <c r="AG163" i="11"/>
  <c r="AB137" i="11"/>
  <c r="AD137" i="11" s="1"/>
  <c r="AG279" i="11"/>
  <c r="Z100" i="8"/>
  <c r="AA100" i="8" s="1"/>
  <c r="AC100" i="8" s="1"/>
  <c r="AC67" i="8"/>
  <c r="AE67" i="8" s="1"/>
  <c r="Z239" i="8"/>
  <c r="AA239" i="8" s="1"/>
  <c r="AC239" i="8" s="1"/>
  <c r="AD46" i="8"/>
  <c r="AJ276" i="8"/>
  <c r="AH279" i="8"/>
  <c r="Z197" i="8"/>
  <c r="AA197" i="8" s="1"/>
  <c r="AH197" i="8" s="1"/>
  <c r="AG67" i="8"/>
  <c r="AF67" i="8"/>
  <c r="AC49" i="8"/>
  <c r="AD89" i="8"/>
  <c r="AC279" i="8"/>
  <c r="AE279" i="8" s="1"/>
  <c r="AF56" i="8"/>
  <c r="AD170" i="8"/>
  <c r="AE170" i="8" s="1"/>
  <c r="AE173" i="8"/>
  <c r="S282" i="8"/>
  <c r="Z73" i="8"/>
  <c r="AA73" i="8" s="1"/>
  <c r="AD73" i="8" s="1"/>
  <c r="AG201" i="8"/>
  <c r="AC201" i="8"/>
  <c r="S200" i="8"/>
  <c r="AH264" i="8"/>
  <c r="AF62" i="8"/>
  <c r="AG62" i="8"/>
  <c r="AH68" i="8"/>
  <c r="AH155" i="8"/>
  <c r="AF155" i="8"/>
  <c r="AG136" i="11"/>
  <c r="AI232" i="11"/>
  <c r="AD121" i="11"/>
  <c r="AI81" i="11"/>
  <c r="AE147" i="11"/>
  <c r="AI147" i="11" s="1"/>
  <c r="AI153" i="11"/>
  <c r="AS153" i="11" s="1"/>
  <c r="AF200" i="8"/>
  <c r="AD200" i="8"/>
  <c r="AH178" i="8"/>
  <c r="AD155" i="8"/>
  <c r="AH161" i="8"/>
  <c r="AG261" i="8"/>
  <c r="AD195" i="8"/>
  <c r="AG89" i="8"/>
  <c r="AJ70" i="8"/>
  <c r="AH17" i="8"/>
  <c r="AC155" i="8"/>
  <c r="AG161" i="8"/>
  <c r="AC200" i="8"/>
  <c r="AC220" i="8"/>
  <c r="AJ145" i="8"/>
  <c r="AT145" i="8" s="1"/>
  <c r="AF203" i="8"/>
  <c r="AC237" i="8"/>
  <c r="AF239" i="8"/>
  <c r="AD178" i="8"/>
  <c r="AH89" i="8"/>
  <c r="AH195" i="8"/>
  <c r="AJ280" i="8"/>
  <c r="AE165" i="8"/>
  <c r="AF230" i="8"/>
  <c r="AJ18" i="8"/>
  <c r="AG171" i="8"/>
  <c r="S222" i="8"/>
  <c r="AE24" i="8"/>
  <c r="AJ196" i="8"/>
  <c r="AT196" i="8" s="1"/>
  <c r="AC89" i="8"/>
  <c r="AD139" i="8"/>
  <c r="AF105" i="8"/>
  <c r="AC275" i="8"/>
  <c r="AF243" i="8"/>
  <c r="AJ147" i="8"/>
  <c r="AT147" i="8" s="1"/>
  <c r="AG46" i="8"/>
  <c r="AG239" i="8"/>
  <c r="AC178" i="8"/>
  <c r="AG187" i="8"/>
  <c r="AF236" i="8"/>
  <c r="AF152" i="8"/>
  <c r="AC203" i="8"/>
  <c r="AE203" i="8" s="1"/>
  <c r="AC159" i="8"/>
  <c r="AG205" i="8"/>
  <c r="AF55" i="8"/>
  <c r="AJ40" i="8"/>
  <c r="AT40" i="8" s="1"/>
  <c r="AG43" i="8"/>
  <c r="AG68" i="8"/>
  <c r="AH203" i="8"/>
  <c r="AG178" i="8"/>
  <c r="AH159" i="8"/>
  <c r="AC56" i="8"/>
  <c r="AE56" i="8" s="1"/>
  <c r="AH243" i="8"/>
  <c r="AJ173" i="8"/>
  <c r="AF139" i="8"/>
  <c r="AJ190" i="8"/>
  <c r="AT190" i="8" s="1"/>
  <c r="AF205" i="8"/>
  <c r="AH55" i="8"/>
  <c r="AC55" i="8"/>
  <c r="AF163" i="11"/>
  <c r="AG125" i="8"/>
  <c r="AB149" i="11"/>
  <c r="AD149" i="11" s="1"/>
  <c r="AG149" i="11"/>
  <c r="AC163" i="11"/>
  <c r="AD163" i="11" s="1"/>
  <c r="AC125" i="8"/>
  <c r="AE125" i="8" s="1"/>
  <c r="S125" i="8"/>
  <c r="AE163" i="11"/>
  <c r="AI163" i="11" s="1"/>
  <c r="AF75" i="11"/>
  <c r="AS250" i="11"/>
  <c r="AI279" i="11"/>
  <c r="AE74" i="11"/>
  <c r="AB237" i="11"/>
  <c r="AG31" i="11"/>
  <c r="AC135" i="11"/>
  <c r="AE135" i="11"/>
  <c r="AD278" i="11"/>
  <c r="AD249" i="11"/>
  <c r="AE188" i="11"/>
  <c r="AG238" i="11"/>
  <c r="AB147" i="11"/>
  <c r="AG156" i="11"/>
  <c r="AD135" i="8"/>
  <c r="AF257" i="11"/>
  <c r="AE257" i="11"/>
  <c r="AB161" i="11"/>
  <c r="AF188" i="11"/>
  <c r="AB188" i="11"/>
  <c r="AD188" i="11" s="1"/>
  <c r="AG117" i="11"/>
  <c r="AF238" i="11"/>
  <c r="AC147" i="11"/>
  <c r="Z122" i="8"/>
  <c r="AA122" i="8" s="1"/>
  <c r="AH122" i="8" s="1"/>
  <c r="AG257" i="11"/>
  <c r="AG188" i="11"/>
  <c r="AG116" i="11"/>
  <c r="AC238" i="11"/>
  <c r="AC110" i="11"/>
  <c r="S135" i="8"/>
  <c r="AB257" i="11"/>
  <c r="AD257" i="11" s="1"/>
  <c r="AI160" i="11"/>
  <c r="AS160" i="11" s="1"/>
  <c r="AG135" i="11"/>
  <c r="AH125" i="8"/>
  <c r="AJ125" i="8" s="1"/>
  <c r="AH94" i="8"/>
  <c r="AG94" i="8"/>
  <c r="AF94" i="8"/>
  <c r="AE31" i="11"/>
  <c r="AI31" i="11" s="1"/>
  <c r="AS23" i="11"/>
  <c r="AE16" i="11"/>
  <c r="AI16" i="11" s="1"/>
  <c r="AB16" i="11"/>
  <c r="AF116" i="11"/>
  <c r="AE253" i="11"/>
  <c r="R116" i="11"/>
  <c r="AB31" i="11"/>
  <c r="AD31" i="11" s="1"/>
  <c r="AI278" i="11"/>
  <c r="AS278" i="11" s="1"/>
  <c r="AG237" i="11"/>
  <c r="AI89" i="11"/>
  <c r="AB116" i="11"/>
  <c r="AD116" i="11" s="1"/>
  <c r="AF253" i="11"/>
  <c r="AE141" i="11"/>
  <c r="AI274" i="11"/>
  <c r="AS274" i="11" s="1"/>
  <c r="AI155" i="11"/>
  <c r="AF117" i="11"/>
  <c r="AF110" i="11"/>
  <c r="AD141" i="11"/>
  <c r="AH127" i="8"/>
  <c r="AI261" i="11"/>
  <c r="AS261" i="11" s="1"/>
  <c r="AI265" i="11"/>
  <c r="AS265" i="11" s="1"/>
  <c r="AD270" i="11"/>
  <c r="AF149" i="11"/>
  <c r="AC53" i="8"/>
  <c r="AG236" i="8"/>
  <c r="AH241" i="8"/>
  <c r="AF195" i="8"/>
  <c r="AF65" i="8"/>
  <c r="AH65" i="8"/>
  <c r="AE44" i="8"/>
  <c r="AE219" i="8"/>
  <c r="AC195" i="8"/>
  <c r="AF231" i="8"/>
  <c r="AG72" i="8"/>
  <c r="AH236" i="8"/>
  <c r="AD141" i="8"/>
  <c r="AG135" i="8"/>
  <c r="AC135" i="8"/>
  <c r="AG253" i="11"/>
  <c r="AF135" i="8"/>
  <c r="AC187" i="8"/>
  <c r="AE187" i="8" s="1"/>
  <c r="Z104" i="8"/>
  <c r="AA104" i="8" s="1"/>
  <c r="AG104" i="8" s="1"/>
  <c r="S141" i="8"/>
  <c r="AD65" i="8"/>
  <c r="AE65" i="8" s="1"/>
  <c r="AF53" i="8"/>
  <c r="AG53" i="8"/>
  <c r="AD53" i="8"/>
  <c r="AD29" i="11"/>
  <c r="AI186" i="11"/>
  <c r="AS186" i="11" s="1"/>
  <c r="AD281" i="11"/>
  <c r="AI264" i="11"/>
  <c r="AS264" i="11" s="1"/>
  <c r="AI271" i="11"/>
  <c r="AD275" i="11"/>
  <c r="S23" i="8"/>
  <c r="Z16" i="8"/>
  <c r="AA16" i="8" s="1"/>
  <c r="AH16" i="8" s="1"/>
  <c r="AG220" i="8"/>
  <c r="AJ148" i="8"/>
  <c r="AT148" i="8" s="1"/>
  <c r="AJ24" i="8"/>
  <c r="AJ29" i="8"/>
  <c r="AC168" i="8"/>
  <c r="AF68" i="8"/>
  <c r="AF46" i="8"/>
  <c r="AC103" i="8"/>
  <c r="AE103" i="8" s="1"/>
  <c r="AC141" i="8"/>
  <c r="AG127" i="8"/>
  <c r="AC127" i="8"/>
  <c r="Z60" i="8"/>
  <c r="AA60" i="8" s="1"/>
  <c r="AG60" i="8" s="1"/>
  <c r="AJ58" i="8"/>
  <c r="AT58" i="8" s="1"/>
  <c r="AH56" i="8"/>
  <c r="AC46" i="8"/>
  <c r="X286" i="8"/>
  <c r="X292" i="8" s="1"/>
  <c r="AH103" i="8"/>
  <c r="AG141" i="8"/>
  <c r="AG56" i="8"/>
  <c r="S68" i="8"/>
  <c r="AD55" i="8"/>
  <c r="AE36" i="8"/>
  <c r="AC110" i="8"/>
  <c r="AF103" i="8"/>
  <c r="AG103" i="8"/>
  <c r="S103" i="8"/>
  <c r="S94" i="8"/>
  <c r="Z124" i="8"/>
  <c r="AA124" i="8" s="1"/>
  <c r="AH124" i="8" s="1"/>
  <c r="AF192" i="8"/>
  <c r="Z137" i="8"/>
  <c r="AA137" i="8" s="1"/>
  <c r="AC137" i="8" s="1"/>
  <c r="AE137" i="8" s="1"/>
  <c r="AI82" i="11"/>
  <c r="AI249" i="11"/>
  <c r="AI281" i="11"/>
  <c r="AC14" i="11"/>
  <c r="AG167" i="11"/>
  <c r="AI167" i="11" s="1"/>
  <c r="AG141" i="11"/>
  <c r="AB199" i="11"/>
  <c r="AD199" i="11" s="1"/>
  <c r="AD271" i="11"/>
  <c r="AC237" i="11"/>
  <c r="AD237" i="11" s="1"/>
  <c r="AI142" i="11"/>
  <c r="AE137" i="11"/>
  <c r="AG161" i="11"/>
  <c r="AI161" i="11" s="1"/>
  <c r="AF74" i="11"/>
  <c r="AD277" i="11"/>
  <c r="AD142" i="11"/>
  <c r="AG74" i="11"/>
  <c r="AB167" i="11"/>
  <c r="AF141" i="11"/>
  <c r="AI275" i="11"/>
  <c r="AI247" i="11"/>
  <c r="AS247" i="11" s="1"/>
  <c r="AG137" i="11"/>
  <c r="AF237" i="11"/>
  <c r="AD82" i="11"/>
  <c r="AI266" i="11"/>
  <c r="AS266" i="11" s="1"/>
  <c r="AI53" i="11"/>
  <c r="Y115" i="11"/>
  <c r="Z115" i="11" s="1"/>
  <c r="AF115" i="11" s="1"/>
  <c r="R115" i="11"/>
  <c r="AB14" i="11"/>
  <c r="AF14" i="11"/>
  <c r="AG14" i="11"/>
  <c r="AE117" i="11"/>
  <c r="AB117" i="11"/>
  <c r="AD117" i="11" s="1"/>
  <c r="AF156" i="11"/>
  <c r="AE156" i="11"/>
  <c r="AC156" i="11"/>
  <c r="AD156" i="11" s="1"/>
  <c r="S90" i="8"/>
  <c r="Z90" i="8"/>
  <c r="AA90" i="8" s="1"/>
  <c r="AG90" i="8" s="1"/>
  <c r="AH273" i="8"/>
  <c r="AG273" i="8"/>
  <c r="AD273" i="8"/>
  <c r="AE273" i="8" s="1"/>
  <c r="AF273" i="8"/>
  <c r="AH265" i="8"/>
  <c r="AF265" i="8"/>
  <c r="AG265" i="8"/>
  <c r="Z120" i="8"/>
  <c r="AA120" i="8" s="1"/>
  <c r="AG120" i="8" s="1"/>
  <c r="S120" i="8"/>
  <c r="AH242" i="8"/>
  <c r="AF242" i="8"/>
  <c r="AD242" i="8"/>
  <c r="AG120" i="11"/>
  <c r="AE120" i="11"/>
  <c r="AB120" i="11"/>
  <c r="AC120" i="11"/>
  <c r="AF120" i="11"/>
  <c r="AG166" i="11"/>
  <c r="AB166" i="11"/>
  <c r="AD166" i="11" s="1"/>
  <c r="AF166" i="11"/>
  <c r="AG24" i="11"/>
  <c r="AC24" i="11"/>
  <c r="AB24" i="11"/>
  <c r="AF24" i="11"/>
  <c r="AS239" i="11"/>
  <c r="AI235" i="11"/>
  <c r="AS235" i="11" s="1"/>
  <c r="AD90" i="11"/>
  <c r="AD74" i="11"/>
  <c r="AI262" i="11"/>
  <c r="AS262" i="11" s="1"/>
  <c r="AI121" i="11"/>
  <c r="AS121" i="11" s="1"/>
  <c r="AE110" i="11"/>
  <c r="AI110" i="11" s="1"/>
  <c r="AC167" i="11"/>
  <c r="AH141" i="8"/>
  <c r="Z97" i="8"/>
  <c r="AA97" i="8" s="1"/>
  <c r="AF97" i="8" s="1"/>
  <c r="AD127" i="8"/>
  <c r="AI254" i="11"/>
  <c r="AI93" i="11"/>
  <c r="AI229" i="11"/>
  <c r="AS229" i="11" s="1"/>
  <c r="AD279" i="11"/>
  <c r="AS279" i="11" s="1"/>
  <c r="AI230" i="11"/>
  <c r="AS230" i="11" s="1"/>
  <c r="AD155" i="11"/>
  <c r="AB238" i="11"/>
  <c r="AB110" i="11"/>
  <c r="AD110" i="11" s="1"/>
  <c r="Z113" i="8"/>
  <c r="AA113" i="8" s="1"/>
  <c r="AF113" i="8" s="1"/>
  <c r="S127" i="8"/>
  <c r="AD254" i="11"/>
  <c r="AD232" i="11"/>
  <c r="AF19" i="11"/>
  <c r="AI269" i="11"/>
  <c r="AS269" i="11" s="1"/>
  <c r="AC161" i="11"/>
  <c r="AI270" i="11"/>
  <c r="Y255" i="11"/>
  <c r="Z255" i="11" s="1"/>
  <c r="R255" i="11"/>
  <c r="AD62" i="11"/>
  <c r="AD109" i="11"/>
  <c r="AE75" i="11"/>
  <c r="AI75" i="11" s="1"/>
  <c r="AB75" i="11"/>
  <c r="AD75" i="11" s="1"/>
  <c r="AI277" i="11"/>
  <c r="R151" i="11"/>
  <c r="Y151" i="11"/>
  <c r="Z151" i="11" s="1"/>
  <c r="AE19" i="11"/>
  <c r="AC19" i="11"/>
  <c r="AD19" i="11" s="1"/>
  <c r="AD93" i="11"/>
  <c r="AI138" i="11"/>
  <c r="AS138" i="11" s="1"/>
  <c r="AS273" i="11"/>
  <c r="R205" i="11"/>
  <c r="Y205" i="11"/>
  <c r="Z205" i="11" s="1"/>
  <c r="AC53" i="11"/>
  <c r="AB53" i="11"/>
  <c r="AG242" i="8"/>
  <c r="AC242" i="8"/>
  <c r="AC265" i="8"/>
  <c r="AE265" i="8" s="1"/>
  <c r="AF23" i="8"/>
  <c r="AC255" i="8"/>
  <c r="AC117" i="8"/>
  <c r="S106" i="8"/>
  <c r="AH254" i="8"/>
  <c r="AC144" i="8"/>
  <c r="AH253" i="8"/>
  <c r="AG121" i="8"/>
  <c r="AJ272" i="8"/>
  <c r="AT272" i="8" s="1"/>
  <c r="AC244" i="8"/>
  <c r="Z212" i="8"/>
  <c r="AA212" i="8" s="1"/>
  <c r="AD212" i="8" s="1"/>
  <c r="AD255" i="8"/>
  <c r="AH255" i="8"/>
  <c r="AG192" i="8"/>
  <c r="AF27" i="8"/>
  <c r="Z111" i="8"/>
  <c r="AA111" i="8" s="1"/>
  <c r="Z98" i="8"/>
  <c r="AA98" i="8" s="1"/>
  <c r="AC98" i="8" s="1"/>
  <c r="AD123" i="8"/>
  <c r="AC157" i="8"/>
  <c r="S101" i="8"/>
  <c r="AG255" i="8"/>
  <c r="Z102" i="8"/>
  <c r="AA102" i="8" s="1"/>
  <c r="AF102" i="8" s="1"/>
  <c r="AF244" i="8"/>
  <c r="AH244" i="8"/>
  <c r="AD244" i="8"/>
  <c r="AJ158" i="8"/>
  <c r="AT158" i="8" s="1"/>
  <c r="AH164" i="8"/>
  <c r="AG164" i="8"/>
  <c r="Z99" i="8"/>
  <c r="AA99" i="8" s="1"/>
  <c r="AH99" i="8" s="1"/>
  <c r="Z128" i="8"/>
  <c r="AA128" i="8" s="1"/>
  <c r="AH128" i="8" s="1"/>
  <c r="AH246" i="8"/>
  <c r="AF220" i="8"/>
  <c r="AF117" i="8"/>
  <c r="S164" i="8"/>
  <c r="AG231" i="8"/>
  <c r="AJ165" i="8"/>
  <c r="AG38" i="8"/>
  <c r="AG230" i="8"/>
  <c r="AD220" i="8"/>
  <c r="AJ184" i="8"/>
  <c r="Z186" i="8"/>
  <c r="AA186" i="8" s="1"/>
  <c r="AF186" i="8" s="1"/>
  <c r="AE29" i="8"/>
  <c r="AJ64" i="8"/>
  <c r="S230" i="8"/>
  <c r="AC27" i="8"/>
  <c r="AE27" i="8" s="1"/>
  <c r="AG37" i="8"/>
  <c r="AF17" i="8"/>
  <c r="AD253" i="8"/>
  <c r="AD117" i="8"/>
  <c r="AH121" i="8"/>
  <c r="S27" i="8"/>
  <c r="AG254" i="8"/>
  <c r="AD114" i="8"/>
  <c r="AH27" i="8"/>
  <c r="AC254" i="8"/>
  <c r="AE254" i="8" s="1"/>
  <c r="AH157" i="8"/>
  <c r="Z126" i="8"/>
  <c r="AA126" i="8" s="1"/>
  <c r="AD62" i="8"/>
  <c r="AE74" i="8"/>
  <c r="Z248" i="8"/>
  <c r="AA248" i="8" s="1"/>
  <c r="AF248" i="8" s="1"/>
  <c r="Z283" i="8"/>
  <c r="AA283" i="8" s="1"/>
  <c r="AF283" i="8" s="1"/>
  <c r="AD230" i="8"/>
  <c r="AE230" i="8" s="1"/>
  <c r="AF238" i="8"/>
  <c r="AF38" i="8"/>
  <c r="Z207" i="8"/>
  <c r="AA207" i="8" s="1"/>
  <c r="AF207" i="8" s="1"/>
  <c r="S220" i="8"/>
  <c r="AH230" i="8"/>
  <c r="Z189" i="8"/>
  <c r="AA189" i="8" s="1"/>
  <c r="AJ21" i="8"/>
  <c r="AT21" i="8" s="1"/>
  <c r="AF182" i="8"/>
  <c r="AJ182" i="8" s="1"/>
  <c r="AC182" i="8"/>
  <c r="AE182" i="8" s="1"/>
  <c r="AC197" i="8"/>
  <c r="AE197" i="8" s="1"/>
  <c r="AC253" i="8"/>
  <c r="AD157" i="8"/>
  <c r="AG246" i="8"/>
  <c r="AG17" i="8"/>
  <c r="AG253" i="8"/>
  <c r="AH117" i="8"/>
  <c r="S117" i="8"/>
  <c r="AF121" i="8"/>
  <c r="AF254" i="8"/>
  <c r="AG157" i="8"/>
  <c r="Z174" i="8"/>
  <c r="AA174" i="8" s="1"/>
  <c r="AH174" i="8" s="1"/>
  <c r="AC62" i="8"/>
  <c r="AC38" i="8"/>
  <c r="AE38" i="8" s="1"/>
  <c r="AC17" i="8"/>
  <c r="AE17" i="8" s="1"/>
  <c r="Z50" i="8"/>
  <c r="AA50" i="8" s="1"/>
  <c r="AC50" i="8" s="1"/>
  <c r="AD158" i="11"/>
  <c r="AD135" i="11"/>
  <c r="AD164" i="11"/>
  <c r="Y139" i="11"/>
  <c r="Z139" i="11" s="1"/>
  <c r="R139" i="11"/>
  <c r="Y150" i="11"/>
  <c r="Z150" i="11" s="1"/>
  <c r="R150" i="11"/>
  <c r="AE199" i="11"/>
  <c r="AG199" i="11"/>
  <c r="AI272" i="11"/>
  <c r="AS272" i="11" s="1"/>
  <c r="AI158" i="11"/>
  <c r="AD276" i="11"/>
  <c r="AI148" i="11"/>
  <c r="AI95" i="11"/>
  <c r="AS95" i="11" s="1"/>
  <c r="AI90" i="11"/>
  <c r="AI227" i="11"/>
  <c r="Y169" i="11"/>
  <c r="Z169" i="11" s="1"/>
  <c r="R169" i="11"/>
  <c r="Y152" i="11"/>
  <c r="Z152" i="11" s="1"/>
  <c r="R152" i="11"/>
  <c r="AF171" i="11"/>
  <c r="AG171" i="11"/>
  <c r="AE171" i="11"/>
  <c r="AB171" i="11"/>
  <c r="AD171" i="11" s="1"/>
  <c r="AI143" i="11"/>
  <c r="AS143" i="11" s="1"/>
  <c r="AD28" i="11"/>
  <c r="AS28" i="11" s="1"/>
  <c r="Z100" i="11"/>
  <c r="Z287" i="11" s="1"/>
  <c r="Z31" i="8"/>
  <c r="AA31" i="8" s="1"/>
  <c r="S31" i="8"/>
  <c r="R85" i="11"/>
  <c r="Y85" i="11"/>
  <c r="Z85" i="11" s="1"/>
  <c r="R172" i="11"/>
  <c r="Y172" i="11"/>
  <c r="Z172" i="11" s="1"/>
  <c r="AC136" i="11"/>
  <c r="AD136" i="11" s="1"/>
  <c r="AF136" i="11"/>
  <c r="AE136" i="11"/>
  <c r="AI99" i="11"/>
  <c r="AS99" i="11" s="1"/>
  <c r="AI268" i="11"/>
  <c r="AS268" i="11" s="1"/>
  <c r="AG107" i="11"/>
  <c r="AC107" i="11"/>
  <c r="AE107" i="11"/>
  <c r="AB107" i="11"/>
  <c r="AF107" i="11"/>
  <c r="Y63" i="11"/>
  <c r="Z63" i="11" s="1"/>
  <c r="R63" i="11"/>
  <c r="Y86" i="11"/>
  <c r="Z86" i="11" s="1"/>
  <c r="R86" i="11"/>
  <c r="AF30" i="11"/>
  <c r="AB30" i="11"/>
  <c r="AG30" i="11"/>
  <c r="AC30" i="11"/>
  <c r="AE30" i="11"/>
  <c r="AH116" i="8"/>
  <c r="AF116" i="8"/>
  <c r="Z142" i="8"/>
  <c r="AA142" i="8" s="1"/>
  <c r="AH142" i="8" s="1"/>
  <c r="Z107" i="8"/>
  <c r="AA107" i="8" s="1"/>
  <c r="AH107" i="8" s="1"/>
  <c r="AG168" i="8"/>
  <c r="AD168" i="8"/>
  <c r="AC192" i="8"/>
  <c r="S116" i="8"/>
  <c r="AG123" i="8"/>
  <c r="Z109" i="8"/>
  <c r="AA109" i="8" s="1"/>
  <c r="AG109" i="8" s="1"/>
  <c r="AD144" i="8"/>
  <c r="AF168" i="8"/>
  <c r="AD192" i="8"/>
  <c r="Z138" i="8"/>
  <c r="AA138" i="8" s="1"/>
  <c r="AH138" i="8" s="1"/>
  <c r="AH114" i="8"/>
  <c r="S114" i="8"/>
  <c r="AG144" i="8"/>
  <c r="AF144" i="8"/>
  <c r="AJ14" i="8"/>
  <c r="AC105" i="8"/>
  <c r="AD105" i="8"/>
  <c r="AG110" i="8"/>
  <c r="AD110" i="8"/>
  <c r="Y76" i="8"/>
  <c r="Y290" i="8" s="1"/>
  <c r="S185" i="8"/>
  <c r="AD241" i="8"/>
  <c r="Z93" i="8"/>
  <c r="AA93" i="8" s="1"/>
  <c r="AF93" i="8" s="1"/>
  <c r="AG241" i="8"/>
  <c r="AF123" i="8"/>
  <c r="AJ123" i="8" s="1"/>
  <c r="S123" i="8"/>
  <c r="AC114" i="8"/>
  <c r="AF37" i="8"/>
  <c r="AC261" i="8"/>
  <c r="AF164" i="8"/>
  <c r="AD237" i="8"/>
  <c r="AD238" i="8"/>
  <c r="S270" i="8"/>
  <c r="S257" i="8"/>
  <c r="Z257" i="8"/>
  <c r="AA257" i="8" s="1"/>
  <c r="Z33" i="8"/>
  <c r="AA33" i="8" s="1"/>
  <c r="S33" i="8"/>
  <c r="AH222" i="8"/>
  <c r="AF222" i="8"/>
  <c r="AC222" i="8"/>
  <c r="AD222" i="8"/>
  <c r="AG222" i="8"/>
  <c r="AJ34" i="8"/>
  <c r="AJ219" i="8"/>
  <c r="AD261" i="8"/>
  <c r="AC164" i="8"/>
  <c r="AC238" i="8"/>
  <c r="AF237" i="8"/>
  <c r="AH110" i="8"/>
  <c r="AC241" i="8"/>
  <c r="AD28" i="8"/>
  <c r="S110" i="8"/>
  <c r="AC123" i="8"/>
  <c r="S251" i="8"/>
  <c r="S166" i="8"/>
  <c r="AH237" i="8"/>
  <c r="V290" i="8"/>
  <c r="V293" i="8" s="1"/>
  <c r="AE41" i="8"/>
  <c r="AE34" i="8"/>
  <c r="AH261" i="8"/>
  <c r="AE280" i="8"/>
  <c r="AD164" i="8"/>
  <c r="AH105" i="8"/>
  <c r="AH238" i="8"/>
  <c r="AG200" i="8"/>
  <c r="AH72" i="8"/>
  <c r="AC205" i="8"/>
  <c r="AE205" i="8" s="1"/>
  <c r="Z209" i="8"/>
  <c r="AA209" i="8" s="1"/>
  <c r="AF209" i="8" s="1"/>
  <c r="Z229" i="8"/>
  <c r="AA229" i="8" s="1"/>
  <c r="AD229" i="8" s="1"/>
  <c r="S205" i="8"/>
  <c r="AE14" i="8"/>
  <c r="S250" i="8"/>
  <c r="AJ269" i="8"/>
  <c r="AJ143" i="8"/>
  <c r="AT143" i="8" s="1"/>
  <c r="AC68" i="8"/>
  <c r="AE68" i="8" s="1"/>
  <c r="AF201" i="8"/>
  <c r="AD201" i="8"/>
  <c r="S201" i="8"/>
  <c r="AG275" i="8"/>
  <c r="AD275" i="8"/>
  <c r="AH275" i="8"/>
  <c r="AH42" i="8"/>
  <c r="AD42" i="8"/>
  <c r="AC42" i="8"/>
  <c r="AG42" i="8"/>
  <c r="AF42" i="8"/>
  <c r="S42" i="8"/>
  <c r="AD231" i="8"/>
  <c r="AC231" i="8"/>
  <c r="AF54" i="8"/>
  <c r="AG54" i="8"/>
  <c r="AD54" i="8"/>
  <c r="Z225" i="8"/>
  <c r="AA225" i="8" s="1"/>
  <c r="AH225" i="8" s="1"/>
  <c r="S153" i="8"/>
  <c r="Z208" i="8"/>
  <c r="AA208" i="8" s="1"/>
  <c r="AE269" i="8"/>
  <c r="AH54" i="8"/>
  <c r="AC54" i="8"/>
  <c r="Z69" i="8"/>
  <c r="AA69" i="8" s="1"/>
  <c r="S183" i="8"/>
  <c r="AH187" i="8"/>
  <c r="AF187" i="8"/>
  <c r="AC181" i="8"/>
  <c r="AG181" i="8"/>
  <c r="AD181" i="8"/>
  <c r="AF181" i="8"/>
  <c r="AH181" i="8"/>
  <c r="AE271" i="8"/>
  <c r="AE160" i="8"/>
  <c r="S175" i="8"/>
  <c r="S181" i="8"/>
  <c r="AE64" i="8"/>
  <c r="AJ235" i="8"/>
  <c r="AT235" i="8" s="1"/>
  <c r="S214" i="8"/>
  <c r="Z176" i="8"/>
  <c r="AA176" i="8" s="1"/>
  <c r="S262" i="8"/>
  <c r="S211" i="8"/>
  <c r="Z199" i="8"/>
  <c r="AA199" i="8" s="1"/>
  <c r="S226" i="8"/>
  <c r="Z226" i="8"/>
  <c r="AA226" i="8" s="1"/>
  <c r="AH37" i="8"/>
  <c r="AD37" i="8"/>
  <c r="AE37" i="8" s="1"/>
  <c r="Z233" i="8"/>
  <c r="AA233" i="8" s="1"/>
  <c r="AD233" i="8" s="1"/>
  <c r="Z151" i="8"/>
  <c r="AA151" i="8" s="1"/>
  <c r="S264" i="8"/>
  <c r="AE184" i="8"/>
  <c r="AD72" i="8"/>
  <c r="AE72" i="8" s="1"/>
  <c r="AF72" i="8"/>
  <c r="AC270" i="8"/>
  <c r="AD270" i="8"/>
  <c r="AF270" i="8"/>
  <c r="AH270" i="8"/>
  <c r="AG270" i="8"/>
  <c r="AF175" i="8"/>
  <c r="AH175" i="8"/>
  <c r="AG175" i="8"/>
  <c r="AC175" i="8"/>
  <c r="AD175" i="8"/>
  <c r="AF268" i="8"/>
  <c r="AC268" i="8"/>
  <c r="AH268" i="8"/>
  <c r="AG268" i="8"/>
  <c r="AD268" i="8"/>
  <c r="AG221" i="8"/>
  <c r="AD221" i="8"/>
  <c r="AH221" i="8"/>
  <c r="AC221" i="8"/>
  <c r="AF221" i="8"/>
  <c r="AC266" i="8"/>
  <c r="AH266" i="8"/>
  <c r="AG266" i="8"/>
  <c r="AF266" i="8"/>
  <c r="AD266" i="8"/>
  <c r="AE266" i="8" s="1"/>
  <c r="AC153" i="8"/>
  <c r="AG153" i="8"/>
  <c r="AD153" i="8"/>
  <c r="AF153" i="8"/>
  <c r="AH153" i="8"/>
  <c r="AD274" i="8"/>
  <c r="Z223" i="8"/>
  <c r="AA223" i="8" s="1"/>
  <c r="AH223" i="8" s="1"/>
  <c r="S194" i="8"/>
  <c r="S136" i="8"/>
  <c r="Z202" i="8"/>
  <c r="AA202" i="8" s="1"/>
  <c r="AH202" i="8" s="1"/>
  <c r="S227" i="8"/>
  <c r="Z227" i="8"/>
  <c r="AA227" i="8" s="1"/>
  <c r="AC171" i="8"/>
  <c r="AF171" i="8"/>
  <c r="AD171" i="8"/>
  <c r="Z132" i="8"/>
  <c r="AA132" i="8" s="1"/>
  <c r="S132" i="8"/>
  <c r="AH183" i="8"/>
  <c r="AC183" i="8"/>
  <c r="AE183" i="8" s="1"/>
  <c r="AF183" i="8"/>
  <c r="AG183" i="8"/>
  <c r="AG130" i="8"/>
  <c r="AH130" i="8"/>
  <c r="AC130" i="8"/>
  <c r="AD130" i="8"/>
  <c r="AF130" i="8"/>
  <c r="Z215" i="8"/>
  <c r="AA215" i="8" s="1"/>
  <c r="S215" i="8"/>
  <c r="S266" i="8"/>
  <c r="S237" i="8"/>
  <c r="S268" i="8"/>
  <c r="AG262" i="8"/>
  <c r="AF262" i="8"/>
  <c r="AD262" i="8"/>
  <c r="AH262" i="8"/>
  <c r="AC262" i="8"/>
  <c r="AF260" i="8"/>
  <c r="AC260" i="8"/>
  <c r="AG260" i="8"/>
  <c r="AD260" i="8"/>
  <c r="AH260" i="8"/>
  <c r="S221" i="8"/>
  <c r="AC251" i="8"/>
  <c r="AG251" i="8"/>
  <c r="AF251" i="8"/>
  <c r="AD251" i="8"/>
  <c r="AH251" i="8"/>
  <c r="AH282" i="8"/>
  <c r="AD282" i="8"/>
  <c r="AF282" i="8"/>
  <c r="AC282" i="8"/>
  <c r="AG282" i="8"/>
  <c r="S146" i="8"/>
  <c r="Z146" i="8"/>
  <c r="AA146" i="8" s="1"/>
  <c r="AD246" i="8"/>
  <c r="AC246" i="8"/>
  <c r="Z140" i="8"/>
  <c r="AA140" i="8" s="1"/>
  <c r="S140" i="8"/>
  <c r="AH152" i="8"/>
  <c r="AC152" i="8"/>
  <c r="AE152" i="8" s="1"/>
  <c r="AF210" i="8"/>
  <c r="AC210" i="8"/>
  <c r="AG210" i="8"/>
  <c r="AH210" i="8"/>
  <c r="AD210" i="8"/>
  <c r="AH250" i="8"/>
  <c r="AF250" i="8"/>
  <c r="AC250" i="8"/>
  <c r="AE250" i="8" s="1"/>
  <c r="AG250" i="8"/>
  <c r="AE45" i="8"/>
  <c r="Z249" i="8"/>
  <c r="AA249" i="8" s="1"/>
  <c r="AC249" i="8" s="1"/>
  <c r="AE249" i="8" s="1"/>
  <c r="AJ74" i="8"/>
  <c r="S112" i="8"/>
  <c r="Z112" i="8"/>
  <c r="AA112" i="8" s="1"/>
  <c r="AF214" i="8"/>
  <c r="AD214" i="8"/>
  <c r="AG214" i="8"/>
  <c r="AH214" i="8"/>
  <c r="AC214" i="8"/>
  <c r="S246" i="8"/>
  <c r="Z85" i="8"/>
  <c r="Z291" i="8" s="1"/>
  <c r="AA162" i="8"/>
  <c r="AJ149" i="8"/>
  <c r="AT149" i="8" s="1"/>
  <c r="AJ71" i="8"/>
  <c r="AT71" i="8" s="1"/>
  <c r="AC57" i="8"/>
  <c r="AD57" i="8"/>
  <c r="AH57" i="8"/>
  <c r="AF57" i="8"/>
  <c r="AG57" i="8"/>
  <c r="Z267" i="8"/>
  <c r="AA267" i="8" s="1"/>
  <c r="AF211" i="8"/>
  <c r="AG211" i="8"/>
  <c r="AH211" i="8"/>
  <c r="AG264" i="8"/>
  <c r="AC264" i="8"/>
  <c r="AE264" i="8" s="1"/>
  <c r="AF264" i="8"/>
  <c r="S218" i="8"/>
  <c r="S206" i="8"/>
  <c r="Z206" i="8"/>
  <c r="AA206" i="8" s="1"/>
  <c r="AH256" i="8"/>
  <c r="AC256" i="8"/>
  <c r="AG256" i="8"/>
  <c r="AD256" i="8"/>
  <c r="AF256" i="8"/>
  <c r="Z177" i="8"/>
  <c r="AA177" i="8" s="1"/>
  <c r="S177" i="8"/>
  <c r="Z115" i="8"/>
  <c r="AA115" i="8" s="1"/>
  <c r="S115" i="8"/>
  <c r="Z131" i="8"/>
  <c r="AA131" i="8" s="1"/>
  <c r="S131" i="8"/>
  <c r="AF154" i="8"/>
  <c r="AC154" i="8"/>
  <c r="AD154" i="8"/>
  <c r="AG154" i="8"/>
  <c r="AH154" i="8"/>
  <c r="AC43" i="8"/>
  <c r="AF43" i="8"/>
  <c r="AD43" i="8"/>
  <c r="AH240" i="8"/>
  <c r="AC240" i="8"/>
  <c r="AD240" i="8"/>
  <c r="AF240" i="8"/>
  <c r="AG240" i="8"/>
  <c r="AC52" i="8"/>
  <c r="AD52" i="8"/>
  <c r="AF52" i="8"/>
  <c r="AH52" i="8"/>
  <c r="AG52" i="8"/>
  <c r="AG116" i="8"/>
  <c r="AC274" i="8"/>
  <c r="Z119" i="8"/>
  <c r="AA119" i="8" s="1"/>
  <c r="AC119" i="8" s="1"/>
  <c r="AE119" i="8" s="1"/>
  <c r="AF129" i="8"/>
  <c r="AF274" i="8"/>
  <c r="AG274" i="8"/>
  <c r="AH95" i="8"/>
  <c r="S95" i="8"/>
  <c r="Z108" i="8"/>
  <c r="AA108" i="8" s="1"/>
  <c r="AC129" i="8"/>
  <c r="AF30" i="8"/>
  <c r="AG95" i="8"/>
  <c r="AD95" i="8"/>
  <c r="AE95" i="8" s="1"/>
  <c r="AG217" i="8"/>
  <c r="AF217" i="8"/>
  <c r="AH217" i="8"/>
  <c r="AD217" i="8"/>
  <c r="AC217" i="8"/>
  <c r="AD194" i="8"/>
  <c r="AG194" i="8"/>
  <c r="AH194" i="8"/>
  <c r="AF194" i="8"/>
  <c r="AC194" i="8"/>
  <c r="AE194" i="8" s="1"/>
  <c r="AE26" i="8"/>
  <c r="AJ45" i="8"/>
  <c r="AF95" i="8"/>
  <c r="S193" i="8"/>
  <c r="Z193" i="8"/>
  <c r="AA193" i="8" s="1"/>
  <c r="AF218" i="8"/>
  <c r="AG218" i="8"/>
  <c r="AC218" i="8"/>
  <c r="AD218" i="8"/>
  <c r="AH218" i="8"/>
  <c r="S228" i="8"/>
  <c r="Z228" i="8"/>
  <c r="AA228" i="8" s="1"/>
  <c r="Z179" i="8"/>
  <c r="AA179" i="8" s="1"/>
  <c r="Z232" i="8"/>
  <c r="AA232" i="8" s="1"/>
  <c r="AE211" i="8"/>
  <c r="AD49" i="8"/>
  <c r="AE49" i="8" s="1"/>
  <c r="AF49" i="8"/>
  <c r="AH49" i="8"/>
  <c r="AG197" i="8"/>
  <c r="AF197" i="8"/>
  <c r="AE18" i="8"/>
  <c r="AJ15" i="8"/>
  <c r="AT15" i="8" s="1"/>
  <c r="AJ259" i="8"/>
  <c r="AT259" i="8" s="1"/>
  <c r="AH263" i="8"/>
  <c r="AF263" i="8"/>
  <c r="AC263" i="8"/>
  <c r="AG263" i="8"/>
  <c r="AD263" i="8"/>
  <c r="AQ85" i="8"/>
  <c r="AQ291" i="8" s="1"/>
  <c r="AR162" i="8"/>
  <c r="AR85" i="8" s="1"/>
  <c r="AR291" i="8" s="1"/>
  <c r="W292" i="8"/>
  <c r="W287" i="8"/>
  <c r="W293" i="8" s="1"/>
  <c r="S217" i="8"/>
  <c r="AF204" i="8"/>
  <c r="AG204" i="8"/>
  <c r="AH204" i="8"/>
  <c r="AC204" i="8"/>
  <c r="AE204" i="8" s="1"/>
  <c r="AF136" i="8"/>
  <c r="AG136" i="8"/>
  <c r="AC136" i="8"/>
  <c r="AH136" i="8"/>
  <c r="AD136" i="8"/>
  <c r="Z213" i="8"/>
  <c r="AA213" i="8" s="1"/>
  <c r="S213" i="8"/>
  <c r="AG35" i="8"/>
  <c r="AH20" i="8"/>
  <c r="AF114" i="8"/>
  <c r="AG166" i="8"/>
  <c r="AC166" i="8"/>
  <c r="AE166" i="8" s="1"/>
  <c r="AH166" i="8"/>
  <c r="AF166" i="8"/>
  <c r="Z234" i="8"/>
  <c r="AA234" i="8" s="1"/>
  <c r="AG285" i="8"/>
  <c r="AD285" i="8"/>
  <c r="AC285" i="8"/>
  <c r="AH285" i="8"/>
  <c r="AF285" i="8"/>
  <c r="AE276" i="8"/>
  <c r="AH172" i="8"/>
  <c r="AG172" i="8"/>
  <c r="AC61" i="8"/>
  <c r="AF61" i="8"/>
  <c r="AG61" i="8"/>
  <c r="AD61" i="8"/>
  <c r="AH61" i="8"/>
  <c r="AC59" i="8"/>
  <c r="AF59" i="8"/>
  <c r="AH59" i="8"/>
  <c r="AG59" i="8"/>
  <c r="AD59" i="8"/>
  <c r="S224" i="8"/>
  <c r="Z224" i="8"/>
  <c r="AA224" i="8" s="1"/>
  <c r="Z180" i="8"/>
  <c r="AA180" i="8" s="1"/>
  <c r="S180" i="8"/>
  <c r="AD185" i="8"/>
  <c r="AE185" i="8" s="1"/>
  <c r="AG185" i="8"/>
  <c r="AF185" i="8"/>
  <c r="AH185" i="8"/>
  <c r="AD225" i="8"/>
  <c r="S198" i="8"/>
  <c r="Z198" i="8"/>
  <c r="AA198" i="8" s="1"/>
  <c r="AG216" i="8"/>
  <c r="AH216" i="8"/>
  <c r="AF216" i="8"/>
  <c r="AC216" i="8"/>
  <c r="AE216"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AD16" i="11"/>
  <c r="Y267" i="11"/>
  <c r="Z267" i="11" s="1"/>
  <c r="R267" i="11"/>
  <c r="AS81" i="11"/>
  <c r="AE84" i="11"/>
  <c r="AC84" i="11"/>
  <c r="AB84" i="11"/>
  <c r="AG84" i="11"/>
  <c r="AC28" i="8"/>
  <c r="AJ191" i="8"/>
  <c r="AT191" i="8" s="1"/>
  <c r="AG23" i="8"/>
  <c r="AH28" i="8"/>
  <c r="AG28" i="8"/>
  <c r="AH23" i="8"/>
  <c r="AD23" i="8"/>
  <c r="AE23" i="8" s="1"/>
  <c r="AE281" i="8"/>
  <c r="AE277" i="8"/>
  <c r="AG30" i="8"/>
  <c r="AC30" i="8"/>
  <c r="AE30" i="8" s="1"/>
  <c r="AD129" i="8"/>
  <c r="AG129" i="8"/>
  <c r="AD116" i="8"/>
  <c r="AC116" i="8"/>
  <c r="AC94" i="8"/>
  <c r="AJ88" i="8"/>
  <c r="AH134" i="8"/>
  <c r="AJ277" i="8"/>
  <c r="S118" i="8"/>
  <c r="Z118" i="8"/>
  <c r="AA118" i="8" s="1"/>
  <c r="AC106" i="8"/>
  <c r="AE106" i="8" s="1"/>
  <c r="AG106" i="8"/>
  <c r="AH106" i="8"/>
  <c r="AF106" i="8"/>
  <c r="AJ271" i="8"/>
  <c r="AG32" i="8"/>
  <c r="AD32" i="8"/>
  <c r="AF32" i="8"/>
  <c r="AH32" i="8"/>
  <c r="AC32" i="8"/>
  <c r="U290" i="8"/>
  <c r="AC20" i="8"/>
  <c r="AE20" i="8" s="1"/>
  <c r="AQ20" i="8"/>
  <c r="AO76" i="8"/>
  <c r="AO290" i="8"/>
  <c r="AG20" i="8"/>
  <c r="AG252" i="8"/>
  <c r="AD252" i="8"/>
  <c r="AC252" i="8"/>
  <c r="AF252" i="8"/>
  <c r="AH252"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9" i="8"/>
  <c r="AG169" i="8"/>
  <c r="AH169" i="8"/>
  <c r="AD169" i="8"/>
  <c r="AF169"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8" i="8"/>
  <c r="Y286" i="8"/>
  <c r="AR169" i="8"/>
  <c r="AQ286" i="8"/>
  <c r="AE56" i="11"/>
  <c r="AI56" i="11" s="1"/>
  <c r="AF56" i="11"/>
  <c r="AB56" i="11"/>
  <c r="AD56" i="11" s="1"/>
  <c r="AS56" i="11" s="1"/>
  <c r="AC56" i="11"/>
  <c r="AG56" i="11"/>
  <c r="AG223" i="11"/>
  <c r="AF223" i="11"/>
  <c r="AC223" i="11"/>
  <c r="AB223" i="11"/>
  <c r="AD223" i="11"/>
  <c r="AS223" i="11" s="1"/>
  <c r="AE223" i="11"/>
  <c r="AI223" i="11" s="1"/>
  <c r="Z114" i="11"/>
  <c r="AA101" i="8"/>
  <c r="Z15" i="11"/>
  <c r="AI39" i="11"/>
  <c r="AS39" i="11" s="1"/>
  <c r="AI77" i="11"/>
  <c r="AS77" i="11" s="1"/>
  <c r="AI48" i="11"/>
  <c r="AS48" i="11" s="1"/>
  <c r="AI33" i="11"/>
  <c r="AS33" i="11" s="1"/>
  <c r="AI54" i="11"/>
  <c r="AS54" i="11" s="1"/>
  <c r="AI37" i="11"/>
  <c r="AS37" i="11" s="1"/>
  <c r="AI280" i="11"/>
  <c r="AS280"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8" i="8"/>
  <c r="AF188" i="8"/>
  <c r="AC188" i="8"/>
  <c r="AE188" i="8" s="1"/>
  <c r="AG188"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T88" i="8" l="1"/>
  <c r="AD163" i="8"/>
  <c r="AH163" i="8"/>
  <c r="AC133" i="8"/>
  <c r="AE133" i="8" s="1"/>
  <c r="AF163" i="8"/>
  <c r="AJ163" i="8" s="1"/>
  <c r="AC163" i="8"/>
  <c r="AT167" i="8"/>
  <c r="AT48" i="8"/>
  <c r="AF134" i="8"/>
  <c r="AD51" i="8"/>
  <c r="AE127" i="8"/>
  <c r="AJ41" i="8"/>
  <c r="AT41" i="8" s="1"/>
  <c r="AJ156" i="8"/>
  <c r="AG134" i="8"/>
  <c r="AE178" i="8"/>
  <c r="AJ284" i="8"/>
  <c r="AT284" i="8" s="1"/>
  <c r="AC134" i="8"/>
  <c r="AH51" i="8"/>
  <c r="AF92" i="8"/>
  <c r="AG248" i="8"/>
  <c r="AG66" i="8"/>
  <c r="AF66" i="8"/>
  <c r="AJ159" i="8"/>
  <c r="AD35" i="8"/>
  <c r="AJ261" i="8"/>
  <c r="AT78" i="8"/>
  <c r="AT85" i="8" s="1"/>
  <c r="AJ36" i="8"/>
  <c r="AJ25" i="8"/>
  <c r="AT25" i="8" s="1"/>
  <c r="AD239" i="8"/>
  <c r="AE239" i="8" s="1"/>
  <c r="AT70" i="8"/>
  <c r="AC172" i="8"/>
  <c r="AE172" i="8" s="1"/>
  <c r="AE159" i="8"/>
  <c r="AH133" i="8"/>
  <c r="AE278" i="8"/>
  <c r="AJ75" i="8"/>
  <c r="AT75" i="8" s="1"/>
  <c r="AT29" i="8"/>
  <c r="AG133" i="8"/>
  <c r="AJ243" i="8"/>
  <c r="AT243" i="8" s="1"/>
  <c r="AH66" i="8"/>
  <c r="AC66" i="8"/>
  <c r="AE66" i="8" s="1"/>
  <c r="AF133" i="8"/>
  <c r="AJ133" i="8" s="1"/>
  <c r="AT133" i="8" s="1"/>
  <c r="AG51" i="8"/>
  <c r="AJ51" i="8" s="1"/>
  <c r="AE220" i="8"/>
  <c r="AJ171" i="8"/>
  <c r="AT280" i="8"/>
  <c r="AC51" i="8"/>
  <c r="AE51" i="8" s="1"/>
  <c r="AT51" i="8" s="1"/>
  <c r="AJ139" i="8"/>
  <c r="AG92" i="8"/>
  <c r="AT156" i="8"/>
  <c r="AC92" i="8"/>
  <c r="AD92" i="8"/>
  <c r="AH209" i="8"/>
  <c r="AJ209" i="8" s="1"/>
  <c r="AJ201" i="8"/>
  <c r="AE139" i="8"/>
  <c r="AT139" i="8" s="1"/>
  <c r="AG209" i="8"/>
  <c r="AJ279" i="8"/>
  <c r="AT279" i="8" s="1"/>
  <c r="AH239" i="8"/>
  <c r="AJ239" i="8" s="1"/>
  <c r="AE201" i="8"/>
  <c r="AJ91" i="8"/>
  <c r="AT91" i="8" s="1"/>
  <c r="AJ62" i="8"/>
  <c r="AG249" i="8"/>
  <c r="AJ241" i="8"/>
  <c r="AJ236" i="8"/>
  <c r="AT236" i="8" s="1"/>
  <c r="AJ43" i="8"/>
  <c r="AE237" i="8"/>
  <c r="AT36" i="8"/>
  <c r="AJ178" i="8"/>
  <c r="AT178" i="8" s="1"/>
  <c r="AE89" i="8"/>
  <c r="AJ67" i="8"/>
  <c r="AT67" i="8" s="1"/>
  <c r="AJ155" i="8"/>
  <c r="AF35" i="8"/>
  <c r="AC73" i="8"/>
  <c r="AE73" i="8" s="1"/>
  <c r="AJ170" i="8"/>
  <c r="AT170" i="8" s="1"/>
  <c r="AH35" i="8"/>
  <c r="AF73" i="8"/>
  <c r="AH283" i="8"/>
  <c r="AF100" i="8"/>
  <c r="AG100" i="8"/>
  <c r="AD100" i="8"/>
  <c r="AE100" i="8" s="1"/>
  <c r="AS232" i="11"/>
  <c r="AH100" i="8"/>
  <c r="AJ161" i="8"/>
  <c r="AT161" i="8" s="1"/>
  <c r="AT18" i="8"/>
  <c r="AF174" i="8"/>
  <c r="AJ89" i="8"/>
  <c r="AT44" i="8"/>
  <c r="AJ203" i="8"/>
  <c r="AT203" i="8" s="1"/>
  <c r="AG207" i="8"/>
  <c r="AH73" i="8"/>
  <c r="AG73" i="8"/>
  <c r="AJ221" i="8"/>
  <c r="AJ246" i="8"/>
  <c r="AJ244" i="8"/>
  <c r="AE46" i="8"/>
  <c r="AJ205" i="8"/>
  <c r="AT205" i="8" s="1"/>
  <c r="AT276" i="8"/>
  <c r="AJ53" i="8"/>
  <c r="AJ200" i="8"/>
  <c r="AT173" i="8"/>
  <c r="AE200" i="8"/>
  <c r="AE163" i="8"/>
  <c r="AJ195" i="8"/>
  <c r="AC207" i="8"/>
  <c r="AH207" i="8"/>
  <c r="AD207" i="8"/>
  <c r="AD60" i="8"/>
  <c r="AC60" i="8"/>
  <c r="AJ42" i="8"/>
  <c r="AE155" i="8"/>
  <c r="AI237" i="11"/>
  <c r="AS237" i="11" s="1"/>
  <c r="AI257" i="11"/>
  <c r="AS257" i="11" s="1"/>
  <c r="AS163" i="11"/>
  <c r="AT271" i="8"/>
  <c r="AF202" i="8"/>
  <c r="AJ152" i="8"/>
  <c r="AT152" i="8" s="1"/>
  <c r="AE260" i="8"/>
  <c r="AE262" i="8"/>
  <c r="AD186" i="8"/>
  <c r="AT165" i="8"/>
  <c r="AT24" i="8"/>
  <c r="AE195" i="8"/>
  <c r="AC174" i="8"/>
  <c r="AF223" i="8"/>
  <c r="AT125" i="8"/>
  <c r="AR286" i="8"/>
  <c r="AR292" i="8" s="1"/>
  <c r="AH186" i="8"/>
  <c r="AJ105" i="8"/>
  <c r="AH229" i="8"/>
  <c r="AJ220" i="8"/>
  <c r="AT220" i="8" s="1"/>
  <c r="AJ46" i="8"/>
  <c r="AJ230" i="8"/>
  <c r="AT230" i="8" s="1"/>
  <c r="AJ231" i="8"/>
  <c r="AJ55" i="8"/>
  <c r="AH60" i="8"/>
  <c r="AF60" i="8"/>
  <c r="AG174" i="8"/>
  <c r="AC186" i="8"/>
  <c r="AC229" i="8"/>
  <c r="AE229" i="8" s="1"/>
  <c r="AE275" i="8"/>
  <c r="AE244" i="8"/>
  <c r="AE53" i="8"/>
  <c r="AJ65" i="8"/>
  <c r="AT65" i="8" s="1"/>
  <c r="AC248" i="8"/>
  <c r="AE164" i="8"/>
  <c r="AG202" i="8"/>
  <c r="AF225" i="8"/>
  <c r="AD174" i="8"/>
  <c r="AF233" i="8"/>
  <c r="AH248" i="8"/>
  <c r="AG186" i="8"/>
  <c r="AJ275" i="8"/>
  <c r="AT14" i="8"/>
  <c r="AJ238" i="8"/>
  <c r="AJ237" i="8"/>
  <c r="AT237" i="8" s="1"/>
  <c r="AE62" i="8"/>
  <c r="AJ164" i="8"/>
  <c r="AE55" i="8"/>
  <c r="AJ68" i="8"/>
  <c r="AT68" i="8" s="1"/>
  <c r="AI170" i="11"/>
  <c r="AG122" i="8"/>
  <c r="AS277" i="11"/>
  <c r="AD238" i="11"/>
  <c r="AJ135" i="8"/>
  <c r="AI116" i="11"/>
  <c r="AH104" i="8"/>
  <c r="AF122" i="8"/>
  <c r="AS275" i="11"/>
  <c r="AI149" i="11"/>
  <c r="AS149" i="11" s="1"/>
  <c r="AI135" i="11"/>
  <c r="AS135" i="11" s="1"/>
  <c r="AI14" i="11"/>
  <c r="AD196" i="11"/>
  <c r="AD167" i="11"/>
  <c r="AI188" i="11"/>
  <c r="AS188" i="11" s="1"/>
  <c r="AS276" i="11"/>
  <c r="AD161" i="11"/>
  <c r="AS161" i="11" s="1"/>
  <c r="AS254" i="11"/>
  <c r="AS249" i="11"/>
  <c r="AJ127" i="8"/>
  <c r="AE135" i="8"/>
  <c r="AT135" i="8" s="1"/>
  <c r="AI117" i="11"/>
  <c r="AS117" i="11" s="1"/>
  <c r="AD147" i="11"/>
  <c r="AS147" i="11" s="1"/>
  <c r="AI238" i="11"/>
  <c r="AD14" i="11"/>
  <c r="AD122" i="8"/>
  <c r="AC122" i="8"/>
  <c r="AS281" i="11"/>
  <c r="AI253" i="11"/>
  <c r="AS253" i="11" s="1"/>
  <c r="AS82" i="11"/>
  <c r="AS271" i="11"/>
  <c r="AE141" i="8"/>
  <c r="AC16" i="8"/>
  <c r="AF104" i="8"/>
  <c r="AF124" i="8"/>
  <c r="AD16" i="8"/>
  <c r="AD104" i="8"/>
  <c r="AC104" i="8"/>
  <c r="AS227" i="11"/>
  <c r="AB115" i="11"/>
  <c r="AS29" i="11"/>
  <c r="AI19" i="11"/>
  <c r="AS19" i="11" s="1"/>
  <c r="AS270" i="11"/>
  <c r="AI74" i="11"/>
  <c r="AS74" i="11" s="1"/>
  <c r="AS155" i="11"/>
  <c r="AI24" i="11"/>
  <c r="AD120" i="11"/>
  <c r="AI141" i="11"/>
  <c r="AS141" i="11" s="1"/>
  <c r="AS142" i="11"/>
  <c r="AI137" i="11"/>
  <c r="AS137" i="11" s="1"/>
  <c r="AJ222" i="8"/>
  <c r="AF249" i="8"/>
  <c r="AC209" i="8"/>
  <c r="AG283" i="8"/>
  <c r="AD248" i="8"/>
  <c r="AE238" i="8"/>
  <c r="AT182" i="8"/>
  <c r="AH249" i="8"/>
  <c r="AD209" i="8"/>
  <c r="AJ197" i="8"/>
  <c r="AT197" i="8" s="1"/>
  <c r="AT45" i="8"/>
  <c r="AC283" i="8"/>
  <c r="AE283" i="8" s="1"/>
  <c r="AJ266" i="8"/>
  <c r="AT266" i="8" s="1"/>
  <c r="AJ181" i="8"/>
  <c r="AE231" i="8"/>
  <c r="AT219" i="8"/>
  <c r="AF16" i="8"/>
  <c r="AG16" i="8"/>
  <c r="AC113" i="8"/>
  <c r="AE113" i="8" s="1"/>
  <c r="AS75" i="11"/>
  <c r="AI120" i="11"/>
  <c r="AC225" i="8"/>
  <c r="AE225" i="8" s="1"/>
  <c r="AG225" i="8"/>
  <c r="AJ192" i="8"/>
  <c r="AH90" i="8"/>
  <c r="AJ56" i="8"/>
  <c r="AT56" i="8" s="1"/>
  <c r="AH137" i="8"/>
  <c r="AJ141" i="8"/>
  <c r="AI156" i="11"/>
  <c r="AS156" i="11" s="1"/>
  <c r="AD259" i="11"/>
  <c r="AD108" i="11"/>
  <c r="AI199" i="11"/>
  <c r="AS199" i="11" s="1"/>
  <c r="AJ103" i="8"/>
  <c r="AT103" i="8" s="1"/>
  <c r="AG124" i="8"/>
  <c r="AH50" i="8"/>
  <c r="AC124" i="8"/>
  <c r="AE124" i="8" s="1"/>
  <c r="AH120" i="8"/>
  <c r="AC90" i="8"/>
  <c r="AT74" i="8"/>
  <c r="AF50" i="8"/>
  <c r="AE110" i="8"/>
  <c r="AC120" i="8"/>
  <c r="AE120" i="8" s="1"/>
  <c r="AT34" i="8"/>
  <c r="AE168" i="8"/>
  <c r="AJ38" i="8"/>
  <c r="AT38" i="8" s="1"/>
  <c r="AJ17" i="8"/>
  <c r="AT17" i="8" s="1"/>
  <c r="AT160" i="8"/>
  <c r="AE255" i="8"/>
  <c r="AJ27" i="8"/>
  <c r="AT27" i="8" s="1"/>
  <c r="AG97" i="8"/>
  <c r="AG99" i="8"/>
  <c r="AF137" i="8"/>
  <c r="AG137" i="8"/>
  <c r="AJ242" i="8"/>
  <c r="AH113" i="8"/>
  <c r="AS109" i="11"/>
  <c r="AS90" i="11"/>
  <c r="AC97" i="8"/>
  <c r="R87" i="11"/>
  <c r="R286" i="11" s="1"/>
  <c r="R289" i="11" s="1"/>
  <c r="AS31" i="11"/>
  <c r="AG113" i="8"/>
  <c r="AF120" i="8"/>
  <c r="AF90" i="8"/>
  <c r="AS148" i="11"/>
  <c r="AD159" i="11"/>
  <c r="AS62" i="11"/>
  <c r="AI196" i="11"/>
  <c r="AC115" i="11"/>
  <c r="AI108" i="11"/>
  <c r="AE123" i="8"/>
  <c r="AT123" i="8" s="1"/>
  <c r="AE114" i="8"/>
  <c r="AE242" i="8"/>
  <c r="AG115" i="11"/>
  <c r="AC100" i="11"/>
  <c r="AC287" i="11" s="1"/>
  <c r="AB100" i="11"/>
  <c r="AB287" i="11" s="1"/>
  <c r="AF100" i="11"/>
  <c r="AF287" i="11" s="1"/>
  <c r="AC99" i="8"/>
  <c r="AE99" i="8" s="1"/>
  <c r="AE115" i="11"/>
  <c r="AS164" i="11"/>
  <c r="AD90" i="8"/>
  <c r="AS93" i="11"/>
  <c r="AI166" i="11"/>
  <c r="AS166" i="11" s="1"/>
  <c r="AJ265" i="8"/>
  <c r="AT265" i="8" s="1"/>
  <c r="AJ273" i="8"/>
  <c r="AT273" i="8" s="1"/>
  <c r="AS167" i="11"/>
  <c r="Y282" i="11"/>
  <c r="Y288" i="11" s="1"/>
  <c r="R282" i="11"/>
  <c r="AH97" i="8"/>
  <c r="AF255" i="11"/>
  <c r="AC255" i="11"/>
  <c r="AE255" i="11"/>
  <c r="AB255" i="11"/>
  <c r="AG255" i="11"/>
  <c r="AD97" i="8"/>
  <c r="AD107" i="11"/>
  <c r="AG100" i="11"/>
  <c r="AG287" i="11" s="1"/>
  <c r="AD84" i="11"/>
  <c r="AD53" i="11"/>
  <c r="AS53" i="11" s="1"/>
  <c r="AD24" i="11"/>
  <c r="AS24" i="11" s="1"/>
  <c r="AC151" i="11"/>
  <c r="AG151" i="11"/>
  <c r="AF151" i="11"/>
  <c r="AE151" i="11"/>
  <c r="AB151" i="11"/>
  <c r="AD151" i="11" s="1"/>
  <c r="AD145" i="11"/>
  <c r="AS145" i="11" s="1"/>
  <c r="AI165" i="11"/>
  <c r="AI171" i="11"/>
  <c r="AS171" i="11" s="1"/>
  <c r="AI145" i="11"/>
  <c r="AD30" i="11"/>
  <c r="AF205" i="11"/>
  <c r="AC205" i="11"/>
  <c r="AE205" i="11"/>
  <c r="AB205" i="11"/>
  <c r="AG205" i="11"/>
  <c r="AE253" i="8"/>
  <c r="AJ168" i="8"/>
  <c r="AH109" i="8"/>
  <c r="AJ254" i="8"/>
  <c r="AT254" i="8" s="1"/>
  <c r="AJ253" i="8"/>
  <c r="AE192" i="8"/>
  <c r="AE117" i="8"/>
  <c r="AJ116" i="8"/>
  <c r="S76" i="8"/>
  <c r="S290" i="8" s="1"/>
  <c r="S293" i="8" s="1"/>
  <c r="AE157" i="8"/>
  <c r="AD128" i="8"/>
  <c r="AG102" i="8"/>
  <c r="AE144" i="8"/>
  <c r="AF99" i="8"/>
  <c r="AJ255" i="8"/>
  <c r="AJ129" i="8"/>
  <c r="AC102" i="8"/>
  <c r="AE102" i="8" s="1"/>
  <c r="AC109" i="8"/>
  <c r="AH102" i="8"/>
  <c r="AF109" i="8"/>
  <c r="AE274" i="8"/>
  <c r="AC212" i="8"/>
  <c r="AE212" i="8" s="1"/>
  <c r="AH212" i="8"/>
  <c r="AF212" i="8"/>
  <c r="AG212" i="8"/>
  <c r="AF111" i="8"/>
  <c r="AG111" i="8"/>
  <c r="AD107" i="8"/>
  <c r="AD138" i="8"/>
  <c r="AG126" i="8"/>
  <c r="AC126" i="8"/>
  <c r="AE126" i="8" s="1"/>
  <c r="AD98" i="8"/>
  <c r="AE98" i="8" s="1"/>
  <c r="AG98" i="8"/>
  <c r="AH126" i="8"/>
  <c r="AH98" i="8"/>
  <c r="AH111" i="8"/>
  <c r="AF107" i="8"/>
  <c r="AE28" i="8"/>
  <c r="AF98" i="8"/>
  <c r="AD109" i="8"/>
  <c r="AF126" i="8"/>
  <c r="AJ157" i="8"/>
  <c r="AJ117" i="8"/>
  <c r="AJ121" i="8"/>
  <c r="AT121" i="8" s="1"/>
  <c r="AC111" i="8"/>
  <c r="AE111" i="8" s="1"/>
  <c r="AC202" i="8"/>
  <c r="AE61" i="8"/>
  <c r="AC223" i="8"/>
  <c r="AD223" i="8"/>
  <c r="AD50" i="8"/>
  <c r="AE50" i="8" s="1"/>
  <c r="AT184" i="8"/>
  <c r="AE222" i="8"/>
  <c r="AA76" i="8"/>
  <c r="AA290" i="8" s="1"/>
  <c r="AJ30" i="8"/>
  <c r="AT30" i="8" s="1"/>
  <c r="AD202" i="8"/>
  <c r="AJ114" i="8"/>
  <c r="AG223" i="8"/>
  <c r="AG50" i="8"/>
  <c r="AT269" i="8"/>
  <c r="AF189" i="8"/>
  <c r="AC189" i="8"/>
  <c r="AE189" i="8" s="1"/>
  <c r="AG189" i="8"/>
  <c r="AH189" i="8"/>
  <c r="Z76" i="8"/>
  <c r="Z290" i="8" s="1"/>
  <c r="AC128" i="8"/>
  <c r="AG128" i="8"/>
  <c r="AJ172" i="8"/>
  <c r="AT172" i="8" s="1"/>
  <c r="AF128" i="8"/>
  <c r="AT64" i="8"/>
  <c r="AE181" i="8"/>
  <c r="AE54" i="8"/>
  <c r="AE261" i="8"/>
  <c r="AT261" i="8" s="1"/>
  <c r="AE105" i="8"/>
  <c r="AT105" i="8" s="1"/>
  <c r="AS187" i="11"/>
  <c r="AG86" i="11"/>
  <c r="AF86" i="11"/>
  <c r="AB86" i="11"/>
  <c r="AE86" i="11"/>
  <c r="AC86" i="11"/>
  <c r="AI136" i="11"/>
  <c r="AS136" i="11" s="1"/>
  <c r="AG31" i="8"/>
  <c r="AC31" i="8"/>
  <c r="AH31" i="8"/>
  <c r="AD31" i="8"/>
  <c r="AF31" i="8"/>
  <c r="AG150" i="11"/>
  <c r="AE150" i="11"/>
  <c r="AB150" i="11"/>
  <c r="AD150" i="11" s="1"/>
  <c r="AF150" i="11"/>
  <c r="AS158" i="11"/>
  <c r="AD157" i="11"/>
  <c r="AJ110"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4" i="8"/>
  <c r="AF142" i="8"/>
  <c r="AG107" i="8"/>
  <c r="AE129" i="8"/>
  <c r="AF138" i="8"/>
  <c r="AG93" i="8"/>
  <c r="AE241" i="8"/>
  <c r="AD142" i="8"/>
  <c r="AC142" i="8"/>
  <c r="AG142" i="8"/>
  <c r="AC107" i="8"/>
  <c r="AH93" i="8"/>
  <c r="AG138" i="8"/>
  <c r="AC138" i="8"/>
  <c r="AJ20" i="8"/>
  <c r="AE218" i="8"/>
  <c r="AH233" i="8"/>
  <c r="AE154" i="8"/>
  <c r="AF229" i="8"/>
  <c r="AG229" i="8"/>
  <c r="AG233" i="8"/>
  <c r="AC233" i="8"/>
  <c r="AE233" i="8" s="1"/>
  <c r="AJ72" i="8"/>
  <c r="AT72" i="8" s="1"/>
  <c r="AD33" i="8"/>
  <c r="AC33" i="8"/>
  <c r="AH33" i="8"/>
  <c r="AG33" i="8"/>
  <c r="AF33" i="8"/>
  <c r="S286" i="8"/>
  <c r="AJ57" i="8"/>
  <c r="AE251" i="8"/>
  <c r="AJ37" i="8"/>
  <c r="AT37" i="8" s="1"/>
  <c r="AJ187" i="8"/>
  <c r="AT187" i="8" s="1"/>
  <c r="AD257" i="8"/>
  <c r="AF257" i="8"/>
  <c r="AG257" i="8"/>
  <c r="AC257" i="8"/>
  <c r="AH257" i="8"/>
  <c r="AD93" i="8"/>
  <c r="AC93" i="8"/>
  <c r="AE171" i="8"/>
  <c r="AE270" i="8"/>
  <c r="AG69" i="8"/>
  <c r="AC69" i="8"/>
  <c r="AH69" i="8"/>
  <c r="AF69" i="8"/>
  <c r="AD69" i="8"/>
  <c r="AE42" i="8"/>
  <c r="AE282" i="8"/>
  <c r="AJ251" i="8"/>
  <c r="AH208" i="8"/>
  <c r="AG208" i="8"/>
  <c r="AC208" i="8"/>
  <c r="AE208" i="8" s="1"/>
  <c r="AF208" i="8"/>
  <c r="AJ217" i="8"/>
  <c r="AE210" i="8"/>
  <c r="AE221" i="8"/>
  <c r="AE268" i="8"/>
  <c r="AJ268" i="8"/>
  <c r="AJ54" i="8"/>
  <c r="AJ264" i="8"/>
  <c r="AT264" i="8" s="1"/>
  <c r="AE153" i="8"/>
  <c r="AJ49" i="8"/>
  <c r="AT49" i="8" s="1"/>
  <c r="AE256" i="8"/>
  <c r="AE246" i="8"/>
  <c r="AF151" i="8"/>
  <c r="AC151" i="8"/>
  <c r="AH151" i="8"/>
  <c r="AG151" i="8"/>
  <c r="AD151" i="8"/>
  <c r="AH199" i="8"/>
  <c r="AG199" i="8"/>
  <c r="AF199" i="8"/>
  <c r="AD199" i="8"/>
  <c r="AC199" i="8"/>
  <c r="AG176" i="8"/>
  <c r="AH176" i="8"/>
  <c r="AF176" i="8"/>
  <c r="AC176" i="8"/>
  <c r="AD176" i="8"/>
  <c r="AE59" i="8"/>
  <c r="AH226" i="8"/>
  <c r="AG226" i="8"/>
  <c r="AF226" i="8"/>
  <c r="AC226" i="8"/>
  <c r="AD226" i="8"/>
  <c r="AJ188" i="8"/>
  <c r="AT188" i="8" s="1"/>
  <c r="AE136" i="8"/>
  <c r="AE169" i="8"/>
  <c r="AJ185" i="8"/>
  <c r="AT185" i="8" s="1"/>
  <c r="AJ274" i="8"/>
  <c r="AJ52" i="8"/>
  <c r="AJ240" i="8"/>
  <c r="AE57" i="8"/>
  <c r="AE214" i="8"/>
  <c r="AJ214" i="8"/>
  <c r="AD140" i="8"/>
  <c r="AG140" i="8"/>
  <c r="AH140" i="8"/>
  <c r="AF140" i="8"/>
  <c r="AC140" i="8"/>
  <c r="AE140" i="8" s="1"/>
  <c r="AJ262" i="8"/>
  <c r="AT262" i="8" s="1"/>
  <c r="AE130" i="8"/>
  <c r="AF132" i="8"/>
  <c r="AG132" i="8"/>
  <c r="AC132" i="8"/>
  <c r="AD132" i="8"/>
  <c r="AH132" i="8"/>
  <c r="AH227" i="8"/>
  <c r="AG227" i="8"/>
  <c r="AC227" i="8"/>
  <c r="AD227" i="8"/>
  <c r="AF227" i="8"/>
  <c r="AJ153" i="8"/>
  <c r="AE175" i="8"/>
  <c r="AJ175" i="8"/>
  <c r="AJ270" i="8"/>
  <c r="AF131" i="8"/>
  <c r="AG131" i="8"/>
  <c r="AH131" i="8"/>
  <c r="AC131" i="8"/>
  <c r="AD131" i="8"/>
  <c r="AD177" i="8"/>
  <c r="AH177" i="8"/>
  <c r="AG177" i="8"/>
  <c r="AF177" i="8"/>
  <c r="AC177" i="8"/>
  <c r="AE177" i="8" s="1"/>
  <c r="AF162" i="8"/>
  <c r="AA85" i="8"/>
  <c r="AA291" i="8" s="1"/>
  <c r="AC162" i="8"/>
  <c r="AH162" i="8"/>
  <c r="AH85" i="8" s="1"/>
  <c r="AH291" i="8" s="1"/>
  <c r="AG162" i="8"/>
  <c r="AG85" i="8" s="1"/>
  <c r="AG291" i="8" s="1"/>
  <c r="AC112" i="8"/>
  <c r="AD112" i="8"/>
  <c r="AH112" i="8"/>
  <c r="AG112" i="8"/>
  <c r="AF112" i="8"/>
  <c r="AG146" i="8"/>
  <c r="AH146" i="8"/>
  <c r="AF146" i="8"/>
  <c r="AC146" i="8"/>
  <c r="AD146" i="8"/>
  <c r="AC215" i="8"/>
  <c r="AG215" i="8"/>
  <c r="AD215" i="8"/>
  <c r="AH215" i="8"/>
  <c r="AF215" i="8"/>
  <c r="AE285" i="8"/>
  <c r="AJ166" i="8"/>
  <c r="AT166" i="8" s="1"/>
  <c r="AE52" i="8"/>
  <c r="AE240" i="8"/>
  <c r="AE43" i="8"/>
  <c r="AT43" i="8" s="1"/>
  <c r="AJ154" i="8"/>
  <c r="AJ256" i="8"/>
  <c r="AJ211" i="8"/>
  <c r="AT211" i="8" s="1"/>
  <c r="AJ282" i="8"/>
  <c r="AJ260" i="8"/>
  <c r="AJ130" i="8"/>
  <c r="AJ183" i="8"/>
  <c r="AT183" i="8" s="1"/>
  <c r="AJ218" i="8"/>
  <c r="AG115" i="8"/>
  <c r="AD115" i="8"/>
  <c r="AH115" i="8"/>
  <c r="AF115" i="8"/>
  <c r="AC115" i="8"/>
  <c r="AF206" i="8"/>
  <c r="AH206" i="8"/>
  <c r="AG206" i="8"/>
  <c r="AD206" i="8"/>
  <c r="AC206" i="8"/>
  <c r="AC267" i="8"/>
  <c r="AE267" i="8" s="1"/>
  <c r="AH267" i="8"/>
  <c r="AF267" i="8"/>
  <c r="AG267" i="8"/>
  <c r="AJ250" i="8"/>
  <c r="AT250" i="8" s="1"/>
  <c r="AJ210" i="8"/>
  <c r="AT26" i="8"/>
  <c r="AF119" i="8"/>
  <c r="Z286" i="8"/>
  <c r="Z292" i="8" s="1"/>
  <c r="AH119" i="8"/>
  <c r="AT281" i="8"/>
  <c r="AG119" i="8"/>
  <c r="AJ95" i="8"/>
  <c r="AT95" i="8" s="1"/>
  <c r="AD108" i="8"/>
  <c r="AH108" i="8"/>
  <c r="AG108" i="8"/>
  <c r="AC108" i="8"/>
  <c r="AF108" i="8"/>
  <c r="AE63" i="8"/>
  <c r="AE252" i="8"/>
  <c r="AJ216" i="8"/>
  <c r="AT216" i="8" s="1"/>
  <c r="AG198" i="8"/>
  <c r="AD198" i="8"/>
  <c r="AH198" i="8"/>
  <c r="AF198" i="8"/>
  <c r="AC198" i="8"/>
  <c r="AH224" i="8"/>
  <c r="AC224" i="8"/>
  <c r="AG224" i="8"/>
  <c r="AF224" i="8"/>
  <c r="AD224" i="8"/>
  <c r="AF234" i="8"/>
  <c r="AC234" i="8"/>
  <c r="AD234" i="8"/>
  <c r="AH234" i="8"/>
  <c r="AG234" i="8"/>
  <c r="AE35" i="8"/>
  <c r="AC213" i="8"/>
  <c r="AG213" i="8"/>
  <c r="AD213" i="8"/>
  <c r="AF213" i="8"/>
  <c r="AH213" i="8"/>
  <c r="AD228" i="8"/>
  <c r="AG228" i="8"/>
  <c r="AH228" i="8"/>
  <c r="AC228" i="8"/>
  <c r="AF228" i="8"/>
  <c r="AG193" i="8"/>
  <c r="AH193" i="8"/>
  <c r="AD193" i="8"/>
  <c r="AF193" i="8"/>
  <c r="AC193" i="8"/>
  <c r="AE263" i="8"/>
  <c r="AH232" i="8"/>
  <c r="AC232" i="8"/>
  <c r="AD232" i="8"/>
  <c r="AG232" i="8"/>
  <c r="AF232" i="8"/>
  <c r="AE32" i="8"/>
  <c r="AT278" i="8"/>
  <c r="AJ258" i="8"/>
  <c r="AT258" i="8" s="1"/>
  <c r="AJ59" i="8"/>
  <c r="AJ285" i="8"/>
  <c r="AJ136" i="8"/>
  <c r="AJ263" i="8"/>
  <c r="AJ194" i="8"/>
  <c r="AT194" i="8" s="1"/>
  <c r="AE217" i="8"/>
  <c r="AT217" i="8" s="1"/>
  <c r="AF180" i="8"/>
  <c r="AH180" i="8"/>
  <c r="AD180" i="8"/>
  <c r="AC180" i="8"/>
  <c r="AG180" i="8"/>
  <c r="AJ61" i="8"/>
  <c r="AJ204" i="8"/>
  <c r="AT204" i="8" s="1"/>
  <c r="AG179" i="8"/>
  <c r="AH179" i="8"/>
  <c r="AF179" i="8"/>
  <c r="AC179" i="8"/>
  <c r="AD179" i="8"/>
  <c r="AD91" i="11"/>
  <c r="AE134" i="8"/>
  <c r="AJ28" i="8"/>
  <c r="AI84" i="11"/>
  <c r="AS16" i="11"/>
  <c r="AF200" i="11"/>
  <c r="AE200" i="11"/>
  <c r="AC200" i="11"/>
  <c r="AB200" i="11"/>
  <c r="AG200" i="11"/>
  <c r="AB192" i="11"/>
  <c r="AC192" i="11"/>
  <c r="AF192" i="11"/>
  <c r="AE192" i="11"/>
  <c r="AG192" i="11"/>
  <c r="AC47" i="11"/>
  <c r="AB47" i="11"/>
  <c r="AG47" i="11"/>
  <c r="AF47" i="11"/>
  <c r="AE47" i="11"/>
  <c r="AD165" i="11"/>
  <c r="AD92" i="11"/>
  <c r="AT277" i="8"/>
  <c r="AJ23" i="8"/>
  <c r="AT23" i="8" s="1"/>
  <c r="AD170" i="11"/>
  <c r="AS170" i="11" s="1"/>
  <c r="AI18" i="11"/>
  <c r="AC140" i="11"/>
  <c r="AE140" i="11"/>
  <c r="AF140" i="11"/>
  <c r="AG140" i="11"/>
  <c r="AB140" i="11"/>
  <c r="AD140" i="11" s="1"/>
  <c r="AE267" i="11"/>
  <c r="AG267" i="11"/>
  <c r="AF267" i="11"/>
  <c r="AB267" i="11"/>
  <c r="AD267" i="11" s="1"/>
  <c r="AI159" i="11"/>
  <c r="AE94" i="8"/>
  <c r="AJ94" i="8"/>
  <c r="AJ106" i="8"/>
  <c r="AT106" i="8" s="1"/>
  <c r="AE116" i="8"/>
  <c r="AH118" i="8"/>
  <c r="AG118" i="8"/>
  <c r="AF118" i="8"/>
  <c r="AD118" i="8"/>
  <c r="AC118" i="8"/>
  <c r="AJ32" i="8"/>
  <c r="AR20" i="8"/>
  <c r="AR76" i="8" s="1"/>
  <c r="AR290" i="8" s="1"/>
  <c r="AQ76" i="8"/>
  <c r="AQ290" i="8"/>
  <c r="AJ252" i="8"/>
  <c r="AI91" i="11"/>
  <c r="AE100" i="11"/>
  <c r="AE287" i="11" s="1"/>
  <c r="AG101" i="8"/>
  <c r="AH101" i="8"/>
  <c r="AF101" i="8"/>
  <c r="AC101" i="8"/>
  <c r="AE101" i="8" s="1"/>
  <c r="AA286" i="8"/>
  <c r="AA292" i="8" s="1"/>
  <c r="AI130" i="11"/>
  <c r="AS130" i="11" s="1"/>
  <c r="AI224" i="11"/>
  <c r="AS224" i="11" s="1"/>
  <c r="AI256" i="11"/>
  <c r="AI203" i="11"/>
  <c r="AS203" i="11" s="1"/>
  <c r="AI212" i="11"/>
  <c r="AS212" i="11" s="1"/>
  <c r="AI204" i="11"/>
  <c r="AS204" i="11" s="1"/>
  <c r="AI66" i="11"/>
  <c r="AS66" i="11" s="1"/>
  <c r="Y87" i="11"/>
  <c r="AQ282" i="11"/>
  <c r="AQ288" i="11" s="1"/>
  <c r="AS116" i="11"/>
  <c r="AI94" i="11"/>
  <c r="AI73" i="11"/>
  <c r="AI64" i="11"/>
  <c r="AI32" i="11"/>
  <c r="AS32" i="11" s="1"/>
  <c r="AJ169"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S110" i="11"/>
  <c r="AI241" i="11"/>
  <c r="AS241" i="11" s="1"/>
  <c r="AS211" i="11"/>
  <c r="AJ63" i="8"/>
  <c r="AT127" i="8" l="1"/>
  <c r="AJ134" i="8"/>
  <c r="AJ92" i="8"/>
  <c r="AT159" i="8"/>
  <c r="AT239" i="8"/>
  <c r="AJ248" i="8"/>
  <c r="AT241" i="8"/>
  <c r="AT89" i="8"/>
  <c r="AT201" i="8"/>
  <c r="AJ66" i="8"/>
  <c r="AT246" i="8"/>
  <c r="AT171" i="8"/>
  <c r="AT155" i="8"/>
  <c r="AT221" i="8"/>
  <c r="AE207" i="8"/>
  <c r="AE60" i="8"/>
  <c r="AT275" i="8"/>
  <c r="AT66" i="8"/>
  <c r="AT53" i="8"/>
  <c r="AT222" i="8"/>
  <c r="AT62" i="8"/>
  <c r="AT163" i="8"/>
  <c r="AE92" i="8"/>
  <c r="AT92" i="8" s="1"/>
  <c r="AJ283" i="8"/>
  <c r="AT283" i="8" s="1"/>
  <c r="AJ223" i="8"/>
  <c r="AT238" i="8"/>
  <c r="AT46" i="8"/>
  <c r="AE174" i="8"/>
  <c r="AJ100" i="8"/>
  <c r="AT100" i="8" s="1"/>
  <c r="AJ73" i="8"/>
  <c r="AT73" i="8" s="1"/>
  <c r="AJ35" i="8"/>
  <c r="AT35" i="8" s="1"/>
  <c r="AT244" i="8"/>
  <c r="AE186" i="8"/>
  <c r="AJ60" i="8"/>
  <c r="AJ249" i="8"/>
  <c r="AT249" i="8" s="1"/>
  <c r="AJ186" i="8"/>
  <c r="AT195" i="8"/>
  <c r="AT200" i="8"/>
  <c r="AT154" i="8"/>
  <c r="AJ174" i="8"/>
  <c r="AJ225" i="8"/>
  <c r="AT225" i="8" s="1"/>
  <c r="AD115" i="11"/>
  <c r="AS30" i="11"/>
  <c r="AT231" i="8"/>
  <c r="AJ207" i="8"/>
  <c r="AT207" i="8" s="1"/>
  <c r="AE215" i="8"/>
  <c r="AT164" i="8"/>
  <c r="AJ202" i="8"/>
  <c r="AJ233" i="8"/>
  <c r="AT233" i="8" s="1"/>
  <c r="AT42" i="8"/>
  <c r="AE257" i="8"/>
  <c r="AT59" i="8"/>
  <c r="AS196" i="11"/>
  <c r="AT63" i="8"/>
  <c r="AT260" i="8"/>
  <c r="AW167" i="8" s="1"/>
  <c r="AT55" i="8"/>
  <c r="AJ122" i="8"/>
  <c r="AJ189" i="8"/>
  <c r="AT189" i="8" s="1"/>
  <c r="AE248" i="8"/>
  <c r="AT181" i="8"/>
  <c r="AE202" i="8"/>
  <c r="AT61" i="8"/>
  <c r="AT285" i="8"/>
  <c r="AT210" i="8"/>
  <c r="AT218" i="8"/>
  <c r="AT282" i="8"/>
  <c r="AT57" i="8"/>
  <c r="AE209" i="8"/>
  <c r="AT209" i="8" s="1"/>
  <c r="AS238" i="11"/>
  <c r="AT141" i="8"/>
  <c r="AJ104" i="8"/>
  <c r="AJ124" i="8"/>
  <c r="AT124" i="8" s="1"/>
  <c r="AS91" i="11"/>
  <c r="AD172" i="11"/>
  <c r="AJ16" i="8"/>
  <c r="AE104" i="8"/>
  <c r="AE122" i="8"/>
  <c r="AS14" i="11"/>
  <c r="AS157" i="11"/>
  <c r="AS108" i="11"/>
  <c r="AD100" i="11"/>
  <c r="AD287" i="11" s="1"/>
  <c r="AS159" i="11"/>
  <c r="AS107" i="11"/>
  <c r="AE90" i="8"/>
  <c r="AS84" i="11"/>
  <c r="AI115" i="11"/>
  <c r="AS115" i="11" s="1"/>
  <c r="AS120" i="11"/>
  <c r="AE16" i="8"/>
  <c r="AJ97" i="8"/>
  <c r="AS92" i="11"/>
  <c r="AS259" i="11"/>
  <c r="AS94" i="11"/>
  <c r="AJ212" i="8"/>
  <c r="AT212" i="8" s="1"/>
  <c r="AT256" i="8"/>
  <c r="AT52" i="8"/>
  <c r="AJ50" i="8"/>
  <c r="AT50" i="8" s="1"/>
  <c r="AD85" i="11"/>
  <c r="AD86" i="11"/>
  <c r="AT192" i="8"/>
  <c r="AJ90" i="8"/>
  <c r="AT110" i="8"/>
  <c r="AD205" i="11"/>
  <c r="AD255" i="11"/>
  <c r="AJ137" i="8"/>
  <c r="AT137" i="8" s="1"/>
  <c r="AT253" i="8"/>
  <c r="AT255" i="8"/>
  <c r="AJ120" i="8"/>
  <c r="AT120" i="8" s="1"/>
  <c r="AT274" i="8"/>
  <c r="AT168" i="8"/>
  <c r="AT32" i="8"/>
  <c r="AF76" i="8"/>
  <c r="AG76" i="8"/>
  <c r="AT242" i="8"/>
  <c r="AE97" i="8"/>
  <c r="AH76" i="8"/>
  <c r="AJ113" i="8"/>
  <c r="AT113" i="8" s="1"/>
  <c r="AT114" i="8"/>
  <c r="AJ99" i="8"/>
  <c r="AT99" i="8" s="1"/>
  <c r="AE107" i="8"/>
  <c r="AS18" i="11"/>
  <c r="AI151" i="11"/>
  <c r="AS151" i="11" s="1"/>
  <c r="AD192" i="11"/>
  <c r="AD200" i="11"/>
  <c r="AI139" i="11"/>
  <c r="AD169" i="11"/>
  <c r="AI172" i="11"/>
  <c r="AS172" i="11" s="1"/>
  <c r="AI255" i="11"/>
  <c r="AD139" i="11"/>
  <c r="AI169" i="11"/>
  <c r="AI152" i="11"/>
  <c r="AE109" i="8"/>
  <c r="AG282" i="11"/>
  <c r="AG288" i="11" s="1"/>
  <c r="AD152" i="11"/>
  <c r="AI86" i="11"/>
  <c r="AC87" i="11"/>
  <c r="AC286" i="11" s="1"/>
  <c r="AS165" i="11"/>
  <c r="AT144" i="8"/>
  <c r="AI205" i="11"/>
  <c r="AT117" i="8"/>
  <c r="AT157" i="8"/>
  <c r="AJ109" i="8"/>
  <c r="AE138" i="8"/>
  <c r="AJ102" i="8"/>
  <c r="AT102" i="8" s="1"/>
  <c r="AT116" i="8"/>
  <c r="AE128" i="8"/>
  <c r="AT129" i="8"/>
  <c r="AJ126" i="8"/>
  <c r="AT126" i="8" s="1"/>
  <c r="AJ98" i="8"/>
  <c r="AT98" i="8" s="1"/>
  <c r="AJ128" i="8"/>
  <c r="AT28" i="8"/>
  <c r="AC76" i="8"/>
  <c r="AC290" i="8" s="1"/>
  <c r="AJ107" i="8"/>
  <c r="AJ111" i="8"/>
  <c r="AT111" i="8" s="1"/>
  <c r="AT136" i="8"/>
  <c r="AJ115" i="8"/>
  <c r="AJ227" i="8"/>
  <c r="AD76" i="8"/>
  <c r="AD290" i="8" s="1"/>
  <c r="AT54" i="8"/>
  <c r="AJ69" i="8"/>
  <c r="AJ257" i="8"/>
  <c r="AE223" i="8"/>
  <c r="AE206" i="8"/>
  <c r="AJ31" i="8"/>
  <c r="AI267" i="11"/>
  <c r="AS267" i="11" s="1"/>
  <c r="AD63" i="11"/>
  <c r="AI150" i="11"/>
  <c r="AS150" i="11" s="1"/>
  <c r="AI192" i="11"/>
  <c r="AJ142" i="8"/>
  <c r="AI85" i="11"/>
  <c r="AE31" i="8"/>
  <c r="AI140" i="11"/>
  <c r="AS140" i="11" s="1"/>
  <c r="AI63" i="11"/>
  <c r="AE142" i="8"/>
  <c r="AJ93" i="8"/>
  <c r="AE112" i="8"/>
  <c r="AJ138" i="8"/>
  <c r="AE131" i="8"/>
  <c r="AD286" i="8"/>
  <c r="AD292" i="8" s="1"/>
  <c r="AE232" i="8"/>
  <c r="AE234" i="8"/>
  <c r="AT153" i="8"/>
  <c r="AE226" i="8"/>
  <c r="AJ176" i="8"/>
  <c r="AE151" i="8"/>
  <c r="AT251" i="8"/>
  <c r="AE93" i="8"/>
  <c r="AE33" i="8"/>
  <c r="AJ229" i="8"/>
  <c r="AT229" i="8" s="1"/>
  <c r="AT169" i="8"/>
  <c r="AT134" i="8"/>
  <c r="AJ119" i="8"/>
  <c r="AT119" i="8" s="1"/>
  <c r="AT270" i="8"/>
  <c r="AJ33" i="8"/>
  <c r="AT20" i="8"/>
  <c r="AJ198" i="8"/>
  <c r="AT240" i="8"/>
  <c r="AE176" i="8"/>
  <c r="AT268" i="8"/>
  <c r="AE69" i="8"/>
  <c r="AT252" i="8"/>
  <c r="AE228" i="8"/>
  <c r="AE198" i="8"/>
  <c r="AJ215" i="8"/>
  <c r="AT215" i="8" s="1"/>
  <c r="AJ208" i="8"/>
  <c r="AT208" i="8" s="1"/>
  <c r="AE180" i="8"/>
  <c r="AE146" i="8"/>
  <c r="AJ177" i="8"/>
  <c r="AT177" i="8" s="1"/>
  <c r="AJ131" i="8"/>
  <c r="AJ146" i="8"/>
  <c r="AE199" i="8"/>
  <c r="AT175" i="8"/>
  <c r="AE227" i="8"/>
  <c r="AJ226" i="8"/>
  <c r="AJ199" i="8"/>
  <c r="AJ151" i="8"/>
  <c r="Z287" i="8"/>
  <c r="Z293" i="8" s="1"/>
  <c r="AJ213" i="8"/>
  <c r="AJ267" i="8"/>
  <c r="AT267" i="8" s="1"/>
  <c r="AJ206" i="8"/>
  <c r="AE132" i="8"/>
  <c r="AC85" i="8"/>
  <c r="AC291" i="8" s="1"/>
  <c r="AE162" i="8"/>
  <c r="AJ179" i="8"/>
  <c r="AE193" i="8"/>
  <c r="AE115" i="8"/>
  <c r="AJ112" i="8"/>
  <c r="AJ132" i="8"/>
  <c r="AJ140" i="8"/>
  <c r="AT140" i="8" s="1"/>
  <c r="AT214" i="8"/>
  <c r="AE213" i="8"/>
  <c r="AF85" i="8"/>
  <c r="AF291" i="8" s="1"/>
  <c r="AJ162" i="8"/>
  <c r="AT130" i="8"/>
  <c r="AR287" i="8"/>
  <c r="AR293" i="8" s="1"/>
  <c r="AE108" i="8"/>
  <c r="AJ108" i="8"/>
  <c r="AQ287" i="8"/>
  <c r="AQ293" i="8" s="1"/>
  <c r="AJ180" i="8"/>
  <c r="AJ224" i="8"/>
  <c r="AJ232" i="8"/>
  <c r="AE179" i="8"/>
  <c r="AT263" i="8"/>
  <c r="AJ193" i="8"/>
  <c r="AJ228" i="8"/>
  <c r="AJ234" i="8"/>
  <c r="AE224" i="8"/>
  <c r="AI200" i="11"/>
  <c r="AS200" i="11" s="1"/>
  <c r="AI47" i="11"/>
  <c r="AD47" i="11"/>
  <c r="AG286" i="8"/>
  <c r="AG292" i="8" s="1"/>
  <c r="AT94" i="8"/>
  <c r="AC286" i="8"/>
  <c r="AC292" i="8" s="1"/>
  <c r="AJ118" i="8"/>
  <c r="AH286" i="8"/>
  <c r="AH292" i="8" s="1"/>
  <c r="AE118"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101" i="8"/>
  <c r="AF286" i="8"/>
  <c r="AF292" i="8" s="1"/>
  <c r="AG287" i="8" l="1"/>
  <c r="AJ286" i="8"/>
  <c r="AT248" i="8"/>
  <c r="AT202" i="8"/>
  <c r="AT223" i="8"/>
  <c r="AT60" i="8"/>
  <c r="AT151" i="8"/>
  <c r="AT174" i="8"/>
  <c r="AT186" i="8"/>
  <c r="AT198" i="8"/>
  <c r="AT226" i="8"/>
  <c r="AT257" i="8"/>
  <c r="AT232" i="8"/>
  <c r="AT228" i="8"/>
  <c r="AF287" i="8"/>
  <c r="AF293" i="8" s="1"/>
  <c r="AH287" i="8"/>
  <c r="AH293" i="8" s="1"/>
  <c r="AT122" i="8"/>
  <c r="AT115" i="8"/>
  <c r="AE286" i="8"/>
  <c r="AE292" i="8" s="1"/>
  <c r="AT69" i="8"/>
  <c r="AT104" i="8"/>
  <c r="AE76" i="8"/>
  <c r="AE290" i="8" s="1"/>
  <c r="AH290" i="8"/>
  <c r="AT180" i="8"/>
  <c r="AG293" i="8"/>
  <c r="AS139" i="11"/>
  <c r="AT16" i="8"/>
  <c r="AT76" i="8" s="1"/>
  <c r="AT90" i="8"/>
  <c r="AS205" i="11"/>
  <c r="AS86" i="11"/>
  <c r="AS85" i="11"/>
  <c r="AS100" i="11"/>
  <c r="AS287" i="11" s="1"/>
  <c r="AS192" i="11"/>
  <c r="AS255" i="11"/>
  <c r="AT97" i="8"/>
  <c r="AJ291" i="8"/>
  <c r="AJ76" i="8"/>
  <c r="AJ287" i="8" s="1"/>
  <c r="AT206" i="8"/>
  <c r="AS169" i="11"/>
  <c r="AG290" i="8"/>
  <c r="AF290" i="8"/>
  <c r="AT107" i="8"/>
  <c r="AT109" i="8"/>
  <c r="AI282" i="11"/>
  <c r="AI288" i="11" s="1"/>
  <c r="AS63" i="11"/>
  <c r="AS152" i="11"/>
  <c r="AT128" i="8"/>
  <c r="AT138" i="8"/>
  <c r="AT93" i="8"/>
  <c r="AT31" i="8"/>
  <c r="AT234" i="8"/>
  <c r="AT179" i="8"/>
  <c r="AT112" i="8"/>
  <c r="AT176" i="8"/>
  <c r="AT227" i="8"/>
  <c r="AS47" i="11"/>
  <c r="AT142" i="8"/>
  <c r="AT131" i="8"/>
  <c r="AT213" i="8"/>
  <c r="AT33" i="8"/>
  <c r="AT199" i="8"/>
  <c r="AT108" i="8"/>
  <c r="AT146" i="8"/>
  <c r="AT193" i="8"/>
  <c r="AT132" i="8"/>
  <c r="AE85" i="8"/>
  <c r="AE291" i="8" s="1"/>
  <c r="AT162" i="8"/>
  <c r="AT224" i="8"/>
  <c r="AI87" i="11"/>
  <c r="AI286" i="11" s="1"/>
  <c r="AC287" i="8"/>
  <c r="AC293" i="8" s="1"/>
  <c r="AT118" i="8"/>
  <c r="AG286" i="11"/>
  <c r="AG283" i="11"/>
  <c r="AG289" i="11" s="1"/>
  <c r="AE286" i="11"/>
  <c r="AE283" i="11"/>
  <c r="AE289" i="11" s="1"/>
  <c r="AF286" i="11"/>
  <c r="AF283" i="11"/>
  <c r="AF289" i="11" s="1"/>
  <c r="AS15" i="11"/>
  <c r="AD87" i="11"/>
  <c r="AT101" i="8"/>
  <c r="AS114" i="11"/>
  <c r="AD282" i="11"/>
  <c r="AD288" i="11" s="1"/>
  <c r="AB286" i="11"/>
  <c r="AB283" i="11"/>
  <c r="AB289" i="11" s="1"/>
  <c r="AT286" i="8" l="1"/>
  <c r="AJ293" i="8"/>
  <c r="AT292" i="8"/>
  <c r="AT290" i="8"/>
  <c r="AJ290" i="8"/>
  <c r="AS282" i="11"/>
  <c r="AS288" i="11" s="1"/>
  <c r="AT291" i="8"/>
  <c r="AS87" i="11"/>
  <c r="AI283" i="11"/>
  <c r="AI289" i="11" s="1"/>
  <c r="AE287" i="8"/>
  <c r="AE293" i="8" s="1"/>
  <c r="AJ292" i="8"/>
  <c r="AD283" i="11"/>
  <c r="AD289" i="11" s="1"/>
  <c r="AD286" i="11"/>
  <c r="AS283" i="11" l="1"/>
  <c r="AS289" i="11" s="1"/>
  <c r="AS286" i="11"/>
  <c r="AT287" i="8"/>
  <c r="AT293" i="8" s="1"/>
  <c r="AP287" i="8" l="1"/>
  <c r="AP286" i="8"/>
  <c r="X291" i="8"/>
  <c r="X85" i="8"/>
  <c r="AO293" i="8"/>
  <c r="AO287" i="8"/>
  <c r="AO291" i="8"/>
  <c r="AO286" i="8"/>
  <c r="AO85" i="8"/>
  <c r="AP85" i="8"/>
  <c r="AP291" i="8"/>
  <c r="AP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family val="2"/>
          </rPr>
          <t>Windows User:</t>
        </r>
        <r>
          <rPr>
            <sz val="9"/>
            <color indexed="81"/>
            <rFont val="Tahoma"/>
            <family val="2"/>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family val="2"/>
          </rPr>
          <t>Windows User:</t>
        </r>
        <r>
          <rPr>
            <sz val="9"/>
            <color indexed="81"/>
            <rFont val="Tahoma"/>
            <family val="2"/>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family val="2"/>
          </rPr>
          <t>Windows User:</t>
        </r>
        <r>
          <rPr>
            <sz val="9"/>
            <color indexed="81"/>
            <rFont val="Tahoma"/>
            <family val="2"/>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family val="2"/>
          </rPr>
          <t>Windows User:</t>
        </r>
        <r>
          <rPr>
            <sz val="9"/>
            <color indexed="81"/>
            <rFont val="Tahoma"/>
            <family val="2"/>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family val="2"/>
          </rPr>
          <t>Windows User:</t>
        </r>
        <r>
          <rPr>
            <sz val="9"/>
            <color indexed="81"/>
            <rFont val="Tahoma"/>
            <family val="2"/>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01/12/2021</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family val="2"/>
          </rPr>
          <t>Windows User:</t>
        </r>
        <r>
          <rPr>
            <sz val="9"/>
            <color indexed="81"/>
            <rFont val="Tahoma"/>
            <family val="2"/>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t>
        </r>
      </text>
    </comment>
    <comment ref="X40" authorId="7"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
+ 18% từ 01/02/2021
+ 19% từ 01/02/2022
+ 20% từ 01/02/2023</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family val="2"/>
          </rPr>
          <t>Windows User:</t>
        </r>
        <r>
          <rPr>
            <sz val="9"/>
            <color indexed="81"/>
            <rFont val="Tahoma"/>
            <family val="2"/>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2" authorId="0" shapeId="0">
      <text>
        <r>
          <rPr>
            <b/>
            <sz val="9"/>
            <color indexed="81"/>
            <rFont val="Tahoma"/>
            <family val="2"/>
          </rPr>
          <t>Windows User:</t>
        </r>
        <r>
          <rPr>
            <sz val="9"/>
            <color indexed="81"/>
            <rFont val="Tahoma"/>
            <family val="2"/>
          </rPr>
          <t xml:space="preserve">
- Tuyển dụng Thử việc từ 01/9/2023 (HS 2,34)</t>
        </r>
      </text>
    </comment>
    <comment ref="R83" authorId="0" shapeId="0">
      <text>
        <r>
          <rPr>
            <b/>
            <sz val="9"/>
            <color indexed="81"/>
            <rFont val="Tahoma"/>
            <family val="2"/>
          </rPr>
          <t>Windows User:</t>
        </r>
        <r>
          <rPr>
            <sz val="9"/>
            <color indexed="81"/>
            <rFont val="Tahoma"/>
            <family val="2"/>
          </rPr>
          <t xml:space="preserve">
- Tuyển dụng thử việc từ 01/9/2023 (HS 2,34)</t>
        </r>
      </text>
    </comment>
    <comment ref="R84" authorId="0" shapeId="0">
      <text>
        <r>
          <rPr>
            <b/>
            <sz val="9"/>
            <color indexed="81"/>
            <rFont val="Tahoma"/>
            <family val="2"/>
          </rPr>
          <t>Windows User:</t>
        </r>
        <r>
          <rPr>
            <sz val="9"/>
            <color indexed="81"/>
            <rFont val="Tahoma"/>
            <family val="2"/>
          </rPr>
          <t xml:space="preserve">
HS: 1,989 từ T11/2022</t>
        </r>
      </text>
    </comment>
    <comment ref="R88" authorId="6" shapeId="0">
      <text>
        <r>
          <rPr>
            <b/>
            <sz val="9"/>
            <color indexed="81"/>
            <rFont val="Tahoma"/>
            <family val="2"/>
          </rPr>
          <t>user:</t>
        </r>
        <r>
          <rPr>
            <sz val="9"/>
            <color indexed="81"/>
            <rFont val="Tahoma"/>
            <family val="2"/>
          </rPr>
          <t xml:space="preserve">
- HS 3,00 từ 01/10/2019
- HS 3,33 từ 01/10/2021</t>
        </r>
      </text>
    </comment>
    <comment ref="W88" authorId="6" shapeId="0">
      <text>
        <r>
          <rPr>
            <b/>
            <sz val="9"/>
            <color indexed="81"/>
            <rFont val="Tahoma"/>
            <family val="2"/>
          </rPr>
          <t>user:</t>
        </r>
        <r>
          <rPr>
            <sz val="9"/>
            <color indexed="81"/>
            <rFont val="Tahoma"/>
            <family val="2"/>
          </rPr>
          <t xml:space="preserve">
- QĐ BN Phó phòng từ 01/9/2020</t>
        </r>
      </text>
    </comment>
    <comment ref="R89" authorId="6" shapeId="0">
      <text>
        <r>
          <rPr>
            <b/>
            <sz val="9"/>
            <color indexed="81"/>
            <rFont val="Tahoma"/>
            <family val="2"/>
          </rPr>
          <t>user:</t>
        </r>
        <r>
          <rPr>
            <sz val="9"/>
            <color indexed="81"/>
            <rFont val="Tahoma"/>
            <family val="2"/>
          </rPr>
          <t xml:space="preserve">
- HS 2,67 từ 01/11/2020
- HS 3,00 từ 01/11/2022 (NL trước hạn)</t>
        </r>
      </text>
    </comment>
    <comment ref="W89" authorId="6" shapeId="0">
      <text>
        <r>
          <rPr>
            <b/>
            <sz val="9"/>
            <color indexed="81"/>
            <rFont val="Tahoma"/>
            <family val="2"/>
          </rPr>
          <t>user:</t>
        </r>
        <r>
          <rPr>
            <sz val="9"/>
            <color indexed="81"/>
            <rFont val="Tahoma"/>
            <family val="2"/>
          </rPr>
          <t xml:space="preserve">
- Phó TP TC - HC - TH từ T01/3/2021</t>
        </r>
      </text>
    </comment>
    <comment ref="R90"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91"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2"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3"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4"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5"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6"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R96" authorId="0" shapeId="0">
      <text>
        <r>
          <rPr>
            <b/>
            <sz val="9"/>
            <color indexed="81"/>
            <rFont val="Tahoma"/>
            <family val="2"/>
          </rPr>
          <t>Windows User:</t>
        </r>
        <r>
          <rPr>
            <sz val="9"/>
            <color indexed="81"/>
            <rFont val="Tahoma"/>
            <family val="2"/>
          </rPr>
          <t xml:space="preserve">
- HS 3,66 từ 01/01/2022</t>
        </r>
      </text>
    </comment>
    <comment ref="R97"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8"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9" authorId="1" shapeId="0">
      <text>
        <r>
          <rPr>
            <b/>
            <sz val="9"/>
            <color indexed="81"/>
            <rFont val="Tahoma"/>
            <family val="2"/>
          </rPr>
          <t>User:</t>
        </r>
        <r>
          <rPr>
            <sz val="9"/>
            <color indexed="81"/>
            <rFont val="Tahoma"/>
            <family val="2"/>
          </rPr>
          <t xml:space="preserve">
- HS 2,67 từ 01/11/2015
- HS 3,00 từ 01/11/2018
- HS 3,33 từ 01/11/2020 (Nâng lương trước hạn)</t>
        </r>
      </text>
    </comment>
    <comment ref="R100"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100" authorId="1" shapeId="0">
      <text>
        <r>
          <rPr>
            <b/>
            <sz val="9"/>
            <color indexed="81"/>
            <rFont val="Tahoma"/>
            <family val="2"/>
          </rPr>
          <t>User:</t>
        </r>
        <r>
          <rPr>
            <sz val="9"/>
            <color indexed="81"/>
            <rFont val="Tahoma"/>
            <family val="2"/>
          </rPr>
          <t xml:space="preserve">
+ BN Tổ trưởng từ 01/11/2013</t>
        </r>
      </text>
    </comment>
    <comment ref="R101"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2"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3"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3"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4" authorId="6" shapeId="0">
      <text>
        <r>
          <rPr>
            <b/>
            <sz val="9"/>
            <color indexed="81"/>
            <rFont val="Tahoma"/>
            <family val="2"/>
          </rPr>
          <t>user:</t>
        </r>
        <r>
          <rPr>
            <sz val="9"/>
            <color indexed="81"/>
            <rFont val="Tahoma"/>
            <family val="2"/>
          </rPr>
          <t xml:space="preserve">
- HS 2,67 từ 01/2/2019 (NL trước hạn)
- HS 3,00 từ 01/2/2022</t>
        </r>
      </text>
    </comment>
    <comment ref="W104" authorId="0" shapeId="0">
      <text>
        <r>
          <rPr>
            <b/>
            <sz val="9"/>
            <color indexed="81"/>
            <rFont val="Tahoma"/>
            <family val="2"/>
          </rPr>
          <t>Windows User:</t>
        </r>
        <r>
          <rPr>
            <sz val="9"/>
            <color indexed="81"/>
            <rFont val="Tahoma"/>
            <family val="2"/>
          </rPr>
          <t xml:space="preserve">
- Phó GĐ TT Đào tạo LTT từ ngày 01/10/2023</t>
        </r>
      </text>
    </comment>
    <comment ref="R105" authorId="6" shapeId="0">
      <text>
        <r>
          <rPr>
            <b/>
            <sz val="9"/>
            <color indexed="81"/>
            <rFont val="Tahoma"/>
            <family val="2"/>
          </rPr>
          <t>user:</t>
        </r>
        <r>
          <rPr>
            <sz val="9"/>
            <color indexed="81"/>
            <rFont val="Tahoma"/>
            <family val="2"/>
          </rPr>
          <t xml:space="preserve">
- HS 2,34 từ 01/11/2020
- HS 2,67 từ 01/11/2022 (NL trước hạn)</t>
        </r>
      </text>
    </comment>
    <comment ref="R106"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7"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8"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9"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10"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11" authorId="0" shapeId="0">
      <text>
        <r>
          <rPr>
            <b/>
            <sz val="9"/>
            <color indexed="81"/>
            <rFont val="Tahoma"/>
            <family val="2"/>
          </rPr>
          <t>Windows User:</t>
        </r>
        <r>
          <rPr>
            <sz val="9"/>
            <color indexed="81"/>
            <rFont val="Tahoma"/>
            <family val="2"/>
          </rPr>
          <t xml:space="preserve">
- Kế toán viên từ 23/11/2022</t>
        </r>
      </text>
    </comment>
    <comment ref="R111"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2"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3"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4" authorId="6" shapeId="0">
      <text>
        <r>
          <rPr>
            <b/>
            <sz val="9"/>
            <color indexed="81"/>
            <rFont val="Tahoma"/>
            <family val="2"/>
          </rPr>
          <t>user:</t>
        </r>
        <r>
          <rPr>
            <sz val="9"/>
            <color indexed="81"/>
            <rFont val="Tahoma"/>
            <family val="2"/>
          </rPr>
          <t xml:space="preserve">
- BNCD NN từ 01/10/2019 (HS 2,34)
- HS 2,67 từ 01/10/2021(NL trước hạn)</t>
        </r>
      </text>
    </comment>
    <comment ref="W114"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4" authorId="6" shapeId="0">
      <text>
        <r>
          <rPr>
            <b/>
            <sz val="9"/>
            <color indexed="81"/>
            <rFont val="Tahoma"/>
            <family val="2"/>
          </rPr>
          <t>user:</t>
        </r>
        <r>
          <rPr>
            <sz val="9"/>
            <color indexed="81"/>
            <rFont val="Tahoma"/>
            <family val="2"/>
          </rPr>
          <t xml:space="preserve">
- Bí thư Đoàn TN hưởng PCTN 0,45</t>
        </r>
      </text>
    </comment>
    <comment ref="R115"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5"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5"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6"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7"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8"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9" authorId="6" shapeId="0">
      <text>
        <r>
          <rPr>
            <b/>
            <sz val="9"/>
            <color indexed="81"/>
            <rFont val="Tahoma"/>
            <family val="2"/>
          </rPr>
          <t>user:</t>
        </r>
        <r>
          <rPr>
            <sz val="9"/>
            <color indexed="81"/>
            <rFont val="Tahoma"/>
            <family val="2"/>
          </rPr>
          <t xml:space="preserve">
- HS 3,00 từ 01/9/2019
- HS 3,33 từ 01/9/2021 (NL trước hạn)</t>
        </r>
      </text>
    </comment>
    <comment ref="R120"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21" authorId="6" shapeId="0">
      <text>
        <r>
          <rPr>
            <b/>
            <sz val="9"/>
            <color indexed="81"/>
            <rFont val="Tahoma"/>
            <family val="2"/>
          </rPr>
          <t>user:</t>
        </r>
        <r>
          <rPr>
            <sz val="9"/>
            <color indexed="81"/>
            <rFont val="Tahoma"/>
            <family val="2"/>
          </rPr>
          <t xml:space="preserve">
Chuyển mã ngạch từ 30/10/2020
</t>
        </r>
      </text>
    </comment>
    <comment ref="R121" authorId="6" shapeId="0">
      <text>
        <r>
          <rPr>
            <b/>
            <sz val="9"/>
            <color indexed="81"/>
            <rFont val="Tahoma"/>
            <family val="2"/>
          </rPr>
          <t>user:</t>
        </r>
        <r>
          <rPr>
            <sz val="9"/>
            <color indexed="81"/>
            <rFont val="Tahoma"/>
            <family val="2"/>
          </rPr>
          <t xml:space="preserve">
- HS 3,33 từ 01/11/2019
- HS 3,66 từ 01/11/2022</t>
        </r>
      </text>
    </comment>
    <comment ref="D122" authorId="4" shapeId="0">
      <text>
        <r>
          <rPr>
            <b/>
            <sz val="9"/>
            <color indexed="81"/>
            <rFont val="Tahoma"/>
            <family val="2"/>
          </rPr>
          <t>Admin:</t>
        </r>
        <r>
          <rPr>
            <sz val="9"/>
            <color indexed="81"/>
            <rFont val="Tahoma"/>
            <family val="2"/>
          </rPr>
          <t xml:space="preserve">
Chuyển về phòng TS - ĐT từ ngày 01/8/2017</t>
        </r>
      </text>
    </comment>
    <comment ref="R122"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3"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4" authorId="4" shapeId="0">
      <text>
        <r>
          <rPr>
            <b/>
            <sz val="9"/>
            <color indexed="81"/>
            <rFont val="Tahoma"/>
            <family val="2"/>
          </rPr>
          <t>Admin:</t>
        </r>
        <r>
          <rPr>
            <sz val="9"/>
            <color indexed="81"/>
            <rFont val="Tahoma"/>
            <family val="2"/>
          </rPr>
          <t xml:space="preserve">
Chuyển về Tổ Thanh tra - Pháp chế từ 01/8/2017</t>
        </r>
      </text>
    </comment>
    <comment ref="E124" authorId="0" shapeId="0">
      <text>
        <r>
          <rPr>
            <b/>
            <sz val="9"/>
            <color indexed="81"/>
            <rFont val="Tahoma"/>
            <family val="2"/>
          </rPr>
          <t>Windows User:</t>
        </r>
        <r>
          <rPr>
            <sz val="9"/>
            <color indexed="81"/>
            <rFont val="Tahoma"/>
            <family val="2"/>
          </rPr>
          <t xml:space="preserve">
- Từ phòng Thanh tra sang Phòng TS - ĐT từ 01/10/2023</t>
        </r>
      </text>
    </comment>
    <comment ref="R124"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5" authorId="6" shapeId="0">
      <text>
        <r>
          <rPr>
            <b/>
            <sz val="9"/>
            <color indexed="81"/>
            <rFont val="Tahoma"/>
            <family val="2"/>
          </rPr>
          <t>user:</t>
        </r>
        <r>
          <rPr>
            <sz val="9"/>
            <color indexed="81"/>
            <rFont val="Tahoma"/>
            <family val="2"/>
          </rPr>
          <t xml:space="preserve">
Chuyển mã ngạch từ 30/10/20</t>
        </r>
      </text>
    </comment>
    <comment ref="R125" authorId="4" shapeId="0">
      <text>
        <r>
          <rPr>
            <b/>
            <sz val="9"/>
            <color indexed="81"/>
            <rFont val="Tahoma"/>
            <family val="2"/>
          </rPr>
          <t>Admin:</t>
        </r>
        <r>
          <rPr>
            <sz val="9"/>
            <color indexed="81"/>
            <rFont val="Tahoma"/>
            <family val="2"/>
          </rPr>
          <t xml:space="preserve">
- HS 3,00 từ 01/9/2016
- HS 3,33 từ 01/9/2019
- HS 3,66 từ 01/9/2022</t>
        </r>
      </text>
    </comment>
    <comment ref="R126"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7"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8" authorId="6" shapeId="0">
      <text>
        <r>
          <rPr>
            <b/>
            <sz val="9"/>
            <color indexed="81"/>
            <rFont val="Tahoma"/>
            <family val="2"/>
          </rPr>
          <t>user:</t>
        </r>
        <r>
          <rPr>
            <sz val="9"/>
            <color indexed="81"/>
            <rFont val="Tahoma"/>
            <family val="2"/>
          </rPr>
          <t xml:space="preserve">
Phó TP Khảo thí từ T4/2022</t>
        </r>
      </text>
    </comment>
    <comment ref="R128"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8" authorId="6" shapeId="0">
      <text>
        <r>
          <rPr>
            <b/>
            <sz val="8"/>
            <color indexed="81"/>
            <rFont val="Tahoma"/>
            <family val="2"/>
          </rPr>
          <t>user:</t>
        </r>
        <r>
          <rPr>
            <sz val="8"/>
            <color indexed="81"/>
            <rFont val="Tahoma"/>
            <family val="2"/>
          </rPr>
          <t xml:space="preserve">
QĐ Bổ nhiệm phó TP Kế toán từ 01/03/2012</t>
        </r>
      </text>
    </comment>
    <comment ref="R129"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30" authorId="6" shapeId="0">
      <text>
        <r>
          <rPr>
            <b/>
            <sz val="9"/>
            <color indexed="81"/>
            <rFont val="Tahoma"/>
            <family val="2"/>
          </rPr>
          <t>user:</t>
        </r>
        <r>
          <rPr>
            <sz val="9"/>
            <color indexed="81"/>
            <rFont val="Tahoma"/>
            <family val="2"/>
          </rPr>
          <t xml:space="preserve">
- HS 2,67 từ 01/11/2020
- HS 3,00 từ 01/11/2022 (NL trước hạn)</t>
        </r>
      </text>
    </comment>
    <comment ref="W130" authorId="0" shapeId="0">
      <text>
        <r>
          <rPr>
            <b/>
            <sz val="9"/>
            <color indexed="81"/>
            <rFont val="Tahoma"/>
            <family val="2"/>
          </rPr>
          <t>Windows User:</t>
        </r>
        <r>
          <rPr>
            <sz val="9"/>
            <color indexed="81"/>
            <rFont val="Tahoma"/>
            <family val="2"/>
          </rPr>
          <t xml:space="preserve">
- QĐ BN Phó Trưởng TT ĐH và QLDL từ 01/10/2023</t>
        </r>
      </text>
    </comment>
    <comment ref="X130" authorId="6" shapeId="0">
      <text>
        <r>
          <rPr>
            <b/>
            <sz val="9"/>
            <color indexed="81"/>
            <rFont val="Tahoma"/>
            <family val="2"/>
          </rPr>
          <t>user:</t>
        </r>
        <r>
          <rPr>
            <sz val="9"/>
            <color indexed="81"/>
            <rFont val="Tahoma"/>
            <family val="2"/>
          </rPr>
          <t xml:space="preserve">
- 14% từ 01/03/2020
- 15% từ 01/03/2021
- 16% từ 01/03/2022</t>
        </r>
      </text>
    </comment>
    <comment ref="D131" authorId="4" shapeId="0">
      <text>
        <r>
          <rPr>
            <b/>
            <sz val="9"/>
            <color indexed="81"/>
            <rFont val="Tahoma"/>
            <family val="2"/>
          </rPr>
          <t>Admin:</t>
        </r>
        <r>
          <rPr>
            <sz val="9"/>
            <color indexed="81"/>
            <rFont val="Tahoma"/>
            <family val="2"/>
          </rPr>
          <t xml:space="preserve">
Chuyển lên khối chuyên nghiệp từ 01/06/2016</t>
        </r>
      </text>
    </comment>
    <comment ref="R131"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t>
        </r>
      </text>
    </comment>
    <comment ref="R132"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3"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3"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3"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t>
        </r>
      </text>
    </comment>
    <comment ref="R134"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4"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5"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5"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5" authorId="1" shapeId="0">
      <text>
        <r>
          <rPr>
            <b/>
            <sz val="9"/>
            <color indexed="81"/>
            <rFont val="Tahoma"/>
            <family val="2"/>
          </rPr>
          <t>User:</t>
        </r>
        <r>
          <rPr>
            <sz val="9"/>
            <color indexed="81"/>
            <rFont val="Tahoma"/>
            <family val="2"/>
          </rPr>
          <t xml:space="preserve">
+ HS 3,33 từ 01/9/2015
+ HS 3,66 từ 01/9/2018
+ HS 3,99 từ 01/9/2021
</t>
        </r>
      </text>
    </comment>
    <comment ref="X135"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6"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6"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6" authorId="3" shapeId="0">
      <text>
        <r>
          <rPr>
            <b/>
            <sz val="9"/>
            <color indexed="81"/>
            <rFont val="Tahoma"/>
            <family val="2"/>
          </rPr>
          <t>Quynh:</t>
        </r>
        <r>
          <rPr>
            <sz val="9"/>
            <color indexed="81"/>
            <rFont val="Tahoma"/>
            <family val="2"/>
          </rPr>
          <t xml:space="preserve">
- 6% từ 01/11/2018
- 7% từ 01/11/2019
- 8% từ 01/11/2020
- 9% từ 01/11/2021
- 10% từ 01/11/2022</t>
        </r>
      </text>
    </comment>
    <comment ref="AK136" authorId="6" shapeId="0">
      <text>
        <r>
          <rPr>
            <b/>
            <sz val="9"/>
            <color indexed="81"/>
            <rFont val="Tahoma"/>
            <family val="2"/>
          </rPr>
          <t>user:</t>
        </r>
        <r>
          <rPr>
            <sz val="9"/>
            <color indexed="81"/>
            <rFont val="Tahoma"/>
            <family val="2"/>
          </rPr>
          <t xml:space="preserve">
UV BCH Đảng bộ từ 13/4/2020</t>
        </r>
      </text>
    </comment>
    <comment ref="R137"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8"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9" authorId="0" shapeId="0">
      <text>
        <r>
          <rPr>
            <b/>
            <sz val="9"/>
            <color indexed="81"/>
            <rFont val="Tahoma"/>
            <family val="2"/>
          </rPr>
          <t>Windows User:</t>
        </r>
        <r>
          <rPr>
            <sz val="9"/>
            <color indexed="81"/>
            <rFont val="Tahoma"/>
            <family val="2"/>
          </rPr>
          <t xml:space="preserve">
- Phó Trưởng khoa Kinh tế từ 01/10/2022</t>
        </r>
      </text>
    </comment>
    <comment ref="R139"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9"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9"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40" authorId="6" shapeId="0">
      <text>
        <r>
          <rPr>
            <b/>
            <sz val="9"/>
            <color indexed="81"/>
            <rFont val="Tahoma"/>
            <family val="2"/>
          </rPr>
          <t>user:</t>
        </r>
        <r>
          <rPr>
            <sz val="9"/>
            <color indexed="81"/>
            <rFont val="Tahoma"/>
            <family val="2"/>
          </rPr>
          <t xml:space="preserve">
- HS 3,00 từ 01/12/2020</t>
        </r>
      </text>
    </comment>
    <comment ref="R141"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2"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3" authorId="6" shapeId="0">
      <text>
        <r>
          <rPr>
            <b/>
            <sz val="9"/>
            <color indexed="81"/>
            <rFont val="Tahoma"/>
            <family val="2"/>
          </rPr>
          <t>user:</t>
        </r>
        <r>
          <rPr>
            <sz val="9"/>
            <color indexed="81"/>
            <rFont val="Tahoma"/>
            <family val="2"/>
          </rPr>
          <t xml:space="preserve">
- HS 3,33 từ 01/02/2020
- HS 3,66 từ 01/02/2022 (NL trước hạn)</t>
        </r>
      </text>
    </comment>
    <comment ref="W143"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3" authorId="6" shapeId="0">
      <text>
        <r>
          <rPr>
            <b/>
            <sz val="9"/>
            <color indexed="81"/>
            <rFont val="Tahoma"/>
            <family val="2"/>
          </rPr>
          <t>user:</t>
        </r>
        <r>
          <rPr>
            <sz val="9"/>
            <color indexed="81"/>
            <rFont val="Tahoma"/>
            <family val="2"/>
          </rPr>
          <t xml:space="preserve">
+ 8% từ 01/02/2019
+ 9% từ 01/02/2020
+ 10% từ 01/02/2021
+ 11% từ 01/02/2022
+ 12% từ 01/02/2023</t>
        </r>
      </text>
    </comment>
    <comment ref="R144" authorId="6" shapeId="0">
      <text>
        <r>
          <rPr>
            <b/>
            <sz val="9"/>
            <color indexed="81"/>
            <rFont val="Tahoma"/>
            <family val="2"/>
          </rPr>
          <t>user:</t>
        </r>
        <r>
          <rPr>
            <sz val="9"/>
            <color indexed="81"/>
            <rFont val="Tahoma"/>
            <family val="2"/>
          </rPr>
          <t xml:space="preserve">
- HS 2,67 từ 01/5/2021</t>
        </r>
      </text>
    </comment>
    <comment ref="R145" authorId="2" shapeId="0">
      <text>
        <r>
          <rPr>
            <b/>
            <sz val="9"/>
            <color indexed="81"/>
            <rFont val="Tahoma"/>
            <family val="2"/>
          </rPr>
          <t>huynh-panda:</t>
        </r>
        <r>
          <rPr>
            <sz val="9"/>
            <color indexed="81"/>
            <rFont val="Tahoma"/>
            <family val="2"/>
          </rPr>
          <t xml:space="preserve">
- HS 2,34 từ 01/4/2022</t>
        </r>
      </text>
    </comment>
    <comment ref="R146"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6"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6"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t>
        </r>
      </text>
    </comment>
    <comment ref="R147"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47" authorId="3" shapeId="0">
      <text>
        <r>
          <rPr>
            <b/>
            <sz val="9"/>
            <color indexed="81"/>
            <rFont val="Tahoma"/>
            <family val="2"/>
          </rPr>
          <t>Quynh:</t>
        </r>
        <r>
          <rPr>
            <sz val="9"/>
            <color indexed="81"/>
            <rFont val="Tahoma"/>
            <family val="2"/>
          </rPr>
          <t xml:space="preserve">
BN Trưởng BM Cơ sở ngành từ 01/01/2019</t>
        </r>
      </text>
    </comment>
    <comment ref="X147"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48" authorId="0" shapeId="0">
      <text>
        <r>
          <rPr>
            <b/>
            <sz val="9"/>
            <color indexed="81"/>
            <rFont val="Tahoma"/>
            <family val="2"/>
          </rPr>
          <t>Windows User:</t>
        </r>
        <r>
          <rPr>
            <sz val="9"/>
            <color indexed="81"/>
            <rFont val="Tahoma"/>
            <family val="2"/>
          </rPr>
          <t xml:space="preserve">
- HS: 3,33 từ 01/03/2022</t>
        </r>
      </text>
    </comment>
    <comment ref="X148" authorId="0" shapeId="0">
      <text>
        <r>
          <rPr>
            <b/>
            <sz val="9"/>
            <color indexed="81"/>
            <rFont val="Tahoma"/>
            <family val="2"/>
          </rPr>
          <t>Windows User:</t>
        </r>
        <r>
          <rPr>
            <sz val="9"/>
            <color indexed="81"/>
            <rFont val="Tahoma"/>
            <family val="2"/>
          </rPr>
          <t xml:space="preserve">
- 10% từ 01/03/2023
</t>
        </r>
      </text>
    </comment>
    <comment ref="D149"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9" authorId="0" shapeId="0">
      <text>
        <r>
          <rPr>
            <b/>
            <sz val="9"/>
            <color indexed="81"/>
            <rFont val="Tahoma"/>
            <family val="2"/>
          </rPr>
          <t>Windows User:</t>
        </r>
        <r>
          <rPr>
            <sz val="9"/>
            <color indexed="81"/>
            <rFont val="Tahoma"/>
            <family val="2"/>
          </rPr>
          <t xml:space="preserve">
- 11% từ 01/9/2023</t>
        </r>
      </text>
    </comment>
    <comment ref="D150" authorId="0" shapeId="0">
      <text>
        <r>
          <rPr>
            <b/>
            <sz val="9"/>
            <color indexed="81"/>
            <rFont val="Tahoma"/>
            <family val="2"/>
          </rPr>
          <t>Windows User:</t>
        </r>
        <r>
          <rPr>
            <sz val="9"/>
            <color indexed="81"/>
            <rFont val="Tahoma"/>
            <family val="2"/>
          </rPr>
          <t xml:space="preserve">
- Chuyển từ Trường ĐH GTVT về trường ngày 01/10/2023</t>
        </r>
      </text>
    </comment>
    <comment ref="R150" authorId="0" shapeId="0">
      <text>
        <r>
          <rPr>
            <b/>
            <sz val="9"/>
            <color indexed="81"/>
            <rFont val="Tahoma"/>
            <family val="2"/>
          </rPr>
          <t>Windows User:</t>
        </r>
        <r>
          <rPr>
            <sz val="9"/>
            <color indexed="81"/>
            <rFont val="Tahoma"/>
            <family val="2"/>
          </rPr>
          <t xml:space="preserve">
- HS 3,66 từ 09/11/2022</t>
        </r>
      </text>
    </comment>
    <comment ref="R151" authorId="4" shapeId="0">
      <text>
        <r>
          <rPr>
            <b/>
            <sz val="9"/>
            <color indexed="81"/>
            <rFont val="Tahoma"/>
            <family val="2"/>
          </rPr>
          <t>Admin:</t>
        </r>
        <r>
          <rPr>
            <sz val="9"/>
            <color indexed="81"/>
            <rFont val="Tahoma"/>
            <family val="2"/>
          </rPr>
          <t xml:space="preserve">
- HS 2,67 từ 01/09/2016
- HS 3,00 từ 01/09/2019
- HS 3,33 từ 01/09/2022</t>
        </r>
      </text>
    </comment>
    <comment ref="X151" authorId="6" shapeId="0">
      <text>
        <r>
          <rPr>
            <b/>
            <sz val="9"/>
            <color indexed="81"/>
            <rFont val="Tahoma"/>
            <family val="2"/>
          </rPr>
          <t>user:</t>
        </r>
        <r>
          <rPr>
            <sz val="9"/>
            <color indexed="81"/>
            <rFont val="Tahoma"/>
            <family val="2"/>
          </rPr>
          <t xml:space="preserve">
- 5% từ 01/9/2021
- 6% từ 01/9/2022
- 7% từ 01/9/2023</t>
        </r>
      </text>
    </comment>
    <comment ref="R152" authorId="4" shapeId="0">
      <text>
        <r>
          <rPr>
            <b/>
            <sz val="9"/>
            <color indexed="81"/>
            <rFont val="Tahoma"/>
            <family val="2"/>
          </rPr>
          <t>Admin:</t>
        </r>
        <r>
          <rPr>
            <sz val="9"/>
            <color indexed="81"/>
            <rFont val="Tahoma"/>
            <family val="2"/>
          </rPr>
          <t xml:space="preserve">
- HS 2,34 từ 01/09/2016
- HS 2,67 từ 01/09/2019
- HS 3,00 từ 01/09/2022</t>
        </r>
      </text>
    </comment>
    <comment ref="X152" authorId="6" shapeId="0">
      <text>
        <r>
          <rPr>
            <b/>
            <sz val="9"/>
            <color indexed="81"/>
            <rFont val="Tahoma"/>
            <family val="2"/>
          </rPr>
          <t>user:</t>
        </r>
        <r>
          <rPr>
            <sz val="9"/>
            <color indexed="81"/>
            <rFont val="Tahoma"/>
            <family val="2"/>
          </rPr>
          <t xml:space="preserve">
- 5% từ 01/9/2021
- 6% từ 01/9/2022
- 7% từ 01/9/2023</t>
        </r>
      </text>
    </comment>
    <comment ref="R153" authorId="4" shapeId="0">
      <text>
        <r>
          <rPr>
            <b/>
            <sz val="9"/>
            <color indexed="81"/>
            <rFont val="Tahoma"/>
            <family val="2"/>
          </rPr>
          <t>Admin:</t>
        </r>
        <r>
          <rPr>
            <sz val="9"/>
            <color indexed="81"/>
            <rFont val="Tahoma"/>
            <family val="2"/>
          </rPr>
          <t xml:space="preserve">
- HS 3,00 từ 01/9/2016
- HS 3,33 từ 01/9/2019
- HS 3,66 từ 01/9/2022</t>
        </r>
      </text>
    </comment>
    <comment ref="X153"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4" authorId="6" shapeId="0">
      <text>
        <r>
          <rPr>
            <b/>
            <sz val="9"/>
            <color indexed="81"/>
            <rFont val="Tahoma"/>
            <family val="2"/>
          </rPr>
          <t>user:</t>
        </r>
        <r>
          <rPr>
            <sz val="9"/>
            <color indexed="81"/>
            <rFont val="Tahoma"/>
            <family val="2"/>
          </rPr>
          <t xml:space="preserve">
- HS 2,67 từ 01/11/2020
- HS 3,00 từ 01/11/2022 (NL trước hạn)</t>
        </r>
      </text>
    </comment>
    <comment ref="R155" authorId="6" shapeId="0">
      <text>
        <r>
          <rPr>
            <b/>
            <sz val="9"/>
            <color indexed="81"/>
            <rFont val="Tahoma"/>
            <family val="2"/>
          </rPr>
          <t>user:</t>
        </r>
        <r>
          <rPr>
            <sz val="9"/>
            <color indexed="81"/>
            <rFont val="Tahoma"/>
            <family val="2"/>
          </rPr>
          <t xml:space="preserve">
- HS 3,00 từ 01/10/2021</t>
        </r>
      </text>
    </comment>
    <comment ref="R156" authorId="6" shapeId="0">
      <text>
        <r>
          <rPr>
            <b/>
            <sz val="9"/>
            <color indexed="81"/>
            <rFont val="Tahoma"/>
            <family val="2"/>
          </rPr>
          <t>user:</t>
        </r>
        <r>
          <rPr>
            <sz val="9"/>
            <color indexed="81"/>
            <rFont val="Tahoma"/>
            <family val="2"/>
          </rPr>
          <t xml:space="preserve">
- HS 3,00 từ 01/10/2021</t>
        </r>
      </text>
    </comment>
    <comment ref="R157" authorId="6" shapeId="0">
      <text>
        <r>
          <rPr>
            <b/>
            <sz val="9"/>
            <color indexed="81"/>
            <rFont val="Tahoma"/>
            <family val="2"/>
          </rPr>
          <t>user:</t>
        </r>
        <r>
          <rPr>
            <sz val="9"/>
            <color indexed="81"/>
            <rFont val="Tahoma"/>
            <family val="2"/>
          </rPr>
          <t xml:space="preserve">
- BN CDNN từ 01/10/2019 (HS 2,67)
- HS 3,00 từ 01/10/2022</t>
        </r>
      </text>
    </comment>
    <comment ref="R158"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9" authorId="6" shapeId="0">
      <text>
        <r>
          <rPr>
            <b/>
            <sz val="9"/>
            <color indexed="81"/>
            <rFont val="Tahoma"/>
            <family val="2"/>
          </rPr>
          <t>user:</t>
        </r>
        <r>
          <rPr>
            <sz val="9"/>
            <color indexed="81"/>
            <rFont val="Tahoma"/>
            <family val="2"/>
          </rPr>
          <t xml:space="preserve">
- HS 2,34 từ 01/5/2021</t>
        </r>
      </text>
    </comment>
    <comment ref="R160" authorId="2" shapeId="0">
      <text>
        <r>
          <rPr>
            <b/>
            <sz val="9"/>
            <color indexed="81"/>
            <rFont val="Tahoma"/>
            <family val="2"/>
          </rPr>
          <t>huynh-panda:</t>
        </r>
        <r>
          <rPr>
            <sz val="9"/>
            <color indexed="81"/>
            <rFont val="Tahoma"/>
            <family val="2"/>
          </rPr>
          <t xml:space="preserve">
- HS 2,34 từ 01/5/2022</t>
        </r>
      </text>
    </comment>
    <comment ref="AG160" authorId="0" shapeId="0">
      <text>
        <r>
          <rPr>
            <b/>
            <sz val="9"/>
            <color indexed="81"/>
            <rFont val="Tahoma"/>
            <family val="2"/>
          </rPr>
          <t>Windows User:</t>
        </r>
        <r>
          <rPr>
            <sz val="9"/>
            <color indexed="81"/>
            <rFont val="Tahoma"/>
            <family val="2"/>
          </rPr>
          <t xml:space="preserve">
Học tập ở nước ngoài nên ko tham gia BHYT
</t>
        </r>
      </text>
    </comment>
    <comment ref="R161" authorId="2" shapeId="0">
      <text>
        <r>
          <rPr>
            <b/>
            <sz val="9"/>
            <color indexed="81"/>
            <rFont val="Tahoma"/>
            <family val="2"/>
          </rPr>
          <t>huynh-panda:</t>
        </r>
        <r>
          <rPr>
            <sz val="9"/>
            <color indexed="81"/>
            <rFont val="Tahoma"/>
            <family val="2"/>
          </rPr>
          <t xml:space="preserve">
- HS 2,34 từ 01/4/2022</t>
        </r>
      </text>
    </comment>
    <comment ref="R162" authorId="0" shapeId="0">
      <text>
        <r>
          <rPr>
            <b/>
            <sz val="9"/>
            <color indexed="81"/>
            <rFont val="Tahoma"/>
            <family val="2"/>
          </rPr>
          <t>Windows User:</t>
        </r>
        <r>
          <rPr>
            <sz val="9"/>
            <color indexed="81"/>
            <rFont val="Tahoma"/>
            <family val="2"/>
          </rPr>
          <t xml:space="preserve">
- HS 2,34 từ 01/7/2023</t>
        </r>
      </text>
    </comment>
    <comment ref="R163" authorId="4" shapeId="0">
      <text>
        <r>
          <rPr>
            <b/>
            <sz val="9"/>
            <color indexed="81"/>
            <rFont val="Tahoma"/>
            <family val="2"/>
          </rPr>
          <t>Admin:</t>
        </r>
        <r>
          <rPr>
            <sz val="9"/>
            <color indexed="81"/>
            <rFont val="Tahoma"/>
            <family val="2"/>
          </rPr>
          <t xml:space="preserve">
- HS 2,67 từ 01/9/2016
- HS 3,00 từ 01/9/2019
- HS 3,33 từ 01/9/2022</t>
        </r>
      </text>
    </comment>
    <comment ref="W163" authorId="6" shapeId="0">
      <text>
        <r>
          <rPr>
            <b/>
            <sz val="9"/>
            <color indexed="81"/>
            <rFont val="Tahoma"/>
            <family val="2"/>
          </rPr>
          <t>user:</t>
        </r>
        <r>
          <rPr>
            <sz val="9"/>
            <color indexed="81"/>
            <rFont val="Tahoma"/>
            <family val="2"/>
          </rPr>
          <t xml:space="preserve">
- QĐ Bổ nhiệm Trưởng khoa CN May từ 01/11/2020</t>
        </r>
      </text>
    </comment>
    <comment ref="X163"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4" authorId="4" shapeId="0">
      <text>
        <r>
          <rPr>
            <b/>
            <sz val="9"/>
            <color indexed="81"/>
            <rFont val="Tahoma"/>
            <family val="2"/>
          </rPr>
          <t>Admin:</t>
        </r>
        <r>
          <rPr>
            <sz val="9"/>
            <color indexed="81"/>
            <rFont val="Tahoma"/>
            <family val="2"/>
          </rPr>
          <t xml:space="preserve">
- HS 3,00 từ 01/9/2016
- HS 3,33 từ 01/9/2019
- HS 3,66 từ 01/9/2022</t>
        </r>
      </text>
    </comment>
    <comment ref="W164"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5"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5"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6" authorId="4" shapeId="0">
      <text>
        <r>
          <rPr>
            <b/>
            <sz val="9"/>
            <color indexed="81"/>
            <rFont val="Tahoma"/>
            <family val="2"/>
          </rPr>
          <t>Admin:</t>
        </r>
        <r>
          <rPr>
            <sz val="9"/>
            <color indexed="81"/>
            <rFont val="Tahoma"/>
            <family val="2"/>
          </rPr>
          <t xml:space="preserve">
- HS 2,67 từ 01/9/2016
- HS 3,00 từ 01/9/2019
- HS 3,33 từ 01/9/2022</t>
        </r>
      </text>
    </comment>
    <comment ref="X166"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7" authorId="6" shapeId="0">
      <text>
        <r>
          <rPr>
            <b/>
            <sz val="9"/>
            <color indexed="81"/>
            <rFont val="Tahoma"/>
            <family val="2"/>
          </rPr>
          <t>user:</t>
        </r>
        <r>
          <rPr>
            <sz val="9"/>
            <color indexed="81"/>
            <rFont val="Tahoma"/>
            <family val="2"/>
          </rPr>
          <t xml:space="preserve">
- HS 3,00 từ 01/12/2020
- HS 3,33 từ 01/12/2022 (NL Trước hạn)</t>
        </r>
      </text>
    </comment>
    <comment ref="X167"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8" authorId="6" shapeId="0">
      <text>
        <r>
          <rPr>
            <b/>
            <sz val="9"/>
            <color indexed="81"/>
            <rFont val="Tahoma"/>
            <family val="2"/>
          </rPr>
          <t>user:</t>
        </r>
        <r>
          <rPr>
            <sz val="9"/>
            <color indexed="81"/>
            <rFont val="Tahoma"/>
            <family val="2"/>
          </rPr>
          <t xml:space="preserve">
- HS 3,00 từ 01/10/2021</t>
        </r>
      </text>
    </comment>
    <comment ref="R169" authorId="6" shapeId="0">
      <text>
        <r>
          <rPr>
            <b/>
            <sz val="9"/>
            <color indexed="81"/>
            <rFont val="Tahoma"/>
            <family val="2"/>
          </rPr>
          <t>user:</t>
        </r>
        <r>
          <rPr>
            <sz val="9"/>
            <color indexed="81"/>
            <rFont val="Tahoma"/>
            <family val="2"/>
          </rPr>
          <t xml:space="preserve">
- BN CDNN từ 01/10/2019 (HS 2,67)
- HS 3,00 từ 01/10/2022</t>
        </r>
      </text>
    </comment>
    <comment ref="R170"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70"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71" authorId="1" shapeId="0">
      <text>
        <r>
          <rPr>
            <b/>
            <sz val="9"/>
            <color indexed="81"/>
            <rFont val="Tahoma"/>
            <family val="2"/>
          </rPr>
          <t>User:</t>
        </r>
        <r>
          <rPr>
            <sz val="9"/>
            <color indexed="81"/>
            <rFont val="Tahoma"/>
            <family val="2"/>
          </rPr>
          <t xml:space="preserve">
- HS 3,33 từ 01/9/2015
- HS 3,66 từ 01/9/2018
- HS 3,99 từ 01/9/2021</t>
        </r>
      </text>
    </comment>
    <comment ref="W171"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71"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2" authorId="4" shapeId="0">
      <text>
        <r>
          <rPr>
            <b/>
            <sz val="9"/>
            <color indexed="81"/>
            <rFont val="Tahoma"/>
            <family val="2"/>
          </rPr>
          <t>Admin:</t>
        </r>
        <r>
          <rPr>
            <sz val="9"/>
            <color indexed="81"/>
            <rFont val="Tahoma"/>
            <family val="2"/>
          </rPr>
          <t xml:space="preserve">
- HS 3,66 từ 01/9/2016
- HS 3,99 từ 01/9/2019
- HS 4,32 từ 01/9/2022</t>
        </r>
      </text>
    </comment>
    <comment ref="X172"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t>
        </r>
      </text>
    </comment>
    <comment ref="R173" authorId="1" shapeId="0">
      <text>
        <r>
          <rPr>
            <b/>
            <sz val="9"/>
            <color indexed="81"/>
            <rFont val="Tahoma"/>
            <family val="2"/>
          </rPr>
          <t>User:</t>
        </r>
        <r>
          <rPr>
            <sz val="9"/>
            <color indexed="81"/>
            <rFont val="Tahoma"/>
            <family val="2"/>
          </rPr>
          <t xml:space="preserve">
- HS 3,33 từ 1/9/2014
- HS 3,66 từ 01/9/2017
- HS 3,99 từ 01/3/2021</t>
        </r>
      </text>
    </comment>
    <comment ref="X173"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4"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4"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5" authorId="1" shapeId="0">
      <text>
        <r>
          <rPr>
            <b/>
            <sz val="9"/>
            <color indexed="81"/>
            <rFont val="Tahoma"/>
            <family val="2"/>
          </rPr>
          <t>User:</t>
        </r>
        <r>
          <rPr>
            <sz val="9"/>
            <color indexed="81"/>
            <rFont val="Tahoma"/>
            <family val="2"/>
          </rPr>
          <t xml:space="preserve">
- HS 3,33 từ 01/9/2015
- HS 3,66 từ 01/9/2018
- HS 3,99 từ 01/9/2021</t>
        </r>
      </text>
    </comment>
    <comment ref="X17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6"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6"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7" authorId="0" shapeId="0">
      <text>
        <r>
          <rPr>
            <b/>
            <sz val="9"/>
            <color indexed="81"/>
            <rFont val="Tahoma"/>
            <family val="2"/>
          </rPr>
          <t>Windows User:</t>
        </r>
        <r>
          <rPr>
            <sz val="9"/>
            <color indexed="81"/>
            <rFont val="Tahoma"/>
            <family val="2"/>
          </rPr>
          <t xml:space="preserve">
- HS 3,33 từ 01/01/2023</t>
        </r>
      </text>
    </comment>
    <comment ref="W177"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7" authorId="2" shapeId="0">
      <text>
        <r>
          <rPr>
            <b/>
            <sz val="9"/>
            <color indexed="81"/>
            <rFont val="Tahoma"/>
            <family val="2"/>
          </rPr>
          <t>huynh-panda:</t>
        </r>
        <r>
          <rPr>
            <sz val="9"/>
            <color indexed="81"/>
            <rFont val="Tahoma"/>
            <family val="2"/>
          </rPr>
          <t xml:space="preserve">
- 6% từ 01/01/2022
- 7% từ 01/01/2023</t>
        </r>
      </text>
    </comment>
    <comment ref="R178" authorId="4" shapeId="0">
      <text>
        <r>
          <rPr>
            <b/>
            <sz val="9"/>
            <color indexed="81"/>
            <rFont val="Tahoma"/>
            <family val="2"/>
          </rPr>
          <t>Admin:</t>
        </r>
        <r>
          <rPr>
            <sz val="9"/>
            <color indexed="81"/>
            <rFont val="Tahoma"/>
            <family val="2"/>
          </rPr>
          <t xml:space="preserve">
- HS 3,00 từ 01/11/2016
- HS 3,33 từ 01/11/2019
- HS 3,66 từ 01/11/2022</t>
        </r>
      </text>
    </comment>
    <comment ref="X178" authorId="6" shapeId="0">
      <text>
        <r>
          <rPr>
            <b/>
            <sz val="9"/>
            <color indexed="81"/>
            <rFont val="Tahoma"/>
            <family val="2"/>
          </rPr>
          <t>user:</t>
        </r>
        <r>
          <rPr>
            <sz val="9"/>
            <color indexed="81"/>
            <rFont val="Tahoma"/>
            <family val="2"/>
          </rPr>
          <t xml:space="preserve">
- 5% từ 01/11/2018
- 6% từ 01/11/2019
- 7% từ 01/11/2020
- 8% từ 01/11/2021
- 9% từ 01/11/2022</t>
        </r>
      </text>
    </comment>
    <comment ref="R17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9"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9"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80"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80"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81"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81"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2"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3"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4"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4"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5" authorId="4" shapeId="0">
      <text>
        <r>
          <rPr>
            <b/>
            <sz val="9"/>
            <color indexed="81"/>
            <rFont val="Tahoma"/>
            <family val="2"/>
          </rPr>
          <t>Admin:</t>
        </r>
        <r>
          <rPr>
            <sz val="9"/>
            <color indexed="81"/>
            <rFont val="Tahoma"/>
            <family val="2"/>
          </rPr>
          <t xml:space="preserve">
Chuyển về khối Chuyên nghiệp từ 01/8/2016 (Làm nhân viên)
</t>
        </r>
      </text>
    </comment>
    <comment ref="R185" authorId="4" shapeId="0">
      <text>
        <r>
          <rPr>
            <b/>
            <sz val="9"/>
            <color indexed="81"/>
            <rFont val="Tahoma"/>
            <family val="2"/>
          </rPr>
          <t>Admin:</t>
        </r>
        <r>
          <rPr>
            <sz val="9"/>
            <color indexed="81"/>
            <rFont val="Tahoma"/>
            <family val="2"/>
          </rPr>
          <t xml:space="preserve">
- HS 3,00 từ 01/12/2016
- HS 3,33 từ 01/12/2019
- HS 3,66 từ 01/12/2022</t>
        </r>
      </text>
    </comment>
    <comment ref="X185" authorId="6" shapeId="0">
      <text>
        <r>
          <rPr>
            <b/>
            <sz val="9"/>
            <color indexed="81"/>
            <rFont val="Tahoma"/>
            <family val="2"/>
          </rPr>
          <t>user:</t>
        </r>
        <r>
          <rPr>
            <sz val="9"/>
            <color indexed="81"/>
            <rFont val="Tahoma"/>
            <family val="2"/>
          </rPr>
          <t xml:space="preserve">
+ 7% từ 01/9/2020
+ 8% từ 01/9/2021
+ 9% từ 01/9/2022
+ 10% từ 01/9/2023</t>
        </r>
      </text>
    </comment>
    <comment ref="R186"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6"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7" authorId="1" shapeId="0">
      <text>
        <r>
          <rPr>
            <b/>
            <sz val="9"/>
            <color indexed="81"/>
            <rFont val="Tahoma"/>
            <family val="2"/>
          </rPr>
          <t>User:</t>
        </r>
        <r>
          <rPr>
            <sz val="9"/>
            <color indexed="81"/>
            <rFont val="Tahoma"/>
            <family val="2"/>
          </rPr>
          <t xml:space="preserve">
+ hệ số 2,34 từ 1/9/2014
+ HS 3,00 từ 01/9/2020
+ HS 3,33 từ 01/9/2023</t>
        </r>
      </text>
    </comment>
    <comment ref="X187"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8" authorId="4" shapeId="0">
      <text>
        <r>
          <rPr>
            <b/>
            <sz val="9"/>
            <color indexed="81"/>
            <rFont val="Tahoma"/>
            <family val="2"/>
          </rPr>
          <t>Admin:</t>
        </r>
        <r>
          <rPr>
            <sz val="9"/>
            <color indexed="81"/>
            <rFont val="Tahoma"/>
            <family val="2"/>
          </rPr>
          <t xml:space="preserve">
- HS 2,34 từ 01/09/2016
- HS 2,67 từ 01/9/2019
- HS 3,00 từ 01/09/2022</t>
        </r>
      </text>
    </comment>
    <comment ref="X188" authorId="6" shapeId="0">
      <text>
        <r>
          <rPr>
            <b/>
            <sz val="9"/>
            <color indexed="81"/>
            <rFont val="Tahoma"/>
            <family val="2"/>
          </rPr>
          <t>user:</t>
        </r>
        <r>
          <rPr>
            <sz val="9"/>
            <color indexed="81"/>
            <rFont val="Tahoma"/>
            <family val="2"/>
          </rPr>
          <t xml:space="preserve">
- 5% từ 01/09/2021
- 6% từ 01/9/2022
- 7% từ 01/9/2023</t>
        </r>
      </text>
    </comment>
    <comment ref="R189" authorId="4" shapeId="0">
      <text>
        <r>
          <rPr>
            <b/>
            <sz val="9"/>
            <color indexed="81"/>
            <rFont val="Tahoma"/>
            <family val="2"/>
          </rPr>
          <t>Admin:</t>
        </r>
        <r>
          <rPr>
            <sz val="9"/>
            <color indexed="81"/>
            <rFont val="Tahoma"/>
            <family val="2"/>
          </rPr>
          <t xml:space="preserve">
- HS 2,34 từ 01/09/2016
- HS 2,67 từ 01/09/2019
- HS 3,00 từ 01/09/2022</t>
        </r>
      </text>
    </comment>
    <comment ref="X189" authorId="6" shapeId="0">
      <text>
        <r>
          <rPr>
            <b/>
            <sz val="9"/>
            <color indexed="81"/>
            <rFont val="Tahoma"/>
            <family val="2"/>
          </rPr>
          <t>user:</t>
        </r>
        <r>
          <rPr>
            <sz val="9"/>
            <color indexed="81"/>
            <rFont val="Tahoma"/>
            <family val="2"/>
          </rPr>
          <t xml:space="preserve">
- 5% từ 01/9/2021
- 6% từ 01/9/2022
- 7% từ 01/9/2023</t>
        </r>
      </text>
    </comment>
    <comment ref="R190" authorId="6" shapeId="0">
      <text>
        <r>
          <rPr>
            <b/>
            <sz val="9"/>
            <color indexed="81"/>
            <rFont val="Tahoma"/>
            <family val="2"/>
          </rPr>
          <t>user:</t>
        </r>
        <r>
          <rPr>
            <sz val="9"/>
            <color indexed="81"/>
            <rFont val="Tahoma"/>
            <family val="2"/>
          </rPr>
          <t xml:space="preserve">
- HS 3,99 từ 01/9/2019
- HS 4,32 từ 01/09/2022</t>
        </r>
      </text>
    </comment>
    <comment ref="X190"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t>
        </r>
      </text>
    </comment>
    <comment ref="R191" authorId="6" shapeId="0">
      <text>
        <r>
          <rPr>
            <b/>
            <sz val="9"/>
            <color indexed="81"/>
            <rFont val="Tahoma"/>
            <family val="2"/>
          </rPr>
          <t>user:</t>
        </r>
        <r>
          <rPr>
            <sz val="9"/>
            <color indexed="81"/>
            <rFont val="Tahoma"/>
            <family val="2"/>
          </rPr>
          <t xml:space="preserve">
- HS 2,34 từ 01/5/2021</t>
        </r>
      </text>
    </comment>
    <comment ref="R192" authorId="6" shapeId="0">
      <text>
        <r>
          <rPr>
            <b/>
            <sz val="9"/>
            <color indexed="81"/>
            <rFont val="Tahoma"/>
            <family val="2"/>
          </rPr>
          <t>user:</t>
        </r>
        <r>
          <rPr>
            <sz val="9"/>
            <color indexed="81"/>
            <rFont val="Tahoma"/>
            <family val="2"/>
          </rPr>
          <t xml:space="preserve">
- HS 2,34 từ 01/10/2021</t>
        </r>
      </text>
    </comment>
    <comment ref="R193"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3" authorId="6" shapeId="0">
      <text>
        <r>
          <rPr>
            <sz val="8"/>
            <color indexed="81"/>
            <rFont val="Tahoma"/>
            <family val="2"/>
          </rPr>
          <t>- QĐ Bổ nhiệm Phó Trưởng khoa Lý luận chính trị từ 01/10/2015
- QĐ BN lại từ 01/10/2020
- QĐ BN Trưởng khoa từ 01/10/2022</t>
        </r>
      </text>
    </comment>
    <comment ref="X193"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4"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4" authorId="1" shapeId="0">
      <text>
        <r>
          <rPr>
            <b/>
            <sz val="9"/>
            <color indexed="81"/>
            <rFont val="Tahoma"/>
            <family val="2"/>
          </rPr>
          <t>User:</t>
        </r>
        <r>
          <rPr>
            <sz val="9"/>
            <color indexed="81"/>
            <rFont val="Tahoma"/>
            <family val="2"/>
          </rPr>
          <t xml:space="preserve">
- QĐ Bổ nhiệm Phó TK LL Chính trị từ 01/7/2015</t>
        </r>
      </text>
    </comment>
    <comment ref="X19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5"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5" authorId="6" shapeId="0">
      <text>
        <r>
          <rPr>
            <b/>
            <sz val="9"/>
            <color indexed="81"/>
            <rFont val="Tahoma"/>
            <family val="2"/>
          </rPr>
          <t>user:</t>
        </r>
        <r>
          <rPr>
            <sz val="9"/>
            <color indexed="81"/>
            <rFont val="Tahoma"/>
            <family val="2"/>
          </rPr>
          <t xml:space="preserve">
Trưởng BM Giáo dục chính trị từ 01/4/2021
</t>
        </r>
      </text>
    </comment>
    <comment ref="X19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6"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6" authorId="4" shapeId="0">
      <text>
        <r>
          <rPr>
            <b/>
            <sz val="9"/>
            <color indexed="81"/>
            <rFont val="Tahoma"/>
            <family val="2"/>
          </rPr>
          <t>Admin:</t>
        </r>
        <r>
          <rPr>
            <sz val="9"/>
            <color indexed="81"/>
            <rFont val="Tahoma"/>
            <family val="2"/>
          </rPr>
          <t xml:space="preserve">
Thôi giữ CV Phó BT Đoàn TN từ 05/4/2018</t>
        </r>
      </text>
    </comment>
    <comment ref="R197"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7"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8"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8"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8"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9" authorId="1" shapeId="0">
      <text>
        <r>
          <rPr>
            <b/>
            <sz val="9"/>
            <color indexed="81"/>
            <rFont val="Tahoma"/>
            <family val="2"/>
          </rPr>
          <t>User:</t>
        </r>
        <r>
          <rPr>
            <sz val="9"/>
            <color indexed="81"/>
            <rFont val="Tahoma"/>
            <family val="2"/>
          </rPr>
          <t xml:space="preserve">
- HS 3,00 từ 01/9/2015
- HS 3,33 từ 01/9/2018
- HS 3,66 từ 01/9/2021
</t>
        </r>
      </text>
    </comment>
    <comment ref="X19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00" authorId="1" shapeId="0">
      <text>
        <r>
          <rPr>
            <b/>
            <sz val="9"/>
            <color indexed="81"/>
            <rFont val="Tahoma"/>
            <family val="2"/>
          </rPr>
          <t>User:</t>
        </r>
        <r>
          <rPr>
            <sz val="9"/>
            <color indexed="81"/>
            <rFont val="Tahoma"/>
            <family val="2"/>
          </rPr>
          <t xml:space="preserve">
+ HS 3,00 từ 01/9/2015
+ HS 3,33 từ 01/9/2018
+ HS 3,66 từ 01/9/2021</t>
        </r>
      </text>
    </comment>
    <comment ref="X20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01"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0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201"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2"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3" authorId="4" shapeId="0">
      <text>
        <r>
          <rPr>
            <b/>
            <sz val="9"/>
            <color indexed="81"/>
            <rFont val="Tahoma"/>
            <family val="2"/>
          </rPr>
          <t>Admin:</t>
        </r>
        <r>
          <rPr>
            <sz val="9"/>
            <color indexed="81"/>
            <rFont val="Tahoma"/>
            <family val="2"/>
          </rPr>
          <t xml:space="preserve">
- HS 2,67 từ 01/09/2016
- HS 3,00 từ 01/9/2019
- HS 3,33 từ 01/9/2021</t>
        </r>
      </text>
    </comment>
    <comment ref="X203" authorId="6" shapeId="0">
      <text>
        <r>
          <rPr>
            <b/>
            <sz val="9"/>
            <color indexed="81"/>
            <rFont val="Tahoma"/>
            <family val="2"/>
          </rPr>
          <t>user:</t>
        </r>
        <r>
          <rPr>
            <sz val="9"/>
            <color indexed="81"/>
            <rFont val="Tahoma"/>
            <family val="2"/>
          </rPr>
          <t xml:space="preserve">
- 5% từ 01/9/2020
- 6% từ 01/9/2021
- 7% từ 01/9/2022
- 8% từ 01/9/2023</t>
        </r>
      </text>
    </comment>
    <comment ref="R204" authorId="4" shapeId="0">
      <text>
        <r>
          <rPr>
            <b/>
            <sz val="9"/>
            <color indexed="81"/>
            <rFont val="Tahoma"/>
            <family val="2"/>
          </rPr>
          <t>Admin:</t>
        </r>
        <r>
          <rPr>
            <sz val="9"/>
            <color indexed="81"/>
            <rFont val="Tahoma"/>
            <family val="2"/>
          </rPr>
          <t xml:space="preserve">
+ HS 3,00 từ 01/3/2017
+ HS 3,33 từ 01/3/2020
+ HS 3,66 từ 01/03/2023</t>
        </r>
      </text>
    </comment>
    <comment ref="X204"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5"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5"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6" authorId="0" shapeId="0">
      <text>
        <r>
          <rPr>
            <b/>
            <sz val="9"/>
            <color indexed="81"/>
            <rFont val="Tahoma"/>
            <family val="2"/>
          </rPr>
          <t>Windows User:</t>
        </r>
        <r>
          <rPr>
            <sz val="9"/>
            <color indexed="81"/>
            <rFont val="Tahoma"/>
            <family val="2"/>
          </rPr>
          <t xml:space="preserve">
- Phó Trưởng Trung tâm Thư viện từ 01/10/2022</t>
        </r>
      </text>
    </comment>
    <comment ref="R206" authorId="3" shapeId="0">
      <text>
        <r>
          <rPr>
            <b/>
            <sz val="9"/>
            <color indexed="81"/>
            <rFont val="Tahoma"/>
            <family val="2"/>
          </rPr>
          <t>Quynh:</t>
        </r>
        <r>
          <rPr>
            <sz val="9"/>
            <color indexed="81"/>
            <rFont val="Tahoma"/>
            <family val="2"/>
          </rPr>
          <t xml:space="preserve">
- HS 3,33 từ 01/3/19
- HS 3,66 từ 01/03/2022
</t>
        </r>
      </text>
    </comment>
    <comment ref="W206"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6"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7" authorId="1" shapeId="0">
      <text>
        <r>
          <rPr>
            <b/>
            <sz val="9"/>
            <color indexed="81"/>
            <rFont val="Tahoma"/>
            <family val="2"/>
          </rPr>
          <t>User:</t>
        </r>
        <r>
          <rPr>
            <sz val="9"/>
            <color indexed="81"/>
            <rFont val="Tahoma"/>
            <family val="2"/>
          </rPr>
          <t xml:space="preserve">
- HS 3,33 từ 01/9/2015
- HS 3,66 từ 01/9/2018
- HS 3,99 từ 01/9/2021</t>
        </r>
      </text>
    </comment>
    <comment ref="X207"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8"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8"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9"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9"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10"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10" authorId="1" shapeId="0">
      <text>
        <r>
          <rPr>
            <b/>
            <sz val="9"/>
            <color indexed="81"/>
            <rFont val="Tahoma"/>
            <family val="2"/>
          </rPr>
          <t>User:</t>
        </r>
        <r>
          <rPr>
            <sz val="9"/>
            <color indexed="81"/>
            <rFont val="Tahoma"/>
            <family val="2"/>
          </rPr>
          <t xml:space="preserve">
- Miễn nhiệm trưởng BM Mạng và phần cứng từ 01/9/15</t>
        </r>
      </text>
    </comment>
    <comment ref="X210"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11" authorId="1" shapeId="0">
      <text>
        <r>
          <rPr>
            <b/>
            <sz val="9"/>
            <color indexed="81"/>
            <rFont val="Tahoma"/>
            <family val="2"/>
          </rPr>
          <t>User:</t>
        </r>
        <r>
          <rPr>
            <sz val="9"/>
            <color indexed="81"/>
            <rFont val="Tahoma"/>
            <family val="2"/>
          </rPr>
          <t xml:space="preserve">
- HS 3,00 từ 01/9/2015
- HS 3,33 từ 01/9/2018
- HS 3,66 từ 01/9/2021</t>
        </r>
      </text>
    </comment>
    <comment ref="X211"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2"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2"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3" authorId="1" shapeId="0">
      <text>
        <r>
          <rPr>
            <b/>
            <sz val="9"/>
            <color indexed="81"/>
            <rFont val="Tahoma"/>
            <family val="2"/>
          </rPr>
          <t>User:</t>
        </r>
        <r>
          <rPr>
            <sz val="9"/>
            <color indexed="81"/>
            <rFont val="Tahoma"/>
            <family val="2"/>
          </rPr>
          <t xml:space="preserve">
- Bậc 3, HS 3,00 từ 01/12/2014
- HS 3,66 từ 01/12/2020</t>
        </r>
      </text>
    </comment>
    <comment ref="X213"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4"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01/09/2015
- HS 3,33 từ 01/09/2018
- HS 3,66 từ 01/9/2021</t>
        </r>
      </text>
    </comment>
    <comment ref="X21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6" authorId="1" shapeId="0">
      <text>
        <r>
          <rPr>
            <b/>
            <sz val="9"/>
            <color indexed="81"/>
            <rFont val="Tahoma"/>
            <family val="2"/>
          </rPr>
          <t>User:</t>
        </r>
        <r>
          <rPr>
            <sz val="9"/>
            <color indexed="81"/>
            <rFont val="Tahoma"/>
            <family val="2"/>
          </rPr>
          <t xml:space="preserve">
- HS 3,00 từ 01/9/2015
- HS 3,33 từ 01/9/2018
- HS 3,66 từ 01/9/2021</t>
        </r>
      </text>
    </comment>
    <comment ref="X21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7" authorId="1" shapeId="0">
      <text>
        <r>
          <rPr>
            <b/>
            <sz val="9"/>
            <color indexed="81"/>
            <rFont val="Tahoma"/>
            <family val="2"/>
          </rPr>
          <t>User:</t>
        </r>
        <r>
          <rPr>
            <sz val="9"/>
            <color indexed="81"/>
            <rFont val="Tahoma"/>
            <family val="2"/>
          </rPr>
          <t xml:space="preserve">
- HS 3,00 từ 01/10/2015
- HS 3,33 từ 01/10/2018
- HS 3,66 từ 01/10/2021</t>
        </r>
      </text>
    </comment>
    <comment ref="X217"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8"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8"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9" authorId="6" shapeId="0">
      <text>
        <r>
          <rPr>
            <b/>
            <sz val="9"/>
            <color indexed="81"/>
            <rFont val="Tahoma"/>
            <family val="2"/>
          </rPr>
          <t>user:</t>
        </r>
        <r>
          <rPr>
            <sz val="9"/>
            <color indexed="81"/>
            <rFont val="Tahoma"/>
            <family val="2"/>
          </rPr>
          <t xml:space="preserve">
- HS 3,33 từ 01/5/2021</t>
        </r>
      </text>
    </comment>
    <comment ref="X219"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20"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20"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21"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21"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2"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2"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3"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3"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4"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4"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5" authorId="6" shapeId="0">
      <text>
        <r>
          <rPr>
            <b/>
            <sz val="9"/>
            <color indexed="81"/>
            <rFont val="Tahoma"/>
            <family val="2"/>
          </rPr>
          <t>user:</t>
        </r>
        <r>
          <rPr>
            <sz val="9"/>
            <color indexed="81"/>
            <rFont val="Tahoma"/>
            <family val="2"/>
          </rPr>
          <t xml:space="preserve">
- HS 3,33 từ 01/9/2019
- HS 3,66 từ 01/9/2021 (NL trước hạn)</t>
        </r>
      </text>
    </comment>
    <comment ref="W225"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5"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6"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6"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6"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7" authorId="1" shapeId="0">
      <text>
        <r>
          <rPr>
            <b/>
            <sz val="9"/>
            <color indexed="81"/>
            <rFont val="Tahoma"/>
            <family val="2"/>
          </rPr>
          <t>User:</t>
        </r>
        <r>
          <rPr>
            <sz val="9"/>
            <color indexed="81"/>
            <rFont val="Tahoma"/>
            <family val="2"/>
          </rPr>
          <t xml:space="preserve">
- HS 3,00 từ 01/09/2015
- HS 3,33 từ 01/09/2018
- HS 3,66 từ 01/09/2021</t>
        </r>
      </text>
    </comment>
    <comment ref="W227"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7"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8"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8" authorId="4" shapeId="0">
      <text>
        <r>
          <rPr>
            <b/>
            <sz val="9"/>
            <color indexed="81"/>
            <rFont val="Tahoma"/>
            <family val="2"/>
          </rPr>
          <t>Admin:</t>
        </r>
        <r>
          <rPr>
            <sz val="9"/>
            <color indexed="81"/>
            <rFont val="Tahoma"/>
            <family val="2"/>
          </rPr>
          <t xml:space="preserve">
+ QĐ BN Trưởng bộ môn Công nghệ chế tạo từ 15/5/2016</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9"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30" authorId="6" shapeId="0">
      <text>
        <r>
          <rPr>
            <b/>
            <sz val="9"/>
            <color indexed="81"/>
            <rFont val="Tahoma"/>
            <family val="2"/>
          </rPr>
          <t>user:</t>
        </r>
        <r>
          <rPr>
            <sz val="9"/>
            <color indexed="81"/>
            <rFont val="Tahoma"/>
            <family val="2"/>
          </rPr>
          <t xml:space="preserve">
- HS 3,99 từ 01/9/2019
- HS 4,32 từ 01/09/2022</t>
        </r>
      </text>
    </comment>
    <comment ref="X230"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31"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31"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2" authorId="1" shapeId="0">
      <text>
        <r>
          <rPr>
            <b/>
            <sz val="9"/>
            <color indexed="81"/>
            <rFont val="Tahoma"/>
            <family val="2"/>
          </rPr>
          <t>User:</t>
        </r>
        <r>
          <rPr>
            <sz val="9"/>
            <color indexed="81"/>
            <rFont val="Tahoma"/>
            <family val="2"/>
          </rPr>
          <t xml:space="preserve">
- HS 3,00 từ 01/09/2015
- HS 3,33 từ 01/09/2018
- HS 3,66 từ 01/09/2021</t>
        </r>
      </text>
    </comment>
    <comment ref="X23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4" authorId="4" shapeId="0">
      <text>
        <r>
          <rPr>
            <b/>
            <sz val="9"/>
            <color indexed="81"/>
            <rFont val="Tahoma"/>
            <family val="2"/>
          </rPr>
          <t>Admin:</t>
        </r>
        <r>
          <rPr>
            <sz val="9"/>
            <color indexed="81"/>
            <rFont val="Tahoma"/>
            <family val="2"/>
          </rPr>
          <t xml:space="preserve">
- HS 3,00 từ 01/9/2016
- HS 3,33 từ 01/9/2019
- HS 3,66 từ 01/9/2022</t>
        </r>
      </text>
    </comment>
    <comment ref="X23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5" authorId="4" shapeId="0">
      <text>
        <r>
          <rPr>
            <b/>
            <sz val="9"/>
            <color indexed="81"/>
            <rFont val="Tahoma"/>
            <family val="2"/>
          </rPr>
          <t>Admin:</t>
        </r>
        <r>
          <rPr>
            <sz val="9"/>
            <color indexed="81"/>
            <rFont val="Tahoma"/>
            <family val="2"/>
          </rPr>
          <t xml:space="preserve">
- HS 3,00 từ 01/9/2016
- HS 3,33 từ 01/9/2019
- HS 3,66 từ 01/9/2022</t>
        </r>
      </text>
    </comment>
    <comment ref="X23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6"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6"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6"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7" authorId="4" shapeId="0">
      <text>
        <r>
          <rPr>
            <b/>
            <sz val="9"/>
            <color indexed="81"/>
            <rFont val="Tahoma"/>
            <family val="2"/>
          </rPr>
          <t>Admin:</t>
        </r>
        <r>
          <rPr>
            <sz val="9"/>
            <color indexed="81"/>
            <rFont val="Tahoma"/>
            <family val="2"/>
          </rPr>
          <t xml:space="preserve">
- HS 3,00 từ 01/10/2016
- HS 3,33 từ 01/10/2019
- HS 3,66 từ 01/10/2022</t>
        </r>
      </text>
    </comment>
    <comment ref="X237"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8" authorId="4" shapeId="0">
      <text>
        <r>
          <rPr>
            <b/>
            <sz val="9"/>
            <color indexed="81"/>
            <rFont val="Tahoma"/>
            <family val="2"/>
          </rPr>
          <t>Admin:</t>
        </r>
        <r>
          <rPr>
            <sz val="9"/>
            <color indexed="81"/>
            <rFont val="Tahoma"/>
            <family val="2"/>
          </rPr>
          <t xml:space="preserve">
- HS 2,67 từ 01/10/2016
- HS 3,00 từ 01/10/2019
- HS 3,33 từ 01/10/2022</t>
        </r>
      </text>
    </comment>
    <comment ref="X238"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9" authorId="4" shapeId="0">
      <text>
        <r>
          <rPr>
            <b/>
            <sz val="9"/>
            <color indexed="81"/>
            <rFont val="Tahoma"/>
            <family val="2"/>
          </rPr>
          <t>Admin:</t>
        </r>
        <r>
          <rPr>
            <sz val="9"/>
            <color indexed="81"/>
            <rFont val="Tahoma"/>
            <family val="2"/>
          </rPr>
          <t xml:space="preserve">
- HS 2,67 từ 01/09/2016
- HS 3,00 từ 01/9/2019</t>
        </r>
      </text>
    </comment>
    <comment ref="X239" authorId="6" shapeId="0">
      <text>
        <r>
          <rPr>
            <b/>
            <sz val="9"/>
            <color indexed="81"/>
            <rFont val="Tahoma"/>
            <family val="2"/>
          </rPr>
          <t>user:</t>
        </r>
        <r>
          <rPr>
            <sz val="9"/>
            <color indexed="81"/>
            <rFont val="Tahoma"/>
            <family val="2"/>
          </rPr>
          <t xml:space="preserve">
- 5% từ 01/09/2021
- 6% từ 01/09/2022
- 7% từ 01/9/2023</t>
        </r>
      </text>
    </comment>
    <comment ref="R240" authorId="3" shapeId="0">
      <text>
        <r>
          <rPr>
            <b/>
            <sz val="9"/>
            <color indexed="81"/>
            <rFont val="Tahoma"/>
            <family val="2"/>
          </rPr>
          <t>Quynh:</t>
        </r>
        <r>
          <rPr>
            <sz val="9"/>
            <color indexed="81"/>
            <rFont val="Tahoma"/>
            <family val="2"/>
          </rPr>
          <t xml:space="preserve">
- HS 2,67 từ 01/4/2019
- HS 3,00 từ 01/4/2022</t>
        </r>
      </text>
    </comment>
    <comment ref="X240" authorId="6" shapeId="0">
      <text>
        <r>
          <rPr>
            <b/>
            <sz val="9"/>
            <color indexed="81"/>
            <rFont val="Tahoma"/>
            <family val="2"/>
          </rPr>
          <t>user:</t>
        </r>
        <r>
          <rPr>
            <sz val="9"/>
            <color indexed="81"/>
            <rFont val="Tahoma"/>
            <family val="2"/>
          </rPr>
          <t xml:space="preserve">
+ 7% từ 01/12/2019
+ 8% từ 01/12/2020
+ 9% từ 01/12/2021
+ 10% từ 01/12/2022</t>
        </r>
      </text>
    </comment>
    <comment ref="R241" authorId="6" shapeId="0">
      <text>
        <r>
          <rPr>
            <b/>
            <sz val="9"/>
            <color indexed="81"/>
            <rFont val="Tahoma"/>
            <family val="2"/>
          </rPr>
          <t>user:</t>
        </r>
        <r>
          <rPr>
            <sz val="9"/>
            <color indexed="81"/>
            <rFont val="Tahoma"/>
            <family val="2"/>
          </rPr>
          <t xml:space="preserve">
- BN CDNN từ 01/10/2019 (HS 2,67)
- HS 3,00 từ 01/10/2022</t>
        </r>
      </text>
    </comment>
    <comment ref="X241" authorId="0" shapeId="0">
      <text>
        <r>
          <rPr>
            <b/>
            <sz val="9"/>
            <color indexed="81"/>
            <rFont val="Tahoma"/>
            <family val="2"/>
          </rPr>
          <t>Windows User:</t>
        </r>
        <r>
          <rPr>
            <sz val="9"/>
            <color indexed="81"/>
            <rFont val="Tahoma"/>
            <family val="2"/>
          </rPr>
          <t xml:space="preserve">
- 5% từ 01/10/2022
- 6% từ 01/10/2023</t>
        </r>
      </text>
    </comment>
    <comment ref="R242"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3"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3" authorId="0" shapeId="0">
      <text>
        <r>
          <rPr>
            <b/>
            <sz val="9"/>
            <color indexed="81"/>
            <rFont val="Tahoma"/>
            <family val="2"/>
          </rPr>
          <t>Windows User:</t>
        </r>
        <r>
          <rPr>
            <sz val="9"/>
            <color indexed="81"/>
            <rFont val="Tahoma"/>
            <family val="2"/>
          </rPr>
          <t xml:space="preserve">
- QĐ Chuyển mã CDNN từ V.09.02.07 sang V.09.02.03 từ 24/5/2023</t>
        </r>
      </text>
    </comment>
    <comment ref="R243" authorId="6" shapeId="0">
      <text>
        <r>
          <rPr>
            <b/>
            <sz val="9"/>
            <color indexed="81"/>
            <rFont val="Tahoma"/>
            <family val="2"/>
          </rPr>
          <t>user:</t>
        </r>
        <r>
          <rPr>
            <sz val="9"/>
            <color indexed="81"/>
            <rFont val="Tahoma"/>
            <family val="2"/>
          </rPr>
          <t xml:space="preserve">
- HS 4,32 từ 01/4/2022</t>
        </r>
      </text>
    </comment>
    <comment ref="X243" authorId="6" shapeId="0">
      <text>
        <r>
          <rPr>
            <b/>
            <sz val="9"/>
            <color indexed="81"/>
            <rFont val="Tahoma"/>
            <family val="2"/>
          </rPr>
          <t>user:</t>
        </r>
        <r>
          <rPr>
            <sz val="9"/>
            <color indexed="81"/>
            <rFont val="Tahoma"/>
            <family val="2"/>
          </rPr>
          <t xml:space="preserve">
- 17% từ 01/4/2022
- 18% từ 01/4/2023</t>
        </r>
      </text>
    </comment>
    <comment ref="R244"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4" authorId="2" shapeId="0">
      <text>
        <r>
          <rPr>
            <b/>
            <sz val="9"/>
            <color indexed="81"/>
            <rFont val="Tahoma"/>
            <family val="2"/>
          </rPr>
          <t>huynh-panda:</t>
        </r>
        <r>
          <rPr>
            <sz val="9"/>
            <color indexed="81"/>
            <rFont val="Tahoma"/>
            <family val="2"/>
          </rPr>
          <t xml:space="preserve">
- 5% từ 01/3/2022
- 6% từ 01/3/2023</t>
        </r>
      </text>
    </comment>
    <comment ref="R245" authorId="0" shapeId="0">
      <text>
        <r>
          <rPr>
            <b/>
            <sz val="9"/>
            <color indexed="81"/>
            <rFont val="Tahoma"/>
            <family val="2"/>
          </rPr>
          <t>Windows User:</t>
        </r>
        <r>
          <rPr>
            <sz val="9"/>
            <color indexed="81"/>
            <rFont val="Tahoma"/>
            <family val="2"/>
          </rPr>
          <t xml:space="preserve">
- HS 2,67 từ 01/10/2022 (Tuyển dụng VC). Mốc NL 01/01/2022</t>
        </r>
      </text>
    </comment>
    <comment ref="X245" authorId="0" shapeId="0">
      <text>
        <r>
          <rPr>
            <b/>
            <sz val="9"/>
            <color indexed="81"/>
            <rFont val="Tahoma"/>
            <family val="2"/>
          </rPr>
          <t>Windows User:</t>
        </r>
        <r>
          <rPr>
            <sz val="9"/>
            <color indexed="81"/>
            <rFont val="Tahoma"/>
            <family val="2"/>
          </rPr>
          <t xml:space="preserve">
- 7% từ 01/10/2022 (Tuyển dụng viên chức)
- 8% từ 01/07/2022</t>
        </r>
      </text>
    </comment>
    <comment ref="R246"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6" authorId="6" shapeId="0">
      <text>
        <r>
          <rPr>
            <b/>
            <sz val="9"/>
            <color indexed="81"/>
            <rFont val="Tahoma"/>
            <family val="2"/>
          </rPr>
          <t>user:</t>
        </r>
        <r>
          <rPr>
            <sz val="9"/>
            <color indexed="81"/>
            <rFont val="Tahoma"/>
            <family val="2"/>
          </rPr>
          <t xml:space="preserve">
Trưởng BM Cơ điện tử và Tự động hóa từ 01/01/2019</t>
        </r>
      </text>
    </comment>
    <comment ref="X246"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7" authorId="4" shapeId="0">
      <text>
        <r>
          <rPr>
            <b/>
            <sz val="9"/>
            <color indexed="81"/>
            <rFont val="Tahoma"/>
            <family val="2"/>
          </rPr>
          <t>Admin:</t>
        </r>
        <r>
          <rPr>
            <sz val="9"/>
            <color indexed="81"/>
            <rFont val="Tahoma"/>
            <family val="2"/>
          </rPr>
          <t xml:space="preserve">
- HS 3,00 từ 01/9/2016
- HS 3,33 từ 01/9/2019
- HS 3,66 từ 01/9/2022</t>
        </r>
      </text>
    </comment>
    <comment ref="X24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8" authorId="1" shapeId="0">
      <text>
        <r>
          <rPr>
            <b/>
            <sz val="9"/>
            <color indexed="81"/>
            <rFont val="Tahoma"/>
            <family val="2"/>
          </rPr>
          <t>User:</t>
        </r>
        <r>
          <rPr>
            <sz val="9"/>
            <color indexed="81"/>
            <rFont val="Tahoma"/>
            <family val="2"/>
          </rPr>
          <t xml:space="preserve">
HS 3,33 từ 01/9/2015
- HS 3,66 từ 01/9/2018
- HS 3,99 từ 01/9/2021</t>
        </r>
      </text>
    </comment>
    <comment ref="X248"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9"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9"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50" authorId="6" shapeId="0">
      <text>
        <r>
          <rPr>
            <b/>
            <sz val="9"/>
            <color indexed="81"/>
            <rFont val="Tahoma"/>
            <family val="2"/>
          </rPr>
          <t>user:</t>
        </r>
        <r>
          <rPr>
            <sz val="9"/>
            <color indexed="81"/>
            <rFont val="Tahoma"/>
            <family val="2"/>
          </rPr>
          <t xml:space="preserve">
- HS 3,33 từ 01/9/2019 (NL trước hạn)
- HS 3,66 từ 01/9/2022</t>
        </r>
      </text>
    </comment>
    <comment ref="X250"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51"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51"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52"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2"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2" authorId="0" shapeId="0">
      <text>
        <r>
          <rPr>
            <b/>
            <sz val="9"/>
            <color indexed="81"/>
            <rFont val="Tahoma"/>
            <family val="2"/>
          </rPr>
          <t>Windows User:</t>
        </r>
        <r>
          <rPr>
            <sz val="9"/>
            <color indexed="81"/>
            <rFont val="Tahoma"/>
            <family val="2"/>
          </rPr>
          <t xml:space="preserve">
- HS 3,99 từ 01/11/2022</t>
        </r>
      </text>
    </comment>
    <comment ref="X252" authorId="6" shapeId="0">
      <text>
        <r>
          <rPr>
            <b/>
            <sz val="9"/>
            <color indexed="81"/>
            <rFont val="Tahoma"/>
            <family val="2"/>
          </rPr>
          <t>user:</t>
        </r>
        <r>
          <rPr>
            <sz val="9"/>
            <color indexed="81"/>
            <rFont val="Tahoma"/>
            <family val="2"/>
          </rPr>
          <t xml:space="preserve">
+ 13% từ 01/10/2021
+ 14% từ 01/10/2022
+ 15% từ 01/10/2023</t>
        </r>
      </text>
    </comment>
    <comment ref="R253" authorId="3" shapeId="0">
      <text>
        <r>
          <rPr>
            <b/>
            <sz val="9"/>
            <color indexed="81"/>
            <rFont val="Tahoma"/>
            <family val="2"/>
          </rPr>
          <t>Quynh:</t>
        </r>
        <r>
          <rPr>
            <sz val="9"/>
            <color indexed="81"/>
            <rFont val="Tahoma"/>
            <family val="2"/>
          </rPr>
          <t xml:space="preserve">
- HS 2,67 từ 01/4/2019
- HS 3,00 từ 01/4/2021 (NL trước hạn)</t>
        </r>
      </text>
    </comment>
    <comment ref="R254" authorId="6" shapeId="0">
      <text>
        <r>
          <rPr>
            <b/>
            <sz val="9"/>
            <color indexed="81"/>
            <rFont val="Tahoma"/>
            <family val="2"/>
          </rPr>
          <t>user:</t>
        </r>
        <r>
          <rPr>
            <sz val="9"/>
            <color indexed="81"/>
            <rFont val="Tahoma"/>
            <family val="2"/>
          </rPr>
          <t xml:space="preserve">
- HS 2,34 từ 01/01/2020
- HS 2,67 từ 01/01/2022 (NL trước hạn)</t>
        </r>
      </text>
    </comment>
    <comment ref="W254" authorId="0" shapeId="0">
      <text>
        <r>
          <rPr>
            <b/>
            <sz val="9"/>
            <color indexed="81"/>
            <rFont val="Tahoma"/>
            <family val="2"/>
          </rPr>
          <t>Windows User:</t>
        </r>
        <r>
          <rPr>
            <sz val="9"/>
            <color indexed="81"/>
            <rFont val="Tahoma"/>
            <family val="2"/>
          </rPr>
          <t xml:space="preserve">
- Trưởng bộ môn Kỹ thuật Điện - Điện tử từ 01/10/2023</t>
        </r>
      </text>
    </comment>
    <comment ref="R255" authorId="3" shapeId="0">
      <text>
        <r>
          <rPr>
            <b/>
            <sz val="9"/>
            <color indexed="81"/>
            <rFont val="Tahoma"/>
            <family val="2"/>
          </rPr>
          <t>Quynh:</t>
        </r>
        <r>
          <rPr>
            <sz val="9"/>
            <color indexed="81"/>
            <rFont val="Tahoma"/>
            <family val="2"/>
          </rPr>
          <t xml:space="preserve">
- HS 2,34 từ 01/4/2019
- HS 2,67 từ 01/4/2022</t>
        </r>
      </text>
    </comment>
    <comment ref="W255" authorId="0" shapeId="0">
      <text>
        <r>
          <rPr>
            <b/>
            <sz val="9"/>
            <color indexed="81"/>
            <rFont val="Tahoma"/>
            <family val="2"/>
          </rPr>
          <t>Windows User:</t>
        </r>
        <r>
          <rPr>
            <sz val="9"/>
            <color indexed="81"/>
            <rFont val="Tahoma"/>
            <family val="2"/>
          </rPr>
          <t xml:space="preserve">
- QĐ Bổ nhiệm Trưởng BM Điện CN từ 01/10/2022</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<sst xmlns="http://schemas.openxmlformats.org/spreadsheetml/2006/main" count="6269" uniqueCount="1671">
  <si>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</si>
  <si>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</si>
  <si>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</si>
  <si>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</si>
  <si>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</si>
  <si>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</si>
  <si>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</si>
  <si>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</si>
  <si>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</si>
  <si>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</si>
  <si>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</si>
  <si>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</si>
  <si>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</si>
  <si>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</si>
  <si>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</si>
  <si>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</si>
  <si>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</si>
  <si>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</si>
  <si>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</si>
  <si>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</si>
  <si>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</si>
  <si>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</si>
  <si>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</si>
  <si>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</si>
  <si>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</si>
  <si>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</si>
  <si>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</si>
  <si>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</si>
  <si>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</si>
  <si>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</si>
  <si>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</si>
  <si>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</si>
  <si>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</si>
  <si>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</si>
  <si>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</si>
  <si>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</si>
  <si>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</si>
  <si>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</si>
  <si>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</si>
  <si>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</si>
  <si>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</si>
  <si>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</si>
  <si>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</si>
  <si>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</si>
  <si>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</si>
  <si>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</si>
  <si>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</si>
  <si>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</si>
  <si>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</si>
  <si>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</si>
  <si>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</si>
  <si>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</si>
  <si>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</si>
  <si>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</si>
  <si>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</si>
  <si>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</si>
  <si>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</si>
  <si>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</si>
  <si>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</si>
  <si>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</si>
  <si>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</si>
  <si>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</si>
  <si>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</si>
  <si>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</si>
  <si>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</si>
  <si>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</si>
  <si>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</si>
  <si>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</si>
  <si>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</si>
  <si>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</si>
  <si>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</si>
  <si>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</si>
  <si>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</si>
  <si>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</si>
  <si>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</si>
  <si>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</si>
  <si>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</si>
  <si>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</si>
  <si>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</si>
  <si>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</si>
  <si>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</si>
  <si>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</si>
  <si>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</si>
  <si>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</si>
  <si>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</si>
  <si>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</si>
  <si>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</si>
  <si>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</si>
  <si>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</si>
  <si>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</si>
  <si>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</si>
  <si>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</si>
  <si>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</si>
  <si>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</si>
  <si>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</si>
  <si>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</si>
  <si>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</si>
  <si>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</si>
  <si>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</si>
  <si>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</si>
  <si>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</si>
  <si>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</si>
  <si>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</si>
  <si>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</si>
  <si>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</si>
  <si>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</si>
  <si>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</si>
  <si>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</si>
  <si>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</si>
  <si>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</si>
  <si>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</si>
  <si>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</si>
  <si>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</si>
  <si>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</si>
  <si>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</si>
  <si>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</si>
  <si>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</si>
  <si>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</si>
  <si>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</si>
  <si>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</si>
  <si>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</si>
  <si>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</si>
  <si>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</si>
  <si>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</si>
  <si>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</si>
  <si>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</si>
  <si>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</si>
  <si>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</si>
  <si>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</si>
  <si>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</si>
  <si>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</si>
  <si>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</si>
  <si>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</si>
  <si>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</si>
  <si>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</si>
  <si>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</si>
  <si>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</si>
  <si>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</si>
  <si>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</si>
  <si>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</si>
  <si>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</si>
  <si>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</si>
  <si>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</si>
  <si>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</si>
  <si>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</si>
  <si>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</si>
  <si>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</si>
  <si>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</si>
  <si>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</si>
  <si>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</si>
  <si>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</si>
  <si>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</si>
  <si>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</si>
  <si>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</si>
  <si>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</si>
  <si>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</si>
  <si>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</si>
  <si>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</si>
  <si>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</si>
  <si>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</si>
  <si>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</si>
  <si>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</si>
  <si>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</si>
  <si>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</si>
  <si>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</si>
  <si>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</si>
  <si>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</si>
  <si>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</si>
  <si>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</si>
  <si>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</si>
  <si>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</si>
  <si>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</si>
  <si>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</si>
  <si>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</si>
  <si>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</si>
  <si>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</si>
  <si>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</si>
  <si>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</si>
  <si>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</si>
  <si>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</si>
  <si>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</si>
  <si>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</si>
  <si>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</si>
  <si>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</si>
  <si>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</si>
  <si>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</si>
  <si>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</si>
  <si>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</si>
  <si>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</si>
  <si>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</si>
  <si>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</si>
  <si>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</si>
  <si>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</si>
  <si>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</si>
  <si>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</si>
  <si>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</si>
  <si>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</si>
  <si>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</si>
  <si>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</si>
  <si>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</si>
  <si>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</si>
  <si>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</si>
  <si>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</si>
  <si>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</si>
  <si>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</si>
  <si>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</si>
  <si>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</si>
  <si>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</si>
  <si>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</si>
  <si>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</si>
  <si>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</si>
  <si>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</si>
  <si>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</si>
  <si>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</si>
  <si>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</si>
  <si>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</si>
  <si>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</si>
  <si>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</si>
  <si>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</si>
  <si>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</si>
  <si>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</si>
  <si>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</si>
  <si>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</si>
  <si>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</si>
  <si>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</si>
  <si>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</si>
  <si>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</si>
  <si>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</si>
  <si>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</si>
  <si>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</si>
  <si>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</si>
  <si>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</si>
  <si>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</si>
  <si>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</si>
  <si>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</si>
  <si>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</si>
  <si>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</si>
  <si>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</si>
  <si>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</si>
  <si>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</si>
  <si>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</si>
  <si>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</si>
  <si>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</si>
  <si>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</si>
  <si>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</si>
  <si>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</si>
  <si>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</si>
  <si>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</si>
  <si>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</si>
  <si>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</si>
  <si>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</si>
  <si>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</si>
  <si>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</si>
  <si>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</si>
  <si>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</si>
  <si>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</si>
  <si>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</si>
  <si>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</si>
  <si>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</si>
  <si>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</si>
  <si>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</si>
  <si>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</si>
  <si>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</si>
  <si>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</si>
  <si>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</si>
  <si>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</si>
  <si>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</si>
  <si>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</si>
  <si>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</si>
  <si>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</si>
  <si>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</si>
  <si>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</si>
  <si>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</si>
  <si>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</si>
  <si>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</si>
  <si>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</si>
  <si>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</si>
  <si>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</si>
  <si>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</si>
  <si>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</si>
  <si>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</si>
  <si>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</si>
  <si>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</si>
  <si>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</si>
  <si>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</si>
  <si>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</si>
  <si>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</si>
  <si>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</si>
  <si>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</si>
  <si>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</si>
  <si>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</si>
  <si>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</si>
  <si>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</si>
  <si>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</si>
  <si>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</si>
  <si>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</si>
  <si>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</si>
  <si>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</si>
  <si>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</si>
  <si>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</si>
  <si>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</si>
  <si>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</si>
  <si>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</si>
  <si>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</si>
  <si>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</si>
  <si>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</si>
  <si>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</si>
  <si>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</si>
  <si>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</si>
  <si>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</si>
  <si>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</si>
  <si>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</si>
  <si>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</si>
  <si>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</si>
  <si>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</si>
  <si>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</si>
  <si>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</si>
  <si>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</si>
  <si>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</si>
  <si>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</si>
  <si>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</si>
  <si>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</si>
  <si>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</si>
  <si>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</si>
  <si>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</si>
  <si>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</si>
  <si>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</si>
  <si>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</si>
  <si>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</si>
  <si>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</si>
  <si>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</si>
  <si>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</si>
  <si>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</si>
  <si>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</si>
  <si>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</si>
  <si>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</si>
  <si>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</si>
  <si>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</si>
  <si>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</si>
  <si>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</si>
  <si>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</si>
  <si>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</si>
  <si>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</si>
  <si>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</si>
  <si>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</si>
  <si>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</si>
  <si>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</si>
  <si>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</si>
  <si>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</si>
  <si>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</si>
  <si>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</si>
  <si>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</si>
  <si>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</si>
  <si>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</si>
  <si>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</si>
  <si>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</si>
  <si>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</si>
  <si>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</si>
  <si>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</si>
  <si>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</si>
  <si>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</si>
  <si>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</si>
  <si>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</si>
  <si>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</si>
  <si>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</si>
  <si>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</si>
  <si>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</si>
  <si>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</si>
  <si>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</si>
  <si>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</si>
  <si>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</si>
  <si>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</si>
  <si>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</si>
  <si>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</si>
  <si>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</si>
  <si>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</si>
  <si>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</si>
  <si>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</si>
  <si>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</si>
  <si>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</si>
  <si>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</si>
  <si>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</si>
  <si>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</si>
  <si>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</si>
  <si>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</si>
  <si>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</si>
  <si>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</si>
  <si>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</si>
  <si>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</si>
  <si>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</si>
  <si>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</si>
  <si>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</si>
  <si>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</si>
  <si>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</si>
  <si>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</si>
  <si>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</si>
  <si>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</si>
  <si>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</si>
  <si>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</si>
  <si>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</si>
  <si>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</si>
  <si>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</si>
  <si>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</si>
  <si>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</si>
  <si>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</si>
  <si>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</si>
  <si>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</si>
  <si>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</si>
  <si>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</si>
  <si>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</si>
  <si>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</si>
  <si>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</si>
  <si>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</si>
  <si>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</si>
  <si>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</si>
  <si>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</si>
  <si>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</si>
  <si>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</si>
  <si>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</si>
  <si>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</si>
  <si>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</si>
  <si>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</si>
  <si>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</si>
  <si>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</si>
  <si>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</si>
  <si>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</si>
  <si>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</si>
  <si>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</si>
  <si>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</si>
  <si>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</si>
  <si>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</si>
  <si>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</si>
  <si>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</si>
  <si>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</si>
  <si>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</si>
  <si>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</si>
  <si>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</si>
  <si>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</si>
  <si>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</si>
  <si>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</si>
  <si>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</si>
  <si>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</si>
  <si>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</si>
  <si>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</si>
  <si>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</si>
  <si>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</si>
  <si>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</si>
  <si>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</si>
  <si>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</si>
  <si>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</si>
  <si>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</si>
  <si>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</si>
  <si>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</si>
  <si>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</si>
  <si>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</si>
  <si>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</si>
  <si>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</si>
  <si>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</si>
  <si>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</si>
  <si>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</si>
  <si>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</si>
  <si>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</si>
  <si>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</si>
  <si>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</si>
  <si>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</si>
  <si>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</si>
  <si>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</si>
  <si>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</si>
  <si>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</si>
  <si>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</si>
  <si>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</si>
  <si>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</si>
  <si>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</si>
  <si>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</si>
  <si>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</si>
  <si>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</si>
  <si>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</si>
  <si>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</si>
  <si>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</si>
  <si>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</si>
  <si>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</si>
  <si>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</si>
  <si>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</si>
  <si>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</si>
  <si>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</si>
  <si>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</si>
  <si>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</si>
  <si>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</si>
  <si>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</si>
  <si>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</si>
  <si>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</si>
  <si>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</si>
  <si>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</si>
  <si>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</si>
  <si>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</si>
  <si>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</si>
  <si>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</si>
  <si>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</si>
  <si>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</si>
  <si>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</si>
  <si>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</si>
  <si>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</si>
  <si>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</si>
  <si>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</si>
  <si>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</si>
  <si>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</si>
  <si>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</si>
  <si>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</si>
  <si>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</si>
  <si>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</si>
  <si>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</si>
  <si>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</si>
  <si>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</si>
  <si>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</si>
  <si>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</si>
  <si>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</si>
  <si>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</si>
  <si>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</si>
  <si>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</si>
  <si>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</si>
  <si>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</si>
  <si>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</si>
  <si>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</si>
  <si>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</si>
  <si>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</si>
  <si>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</si>
  <si>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</si>
  <si>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</si>
  <si>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</si>
  <si>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</si>
  <si>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</si>
  <si>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</si>
  <si>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</si>
  <si>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</si>
  <si>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</si>
  <si>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</si>
  <si>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</si>
  <si>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</si>
  <si>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</si>
  <si>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</si>
  <si>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</si>
  <si>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</si>
  <si>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</si>
  <si>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</si>
  <si>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</si>
  <si>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</si>
  <si>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</si>
  <si>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</si>
  <si>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</si>
  <si>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</si>
  <si>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</si>
  <si>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</si>
  <si>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</si>
  <si>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</si>
  <si>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</si>
  <si>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</si>
  <si>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</si>
  <si>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</si>
  <si>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</si>
  <si>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</si>
  <si>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</si>
  <si>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</si>
  <si>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</si>
  <si>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</si>
  <si>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</si>
  <si>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</si>
  <si>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</si>
  <si>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</si>
  <si>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</si>
  <si>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</si>
  <si>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</si>
  <si>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</si>
  <si>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</si>
  <si>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</si>
  <si>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</si>
  <si>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</si>
  <si>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</si>
  <si>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</si>
  <si>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</si>
  <si>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</si>
  <si>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</si>
  <si>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</si>
  <si>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</si>
  <si>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</si>
  <si>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</si>
  <si>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</si>
  <si>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</si>
  <si>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</si>
  <si>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</si>
  <si>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</si>
  <si>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</si>
  <si>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</si>
  <si>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</si>
  <si>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</si>
  <si>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</si>
  <si>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</si>
  <si>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</si>
  <si>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</si>
  <si>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</si>
  <si>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</si>
  <si>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</si>
  <si>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</si>
  <si>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</si>
  <si>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</si>
  <si>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</si>
  <si>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</si>
  <si>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</si>
  <si>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</si>
  <si>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</si>
  <si>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</si>
  <si>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</si>
  <si>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</si>
  <si>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</si>
  <si>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</si>
  <si>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</si>
  <si>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</si>
  <si>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</si>
  <si>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</si>
  <si>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</si>
  <si>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</si>
  <si>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</si>
  <si>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</si>
  <si>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</si>
  <si>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</si>
  <si>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</si>
  <si>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</si>
  <si>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</si>
  <si>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</si>
  <si>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</si>
  <si>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</si>
  <si>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</si>
  <si>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</si>
  <si>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</si>
  <si>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</si>
  <si>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</si>
  <si>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</si>
  <si>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</si>
  <si>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</si>
  <si>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</si>
  <si>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</si>
  <si>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</si>
  <si>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</si>
  <si>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</si>
  <si>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</si>
  <si>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</si>
  <si>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</si>
  <si>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</si>
  <si>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</si>
  <si>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</si>
  <si>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</si>
  <si>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</si>
  <si>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</si>
  <si>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</si>
  <si>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</si>
  <si>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</si>
  <si>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</si>
  <si>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</si>
  <si>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</si>
  <si>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</si>
  <si>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</si>
  <si>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</si>
  <si>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</si>
  <si>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</si>
  <si>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</si>
  <si>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</si>
  <si>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</si>
  <si>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</si>
  <si>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</si>
  <si>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</si>
  <si>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</si>
  <si>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</si>
  <si>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</si>
  <si>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</si>
  <si>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</si>
  <si>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</si>
  <si>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</si>
  <si>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</si>
  <si>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</si>
  <si>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</si>
  <si>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</si>
  <si>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</si>
  <si>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</si>
  <si>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</si>
  <si>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</si>
  <si>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</si>
  <si>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</si>
  <si>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</si>
  <si>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</si>
  <si>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</si>
  <si>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</si>
  <si>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</si>
  <si>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</si>
  <si>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</si>
  <si>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</si>
  <si>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</si>
  <si>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</si>
  <si>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</si>
  <si>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</si>
  <si>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</si>
  <si>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</si>
  <si>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</si>
  <si>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</si>
  <si>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</si>
  <si>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</si>
  <si>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</si>
  <si>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</si>
  <si>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</si>
  <si>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</si>
  <si>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</si>
  <si>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</si>
  <si>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</si>
  <si>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</si>
  <si>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</si>
  <si>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</si>
  <si>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</si>
  <si>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</si>
  <si>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</si>
  <si>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</si>
  <si>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</si>
  <si>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</si>
  <si>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</si>
  <si>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</si>
  <si>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</si>
  <si>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</si>
  <si>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</si>
  <si>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</si>
  <si>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</si>
  <si>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</si>
  <si>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</si>
  <si>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</si>
  <si>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</si>
  <si>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</si>
  <si>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</si>
  <si>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</si>
  <si>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</si>
  <si>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</si>
  <si>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</si>
  <si>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</si>
  <si>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</si>
  <si>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</si>
  <si>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</si>
  <si>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</si>
  <si>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</si>
  <si>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</si>
  <si>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</si>
  <si>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</si>
  <si>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</si>
  <si>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</si>
  <si>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</si>
  <si>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</si>
  <si>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</si>
  <si>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</si>
  <si>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</si>
  <si>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</si>
  <si>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</si>
  <si>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</si>
  <si>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</si>
  <si>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</si>
  <si>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</si>
  <si>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</si>
  <si>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</si>
  <si>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</si>
  <si>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</si>
  <si>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</si>
  <si>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</si>
  <si>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</si>
  <si>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</si>
  <si>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</si>
  <si>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</si>
  <si>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</si>
  <si>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</si>
  <si>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</si>
  <si>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</si>
  <si>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</si>
  <si>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</si>
  <si>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</si>
  <si>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</si>
  <si>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</si>
  <si>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</si>
  <si>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</si>
  <si>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</si>
  <si>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</si>
  <si>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</si>
  <si>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</si>
  <si>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</si>
  <si>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</si>
  <si>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</si>
  <si>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</si>
  <si>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</si>
  <si>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</si>
  <si>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</si>
  <si>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</si>
  <si>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</si>
  <si>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</si>
  <si>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</si>
  <si>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</si>
  <si>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</si>
  <si>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</si>
  <si>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</si>
  <si>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</si>
  <si>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</si>
  <si>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</si>
  <si>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</si>
  <si>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</si>
  <si>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</si>
  <si>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</si>
  <si>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</si>
  <si>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</si>
  <si>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</si>
  <si>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</si>
  <si>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</si>
  <si>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</si>
  <si>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</si>
  <si>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</si>
  <si>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</si>
  <si>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</si>
  <si>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</si>
  <si>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</si>
  <si>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</si>
  <si>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</si>
  <si>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</si>
  <si>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</si>
  <si>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</si>
  <si>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</si>
  <si>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</si>
  <si>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</si>
  <si>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</si>
  <si>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</si>
  <si>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</si>
  <si>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</si>
  <si>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</si>
  <si>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</si>
  <si>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</si>
  <si>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</si>
  <si>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</si>
  <si>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</si>
  <si>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</si>
  <si>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</si>
  <si>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</si>
  <si>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</si>
  <si>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</si>
  <si>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</si>
  <si>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</si>
  <si>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</si>
  <si>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</si>
  <si>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</si>
  <si>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</si>
  <si>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</si>
  <si>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</si>
  <si>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</si>
  <si>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</si>
  <si>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</si>
  <si>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</si>
  <si>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</si>
  <si>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</si>
  <si>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</si>
  <si>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</si>
  <si>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</si>
  <si>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</si>
  <si>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</si>
  <si>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</si>
  <si>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</si>
  <si>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</si>
  <si>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</si>
  <si>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</si>
  <si>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</si>
  <si>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</si>
  <si>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</si>
  <si>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</si>
  <si>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</si>
  <si>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</si>
  <si>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</si>
  <si>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</si>
  <si>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</si>
  <si>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</si>
  <si>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</si>
  <si>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</si>
  <si>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</si>
  <si>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</si>
  <si>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</si>
  <si>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</si>
  <si>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</si>
  <si>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</si>
  <si>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</si>
  <si>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</si>
  <si>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</si>
  <si>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</si>
  <si>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</si>
  <si>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</si>
  <si>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</si>
  <si>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</si>
  <si>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</si>
  <si>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</si>
  <si>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</si>
  <si>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</si>
  <si>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</si>
  <si>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</si>
  <si>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</si>
  <si>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</si>
  <si>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</si>
  <si>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</si>
  <si>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</si>
  <si>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</si>
  <si>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</si>
  <si>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</si>
  <si>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</si>
  <si>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</si>
  <si>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</si>
  <si>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</si>
  <si>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</si>
  <si>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</si>
  <si>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</si>
  <si>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</si>
  <si>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</si>
  <si>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</si>
  <si>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</si>
  <si>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</si>
  <si>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</si>
  <si>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</si>
  <si>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</si>
  <si>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</si>
  <si>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</si>
  <si>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</si>
  <si>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</si>
  <si>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</si>
  <si>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</si>
  <si>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</si>
  <si>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</si>
  <si>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</si>
  <si>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</si>
  <si>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</si>
  <si>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</si>
  <si>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</si>
  <si>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</si>
  <si>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</si>
  <si>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</si>
  <si>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</si>
  <si>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</si>
  <si>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</si>
  <si>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</si>
  <si>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</si>
  <si>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</si>
  <si>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</si>
  <si>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</si>
  <si>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</si>
  <si>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</si>
  <si>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</si>
  <si>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</si>
  <si>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</si>
  <si>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</si>
  <si>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</si>
  <si>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</si>
  <si>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</si>
  <si>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</si>
  <si>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</si>
  <si>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</si>
  <si>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</si>
  <si>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</si>
  <si>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</si>
  <si>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</si>
  <si>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</si>
  <si>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</si>
  <si>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</si>
  <si>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</si>
  <si>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</si>
  <si>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</si>
  <si>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</si>
  <si>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</si>
  <si>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</si>
  <si>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</si>
  <si>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</si>
  <si>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</si>
  <si>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</si>
  <si>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</si>
  <si>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</si>
  <si>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</si>
  <si>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</si>
  <si>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</si>
  <si>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</si>
  <si>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</si>
  <si>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</si>
  <si>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</si>
  <si>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</si>
  <si>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</si>
  <si>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</si>
  <si>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</si>
  <si>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</si>
  <si>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</si>
  <si>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</si>
  <si>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</si>
  <si>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</si>
  <si>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</si>
  <si>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</si>
  <si>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</si>
  <si>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</si>
  <si>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</si>
  <si>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</si>
  <si>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</si>
  <si>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</si>
  <si>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</si>
  <si>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</si>
  <si>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</si>
  <si>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</si>
  <si>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</si>
  <si>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</si>
  <si>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</si>
  <si>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</si>
  <si>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</si>
  <si>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</si>
  <si>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</si>
  <si>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</si>
  <si>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</si>
  <si>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</si>
  <si>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</si>
  <si>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</si>
  <si>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</si>
  <si>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</si>
  <si>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</si>
  <si>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</si>
  <si>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</si>
  <si>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</si>
  <si>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</si>
  <si>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</si>
  <si>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</si>
  <si>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</si>
  <si>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</si>
  <si>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</si>
  <si>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</si>
  <si>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</si>
  <si>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</si>
  <si>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</si>
  <si>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</si>
  <si>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</si>
  <si>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</si>
  <si>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</si>
  <si>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</si>
  <si>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</si>
  <si>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</si>
  <si>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</si>
  <si>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</si>
  <si>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</si>
  <si>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</si>
  <si>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</si>
  <si>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</si>
  <si>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</si>
  <si>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</si>
  <si>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</si>
  <si>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</si>
  <si>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</si>
  <si>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</si>
  <si>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</si>
  <si>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</si>
  <si>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</si>
  <si>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</si>
  <si>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</si>
  <si>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</si>
  <si>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</si>
  <si>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</si>
  <si>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</si>
  <si>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</si>
  <si>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</si>
  <si>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</si>
  <si>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</si>
  <si>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</si>
  <si>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</si>
  <si>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</si>
  <si>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</si>
  <si>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</si>
  <si>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</si>
  <si>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</si>
  <si>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</si>
  <si>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</si>
  <si>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</si>
  <si>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</si>
  <si>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</si>
  <si>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</si>
  <si>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</si>
  <si>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</si>
  <si>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</si>
  <si>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</si>
  <si>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</si>
  <si>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</si>
  <si>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</si>
  <si>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</si>
  <si>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</si>
  <si>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</si>
  <si>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</si>
  <si>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</si>
  <si>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</si>
  <si>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</si>
  <si>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</si>
  <si>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</si>
  <si>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</si>
  <si>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</si>
  <si>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</si>
  <si>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</si>
  <si>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</si>
  <si>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</si>
  <si>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</si>
  <si>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</si>
  <si>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</si>
  <si>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</si>
  <si>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</si>
  <si>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</si>
  <si>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</si>
  <si>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</si>
  <si>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</si>
  <si>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</si>
  <si>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</si>
  <si>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</si>
  <si>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</si>
  <si>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</si>
  <si>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</si>
  <si>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</si>
  <si>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</si>
  <si>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</si>
  <si>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</si>
  <si>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</si>
  <si>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</si>
  <si>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</si>
  <si>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</si>
  <si>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</si>
  <si>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</si>
  <si>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</si>
  <si>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</si>
  <si>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</si>
  <si>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</si>
  <si>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</si>
  <si>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</si>
  <si>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</si>
  <si>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</si>
  <si>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</si>
  <si>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</si>
  <si>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</si>
  <si>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</si>
  <si>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</si>
  <si>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</si>
  <si>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</si>
  <si>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</si>
  <si>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</si>
  <si>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</si>
  <si>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</si>
  <si>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</si>
  <si>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</si>
  <si>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</si>
  <si>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</si>
  <si>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</si>
  <si>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</si>
  <si>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</si>
  <si>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</si>
  <si>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</si>
  <si>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</si>
  <si>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</si>
  <si>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</si>
  <si>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</si>
  <si>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</si>
  <si>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</si>
  <si>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</si>
  <si>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</si>
  <si>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</si>
  <si>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</si>
  <si>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</si>
  <si>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</si>
  <si>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</si>
  <si>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</si>
  <si>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</si>
  <si>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</si>
  <si>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</si>
  <si>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</si>
  <si>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</si>
  <si>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</si>
  <si>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</si>
  <si>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</si>
  <si>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</si>
  <si>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</si>
  <si>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</si>
  <si>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</si>
  <si>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</si>
  <si>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</si>
  <si>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</si>
  <si>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</si>
  <si>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</si>
  <si>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</si>
  <si>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</si>
  <si>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</si>
  <si>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</si>
  <si>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</si>
  <si>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</si>
  <si>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</si>
  <si>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</si>
  <si>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</si>
  <si>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</si>
  <si>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</si>
  <si>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</si>
  <si>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</si>
  <si>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</si>
  <si>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</si>
  <si>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</si>
  <si>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</si>
  <si>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</si>
  <si>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</si>
  <si>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</si>
  <si>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</si>
  <si>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</si>
  <si>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</si>
  <si>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</si>
  <si>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</si>
  <si>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</si>
  <si>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</si>
  <si>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</si>
  <si>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</si>
  <si>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</si>
  <si>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</si>
  <si>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</si>
  <si>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</si>
  <si>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</si>
  <si>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</si>
  <si>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</si>
  <si>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</si>
  <si>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</si>
  <si>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</si>
  <si>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</si>
  <si>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</si>
  <si>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</si>
  <si>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</si>
  <si>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</si>
  <si>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</si>
  <si>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</si>
  <si>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</si>
  <si>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</si>
  <si>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</si>
  <si>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</si>
  <si>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</si>
  <si>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</si>
  <si>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</si>
  <si>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</si>
  <si>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</si>
  <si>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</si>
  <si>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</si>
  <si>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</si>
  <si>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</si>
  <si>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</si>
  <si>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</si>
  <si>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</si>
  <si>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</si>
  <si>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</si>
  <si>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</si>
  <si>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</si>
  <si>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</si>
  <si>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</si>
  <si>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</si>
  <si>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</si>
  <si>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</si>
  <si>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</si>
  <si>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</si>
  <si>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</si>
  <si>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</si>
  <si>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</si>
  <si>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</si>
  <si>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</si>
  <si>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</si>
  <si>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</si>
  <si>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</si>
  <si>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</si>
  <si>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</si>
  <si>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</si>
  <si>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</si>
  <si>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</si>
  <si>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</si>
  <si>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</si>
  <si>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</si>
  <si>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</si>
  <si>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</si>
  <si>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</si>
  <si>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</si>
  <si>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</si>
  <si>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</si>
  <si>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</si>
  <si>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</si>
  <si>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</si>
  <si>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</si>
  <si>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</si>
  <si>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</si>
  <si>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</si>
  <si>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</si>
  <si>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</si>
  <si>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</si>
  <si>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</si>
  <si>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</si>
  <si>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</si>
  <si>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</si>
  <si>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</si>
  <si>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</si>
  <si>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</si>
  <si>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</si>
  <si>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</si>
  <si>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</si>
  <si>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</si>
  <si>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</si>
  <si>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</si>
  <si>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</si>
  <si>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</si>
  <si>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</si>
  <si>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</si>
  <si>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</si>
  <si>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</si>
  <si>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</si>
  <si>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</si>
  <si>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</si>
  <si>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</si>
  <si>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</si>
  <si>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</si>
  <si>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</si>
  <si>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</si>
  <si>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</si>
  <si>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</si>
  <si>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</si>
  <si>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</si>
  <si>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</si>
  <si>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</si>
  <si>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</si>
  <si>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</si>
  <si>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</si>
  <si>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</si>
  <si>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</si>
  <si>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</si>
  <si>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</si>
  <si>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</si>
  <si>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</si>
  <si>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</si>
  <si>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</si>
  <si>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</si>
  <si>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</si>
  <si>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</si>
  <si>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</si>
  <si>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</si>
  <si>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</si>
  <si>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</si>
  <si>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</si>
  <si>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</si>
  <si>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</si>
  <si>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</si>
  <si>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</si>
  <si>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</si>
  <si>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</si>
  <si>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</si>
  <si>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</si>
  <si>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</si>
  <si>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</si>
  <si>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</si>
  <si>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</si>
  <si>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</si>
  <si>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</si>
  <si>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</si>
  <si>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</si>
  <si>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</si>
  <si>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</si>
  <si>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</si>
  <si>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</si>
  <si>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</si>
  <si>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</si>
  <si>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</si>
  <si>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</si>
  <si>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</si>
  <si>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</si>
  <si>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</si>
  <si>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</si>
  <si>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</si>
  <si>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</si>
  <si>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</si>
  <si>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</si>
  <si>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</si>
  <si>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</si>
  <si>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</si>
  <si>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</si>
  <si>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</si>
  <si>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</si>
  <si>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</si>
  <si>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</si>
  <si>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</si>
  <si>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</si>
  <si>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</si>
  <si>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</si>
  <si>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</si>
  <si>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</si>
  <si>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</si>
  <si>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</si>
  <si>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</si>
  <si>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</si>
  <si>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</si>
  <si>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</si>
  <si>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</si>
  <si>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</si>
  <si>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</si>
  <si>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</si>
  <si>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</si>
  <si>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</si>
  <si>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</si>
  <si>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</si>
  <si>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</si>
  <si>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</si>
  <si>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</si>
  <si>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</si>
  <si>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</si>
  <si>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</si>
  <si>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</si>
  <si>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</si>
  <si>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</si>
  <si>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</si>
  <si>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</si>
  <si>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</si>
  <si>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</si>
  <si>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</si>
  <si>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</si>
  <si>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</si>
  <si>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</si>
  <si>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</si>
  <si>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</si>
  <si>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</si>
  <si>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</si>
  <si>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</si>
  <si>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</si>
  <si>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</si>
  <si>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</si>
  <si>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</si>
  <si>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</si>
  <si>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</si>
  <si>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</si>
  <si>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</si>
  <si>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</si>
  <si>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</si>
  <si>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</si>
  <si>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</si>
  <si>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</si>
  <si>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</si>
  <si>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</si>
  <si>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</si>
  <si>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</si>
  <si>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</si>
  <si>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</si>
  <si>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</si>
  <si>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</si>
  <si>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</si>
  <si>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</si>
  <si>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</si>
  <si>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</si>
  <si>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</si>
  <si>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</si>
  <si>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</si>
  <si>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</si>
  <si>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</si>
  <si>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</si>
  <si>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</si>
  <si>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</si>
  <si>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</si>
  <si>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</si>
  <si>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</si>
  <si>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</si>
  <si>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</si>
  <si>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</si>
  <si>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</si>
  <si>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</si>
  <si>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</si>
  <si>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</si>
  <si>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</si>
  <si>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</si>
  <si>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</si>
  <si>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</si>
  <si>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</si>
  <si>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</si>
  <si>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</si>
  <si>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</si>
  <si>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</si>
  <si>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</si>
  <si>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</si>
  <si>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</si>
  <si>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</si>
  <si>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</si>
  <si>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</si>
  <si>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</si>
  <si>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</si>
  <si>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</si>
  <si>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</si>
  <si>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</si>
  <si>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</si>
  <si>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</si>
  <si>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</si>
  <si>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</si>
  <si>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</si>
  <si>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</si>
  <si>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</si>
  <si>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</si>
  <si>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</si>
  <si>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</si>
  <si>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</si>
  <si>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</si>
  <si>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</si>
  <si>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</si>
  <si>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</si>
  <si>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</si>
  <si>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</si>
  <si>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</si>
  <si>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</si>
  <si>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</si>
  <si>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</si>
  <si>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</si>
  <si>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</si>
  <si>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</si>
  <si>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</si>
  <si>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</si>
  <si>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</si>
  <si>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</si>
  <si>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</si>
  <si>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</si>
  <si>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</si>
  <si>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</si>
  <si>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</si>
  <si>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</si>
  <si>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</si>
  <si>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</si>
  <si>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</si>
  <si>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</si>
  <si>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</si>
  <si>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</si>
  <si>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</si>
  <si>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</si>
  <si>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</si>
  <si>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</si>
  <si>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</si>
  <si>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</si>
  <si>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</si>
  <si>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</si>
  <si>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</si>
  <si>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</si>
  <si>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</si>
  <si>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</si>
  <si>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</si>
  <si>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</si>
  <si>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</si>
  <si>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</si>
  <si>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</si>
  <si>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</si>
  <si>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</si>
  <si>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</si>
  <si>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</si>
  <si>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</si>
  <si>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</si>
  <si>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</si>
  <si>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</si>
  <si>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</si>
  <si>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</si>
  <si>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</si>
  <si>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</si>
  <si>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</si>
  <si>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</si>
  <si>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</si>
  <si>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</si>
  <si>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</si>
  <si>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</si>
  <si>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</si>
  <si>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</si>
  <si>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</si>
  <si>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</si>
  <si>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</si>
  <si>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</si>
  <si>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</si>
  <si>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</si>
  <si>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</si>
  <si>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</si>
  <si>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</si>
  <si>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</si>
  <si>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</si>
  <si>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</si>
  <si>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</si>
  <si>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</si>
  <si>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</si>
  <si>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</si>
  <si>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</si>
  <si>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</si>
  <si>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</si>
  <si>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</si>
  <si>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</si>
  <si>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</si>
  <si>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</si>
  <si>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</si>
  <si>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</si>
  <si>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</si>
  <si>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</si>
  <si>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</si>
  <si>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</si>
  <si>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</si>
  <si>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</si>
  <si>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</si>
  <si>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</si>
  <si>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</si>
  <si>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</si>
  <si>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Đồng Công Tạo</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</si>
  <si>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</si>
  <si>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</si>
  <si>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</si>
  <si>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</si>
  <si>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</si>
  <si>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</si>
  <si>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</si>
  <si>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</si>
  <si>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</si>
  <si>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</si>
  <si>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</si>
  <si>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</si>
  <si>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</si>
  <si>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</si>
  <si>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</si>
  <si>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</si>
  <si>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</si>
  <si>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</si>
  <si>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</si>
  <si>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</si>
  <si>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</si>
  <si>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</si>
  <si>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</si>
  <si>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</si>
  <si>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</si>
  <si>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</si>
  <si>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</si>
  <si>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</si>
  <si>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</si>
  <si>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</si>
  <si>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</si>
  <si>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</si>
  <si>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</si>
  <si>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</si>
  <si>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</si>
  <si>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</si>
  <si>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</si>
  <si>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</si>
  <si>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</si>
  <si>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</si>
  <si>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Nghỉ không hưởng lương từ 01/9/2023</t>
  </si>
  <si>
    <t>QĐ Số 416/QĐ-LTT-TC ngày 17/7/2023 về giải quyết nghỉ không hưởng lương đối với bà Trần Hà Trang từ ngày 01/9/2023 đến hết ngày 29/2/2024</t>
  </si>
  <si>
    <t>QĐ Chấm dứt hợp đồng lao động từ 10/9/2023</t>
  </si>
  <si>
    <t>Bảng lương tháng 09/2023</t>
  </si>
  <si>
    <t>QĐ số 409/QĐ-LTT-TC ngày 14 tháng 7 năm 2023 về nghỉ hưu hưởng chế độ BHXH đối với viên chức Đặng Thị Nhật Minh từ ngày 01/10/2023. Bà Minh không còn tên trên BL T10/2023 của Trường.</t>
  </si>
  <si>
    <t xml:space="preserve">QĐ Số 535/QĐ-LTT-TC về chấm dứt HĐ đối với ông Lê Tiến Đạt từ ngày 01/10/2023 (Chuyển đến Khoa Y - Trường Đại học quốc gia TP.HCM). Ông Đạt không còn tên trên BL T10/2023 của Trường. </t>
  </si>
  <si>
    <t>QĐ Số 482/QĐ-LTT-TC ngày 28 tháng 8 năm 2023 về chấm dứt HĐ làm việc đối với Ông Đồng Công Tạo từ ngày 10/9/2023. Ông Tạo không còn tên trên BL T10/23 của Trường.</t>
  </si>
  <si>
    <t>Nguyễn Huỳnh Lưu Phương</t>
  </si>
  <si>
    <t>Thuyên chuyển về trường từ 01/10/2023</t>
  </si>
  <si>
    <t>Nghỉ bệnh hưởng BHXH từ ngày 28/8/2023 đến hết ngày 30/8/2023 (03 ngày)</t>
  </si>
  <si>
    <t>- QĐ Nâng 1% phụ cấp thâm niên nhà giáo từ 01/10/2023
- QĐ Nâng phụ cấp thâm niên vượt khung từ 01/10/2023</t>
  </si>
  <si>
    <t>QĐ Nâng 1% phụ cấp thâm niên nhà giáo từ 01/10/2023</t>
  </si>
  <si>
    <t>- QĐ Nâng 1% phụ cấp thâm niên nhà giáo từ 01/10/2023</t>
  </si>
  <si>
    <t>- QĐ Nâng 1% phụ cấp thâm niên nhà giáo từ 01/9/2023</t>
  </si>
  <si>
    <t>- QĐ Nâng 1% phụ cấp thâm niên nhà giáo từ 01/10/2023
- QĐ Nâng lương thường xuyên từ 01/10/2023</t>
  </si>
  <si>
    <t>QĐ Nâng 1% phụ cấp thâm niên nhà giáo từ 01/10/2023
- QĐ Nâng phụ cấp thâm niên vượt khung từ 01/10/2023</t>
  </si>
  <si>
    <t>QĐ Nâng phụ cấp thâm niên vượt khung từ 01/10/2023</t>
  </si>
  <si>
    <t>Nghỉ chế độ con bệnh từ 19/9 đến 22/9</t>
  </si>
  <si>
    <t>Nghỉ hưởng chế độ BHXH (con bệnh) từ 19/09/2023 đến hết ngày 22/9/2023 (04 ngày)</t>
  </si>
  <si>
    <t>QĐ Bổ nhiệm Trưởng khoa Kinh tế từ 01/10/2023</t>
  </si>
  <si>
    <t>QĐ Bổ nhiệm Trưởng khoa Ngoại ngữ từ 01/10/2023</t>
  </si>
  <si>
    <t>Trưởng khoa Ngoại Ngữ</t>
  </si>
  <si>
    <t>QĐ Bổ nhiệm Phó Trưởng TT Điều hành và Quản lý dữ liệu từ 01/10/2023</t>
  </si>
  <si>
    <t>QĐ Bổ nhiệm Phó Trưởng phòng Quản trị - Dịch vụ từ 01/10/2023</t>
  </si>
  <si>
    <t>Phó Giám đốc TT Đào tạo Lý Tự Trọng</t>
  </si>
  <si>
    <t>QĐ Bổ nhiệm Phó Giám đốc TT Đào tạo Lý Tự Trọng từ ngày 01/10/2023</t>
  </si>
  <si>
    <t>Trưởng Bộ môn - Khoa Điện - Điện tử</t>
  </si>
  <si>
    <t>QĐ Bổ nhiệm Trưởng bộ môn Kỹ thuật Điện - Điện tử từ ngày 01/10/2023</t>
  </si>
  <si>
    <t>Hai tỷ hai trăm sáu mươi bốn triệu chín trăm tám mươi bốn ngàn một trăm ba mươi hai đồng.</t>
  </si>
  <si>
    <t>Thành phố Hồ Chí Minh, ngày 02 tháng 10 năm 2023</t>
  </si>
  <si>
    <t>(Tháng 10 năm 2023)</t>
  </si>
  <si>
    <t>BẢNG ĐIỀU CHỈNH THAY ĐỔI LƯƠNG CỦA CÁN BỘ, VIÊN CHỨC - THÁNG 10/2023</t>
  </si>
  <si>
    <t>Bảng lương tháng 10/2023</t>
  </si>
  <si>
    <t>QĐ Thuyên chuyển về Trường từ ngày 01/10/2023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</si>
</sst>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6"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s>
  <fills count="20">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177">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0" fontId="4" fillId="0" borderId="2" xfId="0" quotePrefix="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3" fontId="8" fillId="0" borderId="3" xfId="0" applyNumberFormat="1" applyFont="1" applyFill="1" applyBorder="1" applyAlignment="1">
      <alignment vertical="center" wrapText="1"/>
    </xf>
    <xf numFmtId="0" fontId="3" fillId="0" borderId="8" xfId="0" applyFont="1" applyFill="1" applyBorder="1" applyAlignment="1">
      <alignment horizontal="left" vertical="top" wrapText="1"/>
    </xf>
    <xf numFmtId="1" fontId="9" fillId="4" borderId="2" xfId="0" quotePrefix="1" applyNumberFormat="1" applyFont="1" applyFill="1" applyBorder="1" applyAlignment="1">
      <alignment horizontal="center" vertical="center"/>
    </xf>
    <xf numFmtId="0" fontId="0" fillId="0" borderId="0" xfId="0" quotePrefix="1"/>
    <xf numFmtId="0" fontId="5" fillId="2" borderId="1" xfId="0" applyFont="1" applyFill="1" applyBorder="1" applyAlignment="1">
      <alignment horizontal="left"/>
    </xf>
    <xf numFmtId="0" fontId="7" fillId="0" borderId="7" xfId="0" applyFont="1" applyBorder="1" applyAlignment="1">
      <alignment horizontal="center" vertical="center" wrapText="1"/>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49" fontId="4" fillId="0" borderId="7" xfId="0" quotePrefix="1"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0" fontId="39" fillId="0" borderId="2" xfId="0"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3" fillId="0" borderId="0" xfId="0" applyFont="1" applyFill="1" applyBorder="1" applyAlignment="1">
      <alignment horizontal="left" vertical="top" wrapText="1"/>
    </xf>
    <xf numFmtId="0" fontId="4"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quotePrefix="1" applyFont="1" applyFill="1" applyBorder="1" applyAlignment="1">
      <alignment horizontal="left" vertical="center" wrapText="1"/>
    </xf>
    <xf numFmtId="167" fontId="4" fillId="0" borderId="2" xfId="3" applyNumberFormat="1" applyFont="1" applyFill="1" applyBorder="1" applyAlignment="1">
      <alignment horizontal="center" vertical="center" wrapText="1"/>
    </xf>
    <xf numFmtId="3" fontId="4" fillId="0" borderId="2" xfId="3" applyNumberFormat="1" applyFont="1" applyFill="1" applyBorder="1" applyAlignment="1">
      <alignment horizontal="right" vertical="center" wrapText="1"/>
    </xf>
    <xf numFmtId="3"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right" vertical="center" wrapText="1"/>
    </xf>
    <xf numFmtId="4" fontId="4"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right" vertical="center" wrapText="1"/>
    </xf>
    <xf numFmtId="167" fontId="5" fillId="0" borderId="2" xfId="0" applyNumberFormat="1" applyFont="1" applyFill="1" applyBorder="1" applyAlignment="1">
      <alignment horizontal="right" vertical="center" wrapText="1"/>
    </xf>
    <xf numFmtId="169" fontId="4" fillId="0" borderId="0" xfId="1" applyNumberFormat="1" applyFont="1" applyFill="1" applyAlignment="1">
      <alignment vertical="center" wrapText="1"/>
    </xf>
    <xf numFmtId="49" fontId="4" fillId="4" borderId="6" xfId="0" quotePrefix="1" applyNumberFormat="1" applyFont="1" applyFill="1" applyBorder="1" applyAlignment="1">
      <alignment horizontal="center"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1" fillId="4" borderId="24"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67" fontId="5" fillId="4" borderId="24" xfId="0" applyNumberFormat="1" applyFont="1" applyFill="1" applyBorder="1" applyAlignment="1">
      <alignment horizontal="center" vertical="center" wrapText="1"/>
    </xf>
    <xf numFmtId="0" fontId="4" fillId="0" borderId="24" xfId="0" quotePrefix="1" applyFont="1" applyFill="1" applyBorder="1" applyAlignment="1">
      <alignment horizontal="center" vertical="center" wrapText="1"/>
    </xf>
    <xf numFmtId="0" fontId="4" fillId="0" borderId="24" xfId="0" applyFont="1" applyFill="1" applyBorder="1" applyAlignment="1">
      <alignment horizontal="left" vertical="center" wrapText="1"/>
    </xf>
    <xf numFmtId="0" fontId="7" fillId="0" borderId="24" xfId="0" applyFont="1" applyFill="1" applyBorder="1" applyAlignment="1">
      <alignment horizontal="center" vertical="center" wrapText="1"/>
    </xf>
    <xf numFmtId="0" fontId="5" fillId="0" borderId="24" xfId="0" applyFont="1" applyFill="1" applyBorder="1" applyAlignment="1">
      <alignment horizontal="left" vertical="center" wrapText="1"/>
    </xf>
    <xf numFmtId="0" fontId="4" fillId="0" borderId="24" xfId="0" quotePrefix="1" applyFont="1" applyFill="1" applyBorder="1" applyAlignment="1">
      <alignment horizontal="left" vertical="center" wrapText="1"/>
    </xf>
    <xf numFmtId="167" fontId="4" fillId="0" borderId="24" xfId="3" applyNumberFormat="1" applyFont="1" applyFill="1" applyBorder="1" applyAlignment="1">
      <alignment horizontal="center" vertical="center" wrapText="1"/>
    </xf>
    <xf numFmtId="3" fontId="4" fillId="0" borderId="24" xfId="3" applyNumberFormat="1" applyFont="1" applyFill="1" applyBorder="1" applyAlignment="1">
      <alignment horizontal="right" vertical="center" wrapText="1"/>
    </xf>
    <xf numFmtId="3" fontId="4" fillId="0" borderId="24" xfId="0" applyNumberFormat="1" applyFont="1" applyFill="1" applyBorder="1" applyAlignment="1">
      <alignment horizontal="center" vertical="center" wrapText="1"/>
    </xf>
    <xf numFmtId="3" fontId="4" fillId="0" borderId="24" xfId="0" applyNumberFormat="1" applyFont="1" applyFill="1" applyBorder="1" applyAlignment="1">
      <alignment horizontal="right" vertical="center" wrapText="1"/>
    </xf>
    <xf numFmtId="4" fontId="4" fillId="0" borderId="24" xfId="0" applyNumberFormat="1" applyFont="1" applyFill="1" applyBorder="1" applyAlignment="1">
      <alignment horizontal="center" vertical="center" wrapText="1"/>
    </xf>
    <xf numFmtId="3" fontId="5" fillId="0" borderId="24" xfId="0" applyNumberFormat="1" applyFont="1" applyFill="1" applyBorder="1" applyAlignment="1">
      <alignment horizontal="right" vertical="center" wrapText="1"/>
    </xf>
    <xf numFmtId="0" fontId="3" fillId="0" borderId="29" xfId="0" applyFont="1" applyFill="1" applyBorder="1" applyAlignment="1">
      <alignment horizontal="left" vertical="top" wrapText="1"/>
    </xf>
    <xf numFmtId="1" fontId="4" fillId="0" borderId="9" xfId="0" quotePrefix="1" applyNumberFormat="1" applyFont="1" applyFill="1" applyBorder="1" applyAlignment="1">
      <alignment horizontal="center" vertical="center" wrapText="1"/>
    </xf>
    <xf numFmtId="0" fontId="4" fillId="13" borderId="31" xfId="0" quotePrefix="1" applyFont="1" applyFill="1" applyBorder="1" applyAlignment="1">
      <alignment horizontal="center" vertical="center" wrapText="1"/>
    </xf>
    <xf numFmtId="0" fontId="1" fillId="13" borderId="31" xfId="0" applyFont="1" applyFill="1" applyBorder="1" applyAlignment="1">
      <alignment horizontal="left" vertical="center" wrapText="1"/>
    </xf>
    <xf numFmtId="0" fontId="7" fillId="13" borderId="31" xfId="0" applyFont="1" applyFill="1" applyBorder="1" applyAlignment="1">
      <alignment horizontal="center" vertical="center" wrapText="1"/>
    </xf>
    <xf numFmtId="0" fontId="5" fillId="13" borderId="31" xfId="0" applyFont="1" applyFill="1" applyBorder="1" applyAlignment="1">
      <alignment horizontal="left" vertical="center" wrapText="1"/>
    </xf>
    <xf numFmtId="0" fontId="4" fillId="13" borderId="31" xfId="0" quotePrefix="1" applyFont="1" applyFill="1" applyBorder="1" applyAlignment="1">
      <alignment horizontal="left" vertical="center" wrapText="1"/>
    </xf>
    <xf numFmtId="0" fontId="4" fillId="13" borderId="31" xfId="0" applyFont="1" applyFill="1" applyBorder="1" applyAlignment="1">
      <alignment horizontal="center" vertical="center" wrapText="1"/>
    </xf>
    <xf numFmtId="167" fontId="4" fillId="13" borderId="31" xfId="3" applyNumberFormat="1" applyFont="1" applyFill="1" applyBorder="1" applyAlignment="1">
      <alignment horizontal="center" vertical="center" wrapText="1"/>
    </xf>
    <xf numFmtId="3" fontId="4" fillId="13" borderId="31" xfId="3" applyNumberFormat="1" applyFont="1" applyFill="1" applyBorder="1" applyAlignment="1">
      <alignment horizontal="right" vertical="center" wrapText="1"/>
    </xf>
    <xf numFmtId="3" fontId="4" fillId="13" borderId="31" xfId="0" applyNumberFormat="1" applyFont="1" applyFill="1" applyBorder="1" applyAlignment="1">
      <alignment horizontal="center" vertical="center" wrapText="1"/>
    </xf>
    <xf numFmtId="3" fontId="4" fillId="13" borderId="31" xfId="0" applyNumberFormat="1" applyFont="1" applyFill="1" applyBorder="1" applyAlignment="1">
      <alignment horizontal="right" vertical="center" wrapText="1"/>
    </xf>
    <xf numFmtId="4" fontId="4" fillId="13" borderId="31" xfId="0" applyNumberFormat="1" applyFont="1" applyFill="1" applyBorder="1" applyAlignment="1">
      <alignment horizontal="center" vertical="center" wrapText="1"/>
    </xf>
    <xf numFmtId="3" fontId="5" fillId="13" borderId="31" xfId="0" applyNumberFormat="1" applyFont="1" applyFill="1" applyBorder="1" applyAlignment="1">
      <alignment horizontal="right" vertical="center" wrapText="1"/>
    </xf>
    <xf numFmtId="0" fontId="1" fillId="4" borderId="31" xfId="0" quotePrefix="1" applyFont="1" applyFill="1" applyBorder="1" applyAlignment="1">
      <alignment horizontal="center" vertical="center" wrapText="1"/>
    </xf>
    <xf numFmtId="9" fontId="4" fillId="4" borderId="31" xfId="0" applyNumberFormat="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7" fontId="4" fillId="4" borderId="31" xfId="0"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3" fontId="4" fillId="4" borderId="11"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3" fontId="4" fillId="4" borderId="31" xfId="0" quotePrefix="1" applyNumberFormat="1"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167" fontId="4" fillId="8" borderId="2" xfId="0" applyNumberFormat="1" applyFont="1" applyFill="1" applyBorder="1" applyAlignment="1">
      <alignment horizontal="right" vertical="center" wrapText="1"/>
    </xf>
    <xf numFmtId="167" fontId="4" fillId="8" borderId="2" xfId="0" applyNumberFormat="1" applyFont="1" applyFill="1" applyBorder="1" applyAlignment="1">
      <alignment horizontal="center" vertical="center" wrapText="1"/>
    </xf>
    <xf numFmtId="165" fontId="4" fillId="19" borderId="2" xfId="0" applyNumberFormat="1" applyFont="1" applyFill="1" applyBorder="1" applyAlignment="1">
      <alignment horizontal="right" vertical="center" wrapText="1"/>
    </xf>
    <xf numFmtId="3" fontId="4" fillId="19" borderId="2" xfId="0" applyNumberFormat="1" applyFont="1" applyFill="1" applyBorder="1" applyAlignment="1">
      <alignment horizontal="center" vertical="center" wrapText="1"/>
    </xf>
    <xf numFmtId="3" fontId="4" fillId="19" borderId="2" xfId="0" applyNumberFormat="1" applyFont="1" applyFill="1" applyBorder="1" applyAlignment="1">
      <alignment horizontal="right" vertical="center" wrapText="1"/>
    </xf>
    <xf numFmtId="4" fontId="4" fillId="19" borderId="2" xfId="0" applyNumberFormat="1" applyFont="1" applyFill="1" applyBorder="1" applyAlignment="1">
      <alignment horizontal="center" vertical="center" wrapText="1"/>
    </xf>
    <xf numFmtId="3" fontId="5" fillId="19" borderId="2" xfId="0" applyNumberFormat="1" applyFont="1" applyFill="1" applyBorder="1" applyAlignment="1">
      <alignment horizontal="right" vertical="center" wrapText="1"/>
    </xf>
    <xf numFmtId="167" fontId="4" fillId="19" borderId="2" xfId="0" applyNumberFormat="1" applyFont="1" applyFill="1" applyBorder="1" applyAlignment="1">
      <alignment horizontal="right" vertical="center" wrapText="1"/>
    </xf>
    <xf numFmtId="9" fontId="40" fillId="19" borderId="2" xfId="0" applyNumberFormat="1" applyFont="1" applyFill="1" applyBorder="1" applyAlignment="1">
      <alignment horizontal="center" vertical="center" wrapText="1"/>
    </xf>
    <xf numFmtId="167" fontId="4" fillId="19" borderId="2" xfId="0" applyNumberFormat="1" applyFont="1" applyFill="1" applyBorder="1" applyAlignment="1">
      <alignment horizontal="center" vertical="center" wrapText="1"/>
    </xf>
    <xf numFmtId="0" fontId="3" fillId="19" borderId="3" xfId="0" applyFont="1" applyFill="1" applyBorder="1" applyAlignment="1">
      <alignment horizontal="left" vertical="center" wrapText="1"/>
    </xf>
    <xf numFmtId="0" fontId="1" fillId="19" borderId="2" xfId="0" quotePrefix="1" applyFont="1" applyFill="1" applyBorder="1" applyAlignment="1">
      <alignment horizontal="center" vertical="center" wrapText="1"/>
    </xf>
    <xf numFmtId="0" fontId="4" fillId="19" borderId="2" xfId="0" quotePrefix="1" applyFont="1" applyFill="1" applyBorder="1" applyAlignment="1">
      <alignment horizontal="center" vertical="center" wrapText="1"/>
    </xf>
    <xf numFmtId="1" fontId="4" fillId="19" borderId="13" xfId="0" applyNumberFormat="1" applyFont="1" applyFill="1" applyBorder="1" applyAlignment="1">
      <alignment horizontal="center" vertical="center" wrapText="1"/>
    </xf>
    <xf numFmtId="0" fontId="1" fillId="19" borderId="2" xfId="0" applyFont="1" applyFill="1" applyBorder="1" applyAlignment="1">
      <alignment horizontal="left" vertical="center" wrapText="1"/>
    </xf>
    <xf numFmtId="0" fontId="7" fillId="19" borderId="2" xfId="0" applyFont="1" applyFill="1" applyBorder="1" applyAlignment="1">
      <alignment horizontal="center" vertical="center" wrapText="1"/>
    </xf>
    <xf numFmtId="0" fontId="4" fillId="19" borderId="2" xfId="0" applyFont="1" applyFill="1" applyBorder="1" applyAlignment="1">
      <alignment horizontal="left" vertical="center" wrapText="1"/>
    </xf>
    <xf numFmtId="0" fontId="4" fillId="19" borderId="2" xfId="0" applyFont="1" applyFill="1" applyBorder="1" applyAlignment="1">
      <alignment horizontal="center" vertical="center" wrapText="1"/>
    </xf>
    <xf numFmtId="1" fontId="4" fillId="19" borderId="2" xfId="0" applyNumberFormat="1" applyFont="1" applyFill="1" applyBorder="1" applyAlignment="1">
      <alignment horizontal="center" vertical="center"/>
    </xf>
    <xf numFmtId="3" fontId="7" fillId="19" borderId="2" xfId="0" quotePrefix="1" applyNumberFormat="1" applyFont="1" applyFill="1" applyBorder="1" applyAlignment="1">
      <alignment horizontal="center" vertical="center" wrapText="1"/>
    </xf>
    <xf numFmtId="14" fontId="4" fillId="19" borderId="2" xfId="0" applyNumberFormat="1" applyFont="1" applyFill="1" applyBorder="1" applyAlignment="1">
      <alignment horizontal="center" vertical="center" wrapText="1"/>
    </xf>
    <xf numFmtId="0" fontId="4" fillId="19" borderId="2" xfId="3" applyFont="1" applyFill="1" applyBorder="1" applyAlignment="1">
      <alignment horizontal="center" vertical="center" wrapText="1"/>
    </xf>
    <xf numFmtId="2" fontId="4" fillId="19" borderId="2" xfId="3" applyNumberFormat="1" applyFont="1" applyFill="1" applyBorder="1" applyAlignment="1">
      <alignment horizontal="center" vertical="center" wrapText="1"/>
    </xf>
    <xf numFmtId="167" fontId="4" fillId="19" borderId="2" xfId="3" applyNumberFormat="1" applyFont="1" applyFill="1" applyBorder="1" applyAlignment="1">
      <alignment horizontal="center" vertical="center" wrapText="1"/>
    </xf>
    <xf numFmtId="3" fontId="4" fillId="19" borderId="2" xfId="3" applyNumberFormat="1" applyFont="1" applyFill="1" applyBorder="1" applyAlignment="1">
      <alignment horizontal="center" vertical="center" wrapText="1"/>
    </xf>
    <xf numFmtId="3" fontId="4" fillId="19" borderId="2" xfId="3" applyNumberFormat="1" applyFont="1" applyFill="1" applyBorder="1" applyAlignment="1">
      <alignment horizontal="right" vertical="center" wrapText="1"/>
    </xf>
    <xf numFmtId="9" fontId="4" fillId="19" borderId="2" xfId="0" applyNumberFormat="1" applyFont="1" applyFill="1" applyBorder="1" applyAlignment="1">
      <alignment horizontal="center" vertical="center" wrapText="1"/>
    </xf>
    <xf numFmtId="0" fontId="1" fillId="8" borderId="2" xfId="0" quotePrefix="1" applyFont="1" applyFill="1" applyBorder="1" applyAlignment="1">
      <alignment horizontal="center" vertical="center" wrapText="1"/>
    </xf>
    <xf numFmtId="1" fontId="4" fillId="8" borderId="2" xfId="0" quotePrefix="1" applyNumberFormat="1" applyFont="1" applyFill="1" applyBorder="1" applyAlignment="1">
      <alignment horizontal="center" vertical="center" wrapText="1"/>
    </xf>
    <xf numFmtId="1" fontId="4" fillId="8" borderId="2" xfId="0" applyNumberFormat="1" applyFont="1" applyFill="1" applyBorder="1" applyAlignment="1">
      <alignment horizontal="center"/>
    </xf>
    <xf numFmtId="0" fontId="7" fillId="8" borderId="2" xfId="0" quotePrefix="1" applyFont="1" applyFill="1" applyBorder="1" applyAlignment="1">
      <alignment horizontal="center" vertical="center" wrapText="1"/>
    </xf>
    <xf numFmtId="4" fontId="4" fillId="8" borderId="2" xfId="0" applyNumberFormat="1" applyFont="1" applyFill="1" applyBorder="1" applyAlignment="1">
      <alignment horizontal="right" vertical="center" wrapText="1"/>
    </xf>
    <xf numFmtId="3" fontId="3" fillId="8" borderId="3" xfId="0" applyNumberFormat="1" applyFont="1" applyFill="1" applyBorder="1" applyAlignment="1">
      <alignment vertical="top" wrapText="1"/>
    </xf>
    <xf numFmtId="0" fontId="8" fillId="12" borderId="3" xfId="0" applyFont="1" applyFill="1" applyBorder="1" applyAlignment="1">
      <alignment horizontal="left" vertical="top" wrapText="1"/>
    </xf>
    <xf numFmtId="0" fontId="1" fillId="12" borderId="2" xfId="0" quotePrefix="1" applyFont="1" applyFill="1" applyBorder="1" applyAlignment="1">
      <alignment horizontal="center" vertical="center" wrapText="1"/>
    </xf>
    <xf numFmtId="1" fontId="4" fillId="12" borderId="2" xfId="0" quotePrefix="1" applyNumberFormat="1" applyFont="1" applyFill="1" applyBorder="1" applyAlignment="1">
      <alignment horizontal="center"/>
    </xf>
    <xf numFmtId="0" fontId="4" fillId="12" borderId="6" xfId="0" applyFont="1" applyFill="1" applyBorder="1" applyAlignment="1">
      <alignment horizontal="left" vertical="center" wrapText="1"/>
    </xf>
    <xf numFmtId="0" fontId="4" fillId="12" borderId="13" xfId="0" applyFont="1" applyFill="1" applyBorder="1" applyAlignment="1">
      <alignment horizontal="left" vertical="center" wrapText="1"/>
    </xf>
    <xf numFmtId="1" fontId="4" fillId="12" borderId="6" xfId="0" applyNumberFormat="1" applyFont="1" applyFill="1" applyBorder="1" applyAlignment="1">
      <alignment horizontal="center" vertical="center" wrapText="1"/>
    </xf>
    <xf numFmtId="0" fontId="7" fillId="12" borderId="2" xfId="0" quotePrefix="1"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0" fontId="4" fillId="12" borderId="2" xfId="0" quotePrefix="1" applyFont="1" applyFill="1" applyBorder="1" applyAlignment="1">
      <alignment horizontal="left" vertical="center" wrapText="1"/>
    </xf>
    <xf numFmtId="1" fontId="4" fillId="12" borderId="2" xfId="0" quotePrefix="1" applyNumberFormat="1" applyFont="1" applyFill="1" applyBorder="1" applyAlignment="1">
      <alignment horizontal="center" vertical="center" wrapText="1"/>
    </xf>
    <xf numFmtId="1" fontId="4" fillId="12" borderId="6" xfId="0" quotePrefix="1" applyNumberFormat="1" applyFont="1" applyFill="1" applyBorder="1" applyAlignment="1">
      <alignment horizontal="center" vertical="center"/>
    </xf>
    <xf numFmtId="0" fontId="4" fillId="8" borderId="2" xfId="3" applyFont="1" applyFill="1" applyBorder="1" applyAlignment="1">
      <alignment horizontal="center" vertical="center" wrapText="1"/>
    </xf>
    <xf numFmtId="2" fontId="4" fillId="8" borderId="2" xfId="3" applyNumberFormat="1" applyFont="1" applyFill="1" applyBorder="1" applyAlignment="1">
      <alignment horizontal="center" vertical="center" wrapText="1"/>
    </xf>
    <xf numFmtId="3" fontId="4" fillId="8" borderId="2" xfId="3" applyNumberFormat="1" applyFont="1" applyFill="1" applyBorder="1" applyAlignment="1">
      <alignment horizontal="center" vertical="center" wrapText="1"/>
    </xf>
    <xf numFmtId="49" fontId="4" fillId="12" borderId="6" xfId="0" applyNumberFormat="1" applyFont="1" applyFill="1" applyBorder="1" applyAlignment="1">
      <alignment horizontal="center" vertical="center" wrapText="1"/>
    </xf>
    <xf numFmtId="9" fontId="5" fillId="13" borderId="2" xfId="0" applyNumberFormat="1" applyFont="1" applyFill="1" applyBorder="1" applyAlignment="1">
      <alignment horizontal="center" vertical="center" wrapText="1"/>
    </xf>
    <xf numFmtId="0" fontId="7" fillId="13" borderId="2"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4" fontId="5" fillId="13" borderId="2" xfId="0"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49" fontId="4" fillId="8" borderId="2" xfId="0" applyNumberFormat="1" applyFont="1" applyFill="1" applyBorder="1" applyAlignment="1">
      <alignment horizontal="center" vertical="center" wrapText="1"/>
    </xf>
    <xf numFmtId="0" fontId="4" fillId="8" borderId="2" xfId="3" quotePrefix="1" applyFont="1" applyFill="1" applyBorder="1" applyAlignment="1">
      <alignment horizontal="center" vertical="center" wrapText="1"/>
    </xf>
    <xf numFmtId="0" fontId="1" fillId="16" borderId="2" xfId="0" quotePrefix="1" applyFont="1" applyFill="1" applyBorder="1" applyAlignment="1">
      <alignment horizontal="center" vertical="center" wrapText="1"/>
    </xf>
    <xf numFmtId="0" fontId="4" fillId="16" borderId="2" xfId="0" quotePrefix="1" applyFont="1" applyFill="1" applyBorder="1" applyAlignment="1">
      <alignment horizontal="center" vertical="center" wrapText="1"/>
    </xf>
    <xf numFmtId="1" fontId="4" fillId="16" borderId="2" xfId="0" applyNumberFormat="1" applyFont="1" applyFill="1" applyBorder="1" applyAlignment="1">
      <alignment horizontal="center" vertical="center" wrapText="1"/>
    </xf>
    <xf numFmtId="0" fontId="4" fillId="16" borderId="2" xfId="0" applyFont="1" applyFill="1" applyBorder="1" applyAlignment="1">
      <alignment horizontal="left" vertical="center" wrapText="1"/>
    </xf>
    <xf numFmtId="0" fontId="7" fillId="16" borderId="2" xfId="0" applyFont="1" applyFill="1" applyBorder="1" applyAlignment="1">
      <alignment horizontal="center" vertical="center" wrapText="1"/>
    </xf>
    <xf numFmtId="0" fontId="4" fillId="16" borderId="2" xfId="0" applyFont="1" applyFill="1" applyBorder="1" applyAlignment="1">
      <alignment horizontal="center" vertical="center" wrapText="1"/>
    </xf>
    <xf numFmtId="1" fontId="4" fillId="16" borderId="2" xfId="0" applyNumberFormat="1" applyFont="1" applyFill="1" applyBorder="1" applyAlignment="1">
      <alignment horizontal="center" vertical="center"/>
    </xf>
    <xf numFmtId="3" fontId="7" fillId="16" borderId="2" xfId="0" quotePrefix="1" applyNumberFormat="1" applyFont="1" applyFill="1" applyBorder="1" applyAlignment="1">
      <alignment horizontal="center" vertical="center" wrapText="1"/>
    </xf>
    <xf numFmtId="14" fontId="4" fillId="16" borderId="2" xfId="0" applyNumberFormat="1" applyFont="1" applyFill="1" applyBorder="1" applyAlignment="1">
      <alignment horizontal="center" vertical="center" wrapText="1"/>
    </xf>
    <xf numFmtId="0" fontId="4" fillId="16" borderId="2" xfId="3" applyFont="1" applyFill="1" applyBorder="1" applyAlignment="1">
      <alignment horizontal="center" vertical="center" wrapText="1"/>
    </xf>
    <xf numFmtId="2" fontId="4" fillId="16" borderId="2" xfId="3" applyNumberFormat="1" applyFont="1" applyFill="1" applyBorder="1" applyAlignment="1">
      <alignment horizontal="center" vertical="center" wrapText="1"/>
    </xf>
    <xf numFmtId="167" fontId="4" fillId="16" borderId="2" xfId="3" applyNumberFormat="1" applyFont="1" applyFill="1" applyBorder="1" applyAlignment="1">
      <alignment horizontal="center" vertical="center" wrapText="1"/>
    </xf>
    <xf numFmtId="3" fontId="4" fillId="16" borderId="2" xfId="3" applyNumberFormat="1" applyFont="1" applyFill="1" applyBorder="1" applyAlignment="1">
      <alignment horizontal="center" vertical="center" wrapText="1"/>
    </xf>
    <xf numFmtId="3" fontId="4" fillId="16" borderId="2" xfId="3" applyNumberFormat="1" applyFont="1" applyFill="1" applyBorder="1" applyAlignment="1">
      <alignment horizontal="right" vertical="center" wrapText="1"/>
    </xf>
    <xf numFmtId="9" fontId="4" fillId="16" borderId="2" xfId="0" applyNumberFormat="1" applyFont="1" applyFill="1" applyBorder="1" applyAlignment="1">
      <alignment horizontal="center" vertical="center" wrapText="1"/>
    </xf>
    <xf numFmtId="165" fontId="4" fillId="16" borderId="2" xfId="0" applyNumberFormat="1" applyFont="1" applyFill="1" applyBorder="1" applyAlignment="1">
      <alignment horizontal="right" vertical="center" wrapText="1"/>
    </xf>
    <xf numFmtId="3" fontId="4" fillId="16" borderId="2" xfId="0" applyNumberFormat="1" applyFont="1" applyFill="1" applyBorder="1" applyAlignment="1">
      <alignment horizontal="center" vertical="center" wrapText="1"/>
    </xf>
    <xf numFmtId="3" fontId="4" fillId="16" borderId="2" xfId="0" applyNumberFormat="1" applyFont="1" applyFill="1" applyBorder="1" applyAlignment="1">
      <alignment horizontal="right" vertical="center" wrapText="1"/>
    </xf>
    <xf numFmtId="4" fontId="4" fillId="16" borderId="2" xfId="0" applyNumberFormat="1" applyFont="1" applyFill="1" applyBorder="1" applyAlignment="1">
      <alignment horizontal="center" vertical="center" wrapText="1"/>
    </xf>
    <xf numFmtId="3" fontId="5" fillId="16" borderId="2" xfId="0" applyNumberFormat="1" applyFont="1" applyFill="1" applyBorder="1" applyAlignment="1">
      <alignment horizontal="right" vertical="center" wrapText="1"/>
    </xf>
    <xf numFmtId="167" fontId="4" fillId="16" borderId="2" xfId="0" applyNumberFormat="1" applyFont="1" applyFill="1" applyBorder="1" applyAlignment="1">
      <alignment horizontal="right" vertical="center" wrapText="1"/>
    </xf>
    <xf numFmtId="9" fontId="40" fillId="16" borderId="2" xfId="0" applyNumberFormat="1" applyFont="1" applyFill="1" applyBorder="1" applyAlignment="1">
      <alignment horizontal="center" vertical="center" wrapText="1"/>
    </xf>
    <xf numFmtId="167" fontId="4" fillId="16" borderId="2" xfId="0" applyNumberFormat="1" applyFont="1" applyFill="1" applyBorder="1" applyAlignment="1">
      <alignment horizontal="center" vertical="center" wrapText="1"/>
    </xf>
    <xf numFmtId="3" fontId="4" fillId="16" borderId="6" xfId="0" applyNumberFormat="1" applyFont="1" applyFill="1" applyBorder="1" applyAlignment="1">
      <alignment horizontal="center" vertical="center" wrapText="1"/>
    </xf>
    <xf numFmtId="0" fontId="3" fillId="16" borderId="3" xfId="0" applyFont="1" applyFill="1" applyBorder="1" applyAlignment="1">
      <alignment horizontal="left" vertical="center" wrapText="1"/>
    </xf>
    <xf numFmtId="0" fontId="4" fillId="16" borderId="31" xfId="0" quotePrefix="1" applyFont="1" applyFill="1" applyBorder="1" applyAlignment="1">
      <alignment horizontal="center" vertical="center" wrapText="1"/>
    </xf>
    <xf numFmtId="0" fontId="4" fillId="16" borderId="31" xfId="0" applyFont="1" applyFill="1" applyBorder="1" applyAlignment="1">
      <alignment horizontal="left" vertical="center" wrapText="1"/>
    </xf>
    <xf numFmtId="0" fontId="5" fillId="16" borderId="31" xfId="0" applyFont="1" applyFill="1" applyBorder="1" applyAlignment="1">
      <alignment horizontal="left" vertical="center" wrapText="1"/>
    </xf>
    <xf numFmtId="0" fontId="4" fillId="16" borderId="31" xfId="0" applyFont="1" applyFill="1" applyBorder="1" applyAlignment="1">
      <alignment horizontal="center" vertical="center" wrapText="1"/>
    </xf>
    <xf numFmtId="0" fontId="4" fillId="16" borderId="33" xfId="0" applyFont="1" applyFill="1" applyBorder="1" applyAlignment="1">
      <alignment horizontal="center" vertical="center" wrapText="1"/>
    </xf>
    <xf numFmtId="2" fontId="4" fillId="16" borderId="31" xfId="0" applyNumberFormat="1" applyFont="1" applyFill="1" applyBorder="1" applyAlignment="1">
      <alignment horizontal="center" vertical="center" wrapText="1"/>
    </xf>
    <xf numFmtId="167" fontId="4" fillId="16" borderId="31" xfId="3" applyNumberFormat="1" applyFont="1" applyFill="1" applyBorder="1" applyAlignment="1">
      <alignment horizontal="center" vertical="center" wrapText="1"/>
    </xf>
    <xf numFmtId="3" fontId="4" fillId="16" borderId="31" xfId="3" applyNumberFormat="1" applyFont="1" applyFill="1" applyBorder="1" applyAlignment="1">
      <alignment horizontal="right" vertical="center" wrapText="1"/>
    </xf>
    <xf numFmtId="165" fontId="4" fillId="16" borderId="31" xfId="0" applyNumberFormat="1" applyFont="1" applyFill="1" applyBorder="1" applyAlignment="1">
      <alignment horizontal="right" vertical="center" wrapText="1"/>
    </xf>
    <xf numFmtId="3" fontId="4" fillId="16" borderId="31" xfId="0" applyNumberFormat="1" applyFont="1" applyFill="1" applyBorder="1" applyAlignment="1">
      <alignment horizontal="center" vertical="center" wrapText="1"/>
    </xf>
    <xf numFmtId="3" fontId="4" fillId="16" borderId="31" xfId="0" applyNumberFormat="1" applyFont="1" applyFill="1" applyBorder="1" applyAlignment="1">
      <alignment horizontal="right" vertical="center" wrapText="1"/>
    </xf>
    <xf numFmtId="4" fontId="4" fillId="16" borderId="31" xfId="0" applyNumberFormat="1" applyFont="1" applyFill="1" applyBorder="1" applyAlignment="1">
      <alignment horizontal="center" vertical="center" wrapText="1"/>
    </xf>
    <xf numFmtId="3" fontId="5" fillId="16" borderId="31" xfId="0" applyNumberFormat="1" applyFont="1" applyFill="1" applyBorder="1" applyAlignment="1">
      <alignment horizontal="right" vertical="center" wrapText="1"/>
    </xf>
    <xf numFmtId="167" fontId="5" fillId="16" borderId="31" xfId="0" applyNumberFormat="1" applyFont="1" applyFill="1" applyBorder="1" applyAlignment="1">
      <alignment horizontal="right" vertical="center" wrapText="1"/>
    </xf>
    <xf numFmtId="9" fontId="40" fillId="16" borderId="31" xfId="0" applyNumberFormat="1" applyFont="1" applyFill="1" applyBorder="1" applyAlignment="1">
      <alignment horizontal="center" vertical="center" wrapText="1"/>
    </xf>
    <xf numFmtId="167" fontId="5" fillId="16" borderId="2" xfId="0" applyNumberFormat="1" applyFont="1" applyFill="1" applyBorder="1" applyAlignment="1">
      <alignment horizontal="center" vertical="center" wrapText="1"/>
    </xf>
    <xf numFmtId="0" fontId="3" fillId="16" borderId="3" xfId="0" applyFont="1" applyFill="1" applyBorder="1" applyAlignment="1">
      <alignment horizontal="left" vertical="top" wrapText="1"/>
    </xf>
    <xf numFmtId="0" fontId="1" fillId="16" borderId="2" xfId="0" applyFont="1" applyFill="1" applyBorder="1" applyAlignment="1">
      <alignment horizontal="left" vertical="center" wrapText="1"/>
    </xf>
    <xf numFmtId="49" fontId="4" fillId="16" borderId="2" xfId="0" applyNumberFormat="1" applyFont="1" applyFill="1" applyBorder="1" applyAlignment="1">
      <alignment horizontal="center" vertical="center" wrapText="1"/>
    </xf>
    <xf numFmtId="0" fontId="4" fillId="16" borderId="2" xfId="3" quotePrefix="1" applyFont="1" applyFill="1" applyBorder="1" applyAlignment="1">
      <alignment horizontal="center" vertical="center" wrapText="1"/>
    </xf>
    <xf numFmtId="167" fontId="5" fillId="16" borderId="2" xfId="0" applyNumberFormat="1" applyFont="1" applyFill="1" applyBorder="1" applyAlignment="1">
      <alignment horizontal="right" vertical="center" wrapText="1"/>
    </xf>
    <xf numFmtId="9" fontId="41" fillId="16" borderId="2" xfId="0" applyNumberFormat="1" applyFont="1" applyFill="1" applyBorder="1" applyAlignment="1">
      <alignment horizontal="center" vertical="center" wrapText="1"/>
    </xf>
    <xf numFmtId="1" fontId="4" fillId="16" borderId="3" xfId="0" quotePrefix="1" applyNumberFormat="1" applyFont="1" applyFill="1" applyBorder="1" applyAlignment="1">
      <alignment horizontal="center" vertical="center"/>
    </xf>
    <xf numFmtId="4" fontId="5" fillId="16" borderId="2" xfId="0" applyNumberFormat="1" applyFont="1" applyFill="1" applyBorder="1" applyAlignment="1">
      <alignment horizontal="center" vertical="center" wrapText="1"/>
    </xf>
    <xf numFmtId="0" fontId="5" fillId="16" borderId="2" xfId="0" applyFont="1" applyFill="1" applyBorder="1" applyAlignment="1">
      <alignment horizontal="left" vertical="center" wrapText="1"/>
    </xf>
    <xf numFmtId="0" fontId="4" fillId="16" borderId="13" xfId="0" applyFont="1" applyFill="1" applyBorder="1" applyAlignment="1">
      <alignment horizontal="center" vertical="center"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7"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3" fontId="15" fillId="0" borderId="0" xfId="0" applyNumberFormat="1" applyFont="1" applyFill="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5"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2" hidden="1" customWidth="1"/>
    <col min="41" max="41" width="8.875" style="645"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107" t="s">
        <v>1072</v>
      </c>
      <c r="B1" s="1107"/>
      <c r="C1" s="1107"/>
      <c r="D1" s="1107"/>
      <c r="E1" s="1107"/>
      <c r="F1" s="1107"/>
      <c r="G1" s="1107"/>
      <c r="H1" s="1107"/>
      <c r="I1" s="1107"/>
      <c r="J1" s="1107"/>
      <c r="K1" s="1107"/>
      <c r="L1" s="1107"/>
      <c r="M1" s="1107"/>
      <c r="N1" s="1107"/>
      <c r="O1" s="1107"/>
      <c r="Q1" s="6"/>
      <c r="R1" s="326"/>
      <c r="U1" s="2"/>
      <c r="AK1" s="1108" t="s">
        <v>1073</v>
      </c>
      <c r="AL1" s="1108"/>
      <c r="AM1" s="1108"/>
      <c r="AN1" s="1108"/>
      <c r="AO1" s="1108"/>
      <c r="AP1" s="1108"/>
      <c r="AQ1" s="1108"/>
      <c r="AR1" s="1108"/>
      <c r="AS1" s="1108"/>
      <c r="AT1" s="1108"/>
      <c r="AU1" s="1108"/>
      <c r="AV1" s="10"/>
    </row>
    <row r="2" spans="1:58" x14ac:dyDescent="0.25">
      <c r="A2" s="1107" t="s">
        <v>1131</v>
      </c>
      <c r="B2" s="1107"/>
      <c r="C2" s="1107"/>
      <c r="D2" s="1107"/>
      <c r="E2" s="1107"/>
      <c r="F2" s="1107"/>
      <c r="G2" s="1107"/>
      <c r="H2" s="1107"/>
      <c r="I2" s="1107"/>
      <c r="J2" s="1107"/>
      <c r="K2" s="1107"/>
      <c r="L2" s="1107"/>
      <c r="M2" s="1107"/>
      <c r="N2" s="1107"/>
      <c r="O2" s="1107"/>
      <c r="Q2" s="6"/>
      <c r="R2" s="326"/>
      <c r="U2" s="2"/>
      <c r="X2" s="2"/>
      <c r="Y2" s="2"/>
      <c r="Z2" s="2"/>
      <c r="AA2" s="2"/>
      <c r="AB2" s="2"/>
      <c r="AC2" s="2"/>
      <c r="AD2" s="2"/>
      <c r="AK2" s="1109" t="s">
        <v>1285</v>
      </c>
      <c r="AL2" s="1109"/>
      <c r="AM2" s="1109"/>
      <c r="AN2" s="1109"/>
      <c r="AO2" s="1109"/>
      <c r="AP2" s="1109"/>
      <c r="AQ2" s="1109"/>
      <c r="AR2" s="1109"/>
      <c r="AS2" s="1109"/>
      <c r="AT2" s="1109"/>
      <c r="AU2" s="1109"/>
      <c r="AV2" s="10"/>
    </row>
    <row r="3" spans="1:58" ht="18" customHeight="1" x14ac:dyDescent="0.25">
      <c r="A3" s="1107" t="s">
        <v>1369</v>
      </c>
      <c r="B3" s="1107"/>
      <c r="C3" s="1107"/>
      <c r="D3" s="1107"/>
      <c r="E3" s="1107"/>
      <c r="F3" s="1107"/>
      <c r="G3" s="1107"/>
      <c r="H3" s="1107"/>
      <c r="I3" s="1107"/>
      <c r="J3" s="1107"/>
      <c r="K3" s="1107"/>
      <c r="L3" s="1107"/>
      <c r="M3" s="1107"/>
      <c r="N3" s="1107"/>
      <c r="O3" s="1107"/>
      <c r="Q3" s="6"/>
      <c r="R3" s="326"/>
      <c r="X3" s="9"/>
      <c r="Y3" s="9"/>
      <c r="AK3" s="1109" t="s">
        <v>1286</v>
      </c>
      <c r="AL3" s="1109"/>
      <c r="AM3" s="1109"/>
      <c r="AN3" s="1109"/>
      <c r="AO3" s="1109"/>
      <c r="AP3" s="1109"/>
      <c r="AQ3" s="1109"/>
      <c r="AR3" s="1109"/>
      <c r="AS3" s="1109"/>
      <c r="AT3" s="1109"/>
      <c r="AU3" s="1109"/>
    </row>
    <row r="4" spans="1:58" ht="12" customHeight="1" x14ac:dyDescent="0.35">
      <c r="A4" s="72"/>
      <c r="B4" s="72"/>
      <c r="Q4" s="6"/>
      <c r="R4" s="326"/>
      <c r="U4" s="1110" t="s">
        <v>1064</v>
      </c>
      <c r="V4" s="1110"/>
      <c r="W4" s="1110"/>
      <c r="X4" s="1110"/>
      <c r="Y4" s="1110"/>
      <c r="Z4" s="1110"/>
      <c r="AA4" s="1110"/>
      <c r="AB4" s="1110"/>
      <c r="AC4" s="1110"/>
      <c r="AD4" s="1110"/>
      <c r="AE4" s="1110"/>
      <c r="AF4" s="1110"/>
      <c r="AG4" s="1110"/>
      <c r="AH4" s="1110"/>
      <c r="AI4" s="1110"/>
      <c r="AJ4" s="1110"/>
      <c r="AK4" s="1110"/>
      <c r="AL4" s="385"/>
      <c r="AM4" s="385"/>
    </row>
    <row r="5" spans="1:58" ht="18.75" customHeight="1" x14ac:dyDescent="0.35">
      <c r="A5" s="11"/>
      <c r="B5" s="11"/>
      <c r="C5" s="476"/>
      <c r="D5" s="1"/>
      <c r="E5" s="260"/>
      <c r="F5" s="1"/>
      <c r="G5" s="4"/>
      <c r="H5" s="4"/>
      <c r="I5" s="4"/>
      <c r="J5" s="1"/>
      <c r="K5" s="4"/>
      <c r="L5" s="1"/>
      <c r="M5" s="1"/>
      <c r="N5" s="421"/>
      <c r="U5" s="1110"/>
      <c r="V5" s="1110"/>
      <c r="W5" s="1110"/>
      <c r="X5" s="1110"/>
      <c r="Y5" s="1110"/>
      <c r="Z5" s="1110"/>
      <c r="AA5" s="1110"/>
      <c r="AB5" s="1110"/>
      <c r="AC5" s="1110"/>
      <c r="AD5" s="1110"/>
      <c r="AE5" s="1110"/>
      <c r="AF5" s="1110"/>
      <c r="AG5" s="1110"/>
      <c r="AH5" s="1110"/>
      <c r="AI5" s="1110"/>
      <c r="AJ5" s="1110"/>
      <c r="AK5" s="1110"/>
      <c r="AL5" s="385"/>
      <c r="AM5" s="385"/>
      <c r="AQ5" s="1111" t="s">
        <v>1074</v>
      </c>
      <c r="AR5" s="1111"/>
      <c r="AS5" s="1111"/>
      <c r="AT5" s="1111"/>
      <c r="AU5" s="1111"/>
      <c r="AV5" s="11"/>
    </row>
    <row r="6" spans="1:58" ht="19.5" customHeight="1" x14ac:dyDescent="0.3">
      <c r="A6" s="11"/>
      <c r="B6" s="11"/>
      <c r="C6" s="476"/>
      <c r="D6" s="1"/>
      <c r="E6" s="260"/>
      <c r="F6" s="1"/>
      <c r="G6" s="4"/>
      <c r="H6" s="4"/>
      <c r="I6" s="4"/>
      <c r="J6" s="1"/>
      <c r="K6" s="4"/>
      <c r="L6" s="1"/>
      <c r="M6" s="1"/>
      <c r="N6" s="421"/>
      <c r="Q6" s="1"/>
      <c r="R6" s="328"/>
      <c r="U6" s="1112" t="s">
        <v>1477</v>
      </c>
      <c r="V6" s="1112"/>
      <c r="W6" s="1112"/>
      <c r="X6" s="1112"/>
      <c r="Y6" s="1112"/>
      <c r="Z6" s="1112"/>
      <c r="AA6" s="1112"/>
      <c r="AB6" s="1112"/>
      <c r="AC6" s="1112"/>
      <c r="AD6" s="1112"/>
      <c r="AE6" s="1112"/>
      <c r="AF6" s="1112"/>
      <c r="AG6" s="1112"/>
      <c r="AH6" s="1112"/>
      <c r="AI6" s="1112"/>
      <c r="AJ6" s="1112"/>
      <c r="AK6" s="1112"/>
      <c r="AL6" s="307"/>
      <c r="AM6" s="307"/>
      <c r="AQ6" s="13" t="s">
        <v>1075</v>
      </c>
      <c r="AR6" s="11"/>
      <c r="AS6" s="11"/>
      <c r="AT6" s="72"/>
      <c r="AU6" s="143"/>
      <c r="AV6" s="40"/>
    </row>
    <row r="7" spans="1:58"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6"/>
      <c r="D8" s="64">
        <v>1490000</v>
      </c>
      <c r="E8" s="261"/>
      <c r="F8" s="64"/>
      <c r="G8" s="4"/>
      <c r="H8" s="4"/>
      <c r="I8" s="4"/>
      <c r="J8" s="1"/>
      <c r="K8" s="4"/>
      <c r="L8" s="1"/>
      <c r="M8" s="1"/>
      <c r="N8" s="421"/>
      <c r="P8" s="12"/>
      <c r="Q8" s="6"/>
      <c r="R8" s="326"/>
      <c r="V8" s="12"/>
    </row>
    <row r="9" spans="1:58" s="14" customFormat="1" ht="27" customHeight="1" x14ac:dyDescent="0.25">
      <c r="A9" s="1113" t="s">
        <v>691</v>
      </c>
      <c r="B9" s="59"/>
      <c r="C9" s="1114" t="s">
        <v>1031</v>
      </c>
      <c r="D9" s="1113" t="s">
        <v>699</v>
      </c>
      <c r="E9" s="1115" t="s">
        <v>1054</v>
      </c>
      <c r="F9" s="59"/>
      <c r="G9" s="1117" t="s">
        <v>22</v>
      </c>
      <c r="H9" s="141"/>
      <c r="I9" s="141" t="s">
        <v>285</v>
      </c>
      <c r="J9" s="1117" t="s">
        <v>178</v>
      </c>
      <c r="K9" s="1118" t="s">
        <v>1311</v>
      </c>
      <c r="L9" s="274" t="s">
        <v>69</v>
      </c>
      <c r="M9" s="1120" t="s">
        <v>1031</v>
      </c>
      <c r="N9" s="1121" t="s">
        <v>824</v>
      </c>
      <c r="O9" s="1122" t="s">
        <v>174</v>
      </c>
      <c r="P9" s="1123" t="s">
        <v>700</v>
      </c>
      <c r="Q9" s="1124" t="s">
        <v>1056</v>
      </c>
      <c r="R9" s="1125"/>
      <c r="S9" s="1125"/>
      <c r="T9" s="1125"/>
      <c r="U9" s="1125"/>
      <c r="V9" s="1125"/>
      <c r="W9" s="1125"/>
      <c r="X9" s="1125"/>
      <c r="Y9" s="1126" t="s">
        <v>827</v>
      </c>
      <c r="Z9" s="1138" t="s">
        <v>718</v>
      </c>
      <c r="AA9" s="1140" t="s">
        <v>1061</v>
      </c>
      <c r="AB9" s="1138" t="s">
        <v>828</v>
      </c>
      <c r="AC9" s="1138" t="s">
        <v>829</v>
      </c>
      <c r="AD9" s="1138" t="s">
        <v>830</v>
      </c>
      <c r="AE9" s="1113" t="s">
        <v>717</v>
      </c>
      <c r="AF9" s="1113"/>
      <c r="AG9" s="1113"/>
      <c r="AH9" s="1113"/>
      <c r="AI9" s="1113"/>
      <c r="AJ9" s="1144" t="s">
        <v>1091</v>
      </c>
      <c r="AK9" s="1144"/>
      <c r="AL9" s="1145" t="s">
        <v>1108</v>
      </c>
      <c r="AM9" s="1146"/>
      <c r="AN9" s="1136" t="s">
        <v>678</v>
      </c>
      <c r="AO9" s="1147" t="s">
        <v>523</v>
      </c>
      <c r="AP9" s="1136" t="s">
        <v>1092</v>
      </c>
      <c r="AQ9" s="1137" t="s">
        <v>546</v>
      </c>
      <c r="AR9" s="1128" t="s">
        <v>644</v>
      </c>
      <c r="AS9" s="1129" t="s">
        <v>1032</v>
      </c>
      <c r="AT9" s="1131" t="s">
        <v>1057</v>
      </c>
      <c r="AU9" s="1131"/>
      <c r="AV9" s="85"/>
    </row>
    <row r="10" spans="1:58" s="14" customFormat="1" ht="42" x14ac:dyDescent="0.25">
      <c r="A10" s="1113"/>
      <c r="B10" s="59"/>
      <c r="C10" s="1114"/>
      <c r="D10" s="1113"/>
      <c r="E10" s="1116"/>
      <c r="F10" s="59"/>
      <c r="G10" s="1117"/>
      <c r="H10" s="141"/>
      <c r="I10" s="141" t="s">
        <v>286</v>
      </c>
      <c r="J10" s="1117"/>
      <c r="K10" s="1119"/>
      <c r="L10" s="274" t="s">
        <v>131</v>
      </c>
      <c r="M10" s="1120"/>
      <c r="N10" s="1121"/>
      <c r="O10" s="1122"/>
      <c r="P10" s="1123"/>
      <c r="Q10" s="299" t="s">
        <v>825</v>
      </c>
      <c r="R10" s="329" t="s">
        <v>1062</v>
      </c>
      <c r="S10" s="379" t="s">
        <v>1033</v>
      </c>
      <c r="T10" s="301" t="s">
        <v>1055</v>
      </c>
      <c r="U10" s="300"/>
      <c r="V10" s="302" t="s">
        <v>1123</v>
      </c>
      <c r="W10" s="270" t="s">
        <v>1077</v>
      </c>
      <c r="X10" s="303" t="s">
        <v>826</v>
      </c>
      <c r="Y10" s="1127"/>
      <c r="Z10" s="1139"/>
      <c r="AA10" s="1141"/>
      <c r="AB10" s="1139"/>
      <c r="AC10" s="1139"/>
      <c r="AD10" s="1139"/>
      <c r="AE10" s="60" t="s">
        <v>747</v>
      </c>
      <c r="AF10" s="60" t="s">
        <v>564</v>
      </c>
      <c r="AG10" s="57" t="s">
        <v>521</v>
      </c>
      <c r="AH10" s="57" t="s">
        <v>831</v>
      </c>
      <c r="AI10" s="57" t="s">
        <v>716</v>
      </c>
      <c r="AJ10" s="60" t="s">
        <v>719</v>
      </c>
      <c r="AK10" s="60" t="s">
        <v>718</v>
      </c>
      <c r="AL10" s="60" t="s">
        <v>719</v>
      </c>
      <c r="AM10" s="60" t="s">
        <v>718</v>
      </c>
      <c r="AN10" s="1136"/>
      <c r="AO10" s="1147"/>
      <c r="AP10" s="1136"/>
      <c r="AQ10" s="1137"/>
      <c r="AR10" s="1128"/>
      <c r="AS10" s="1130"/>
      <c r="AT10" s="1131"/>
      <c r="AU10" s="1131"/>
      <c r="AV10" s="86"/>
    </row>
    <row r="11" spans="1:58"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3" t="s">
        <v>1138</v>
      </c>
      <c r="AO11" s="330" t="s">
        <v>1138</v>
      </c>
      <c r="AP11" s="383" t="s">
        <v>1113</v>
      </c>
      <c r="AQ11" s="382" t="s">
        <v>1399</v>
      </c>
      <c r="AR11" s="330" t="s">
        <v>1138</v>
      </c>
      <c r="AS11" s="279" t="s">
        <v>1109</v>
      </c>
      <c r="AT11" s="1132">
        <v>27</v>
      </c>
      <c r="AU11" s="1132"/>
      <c r="AV11" s="87"/>
      <c r="AX11" s="14">
        <f>(3.66+0.35)*1490000</f>
        <v>5974900</v>
      </c>
      <c r="AY11" s="14">
        <f>(3.66+0.35)*1600000</f>
        <v>6416000</v>
      </c>
    </row>
    <row r="12" spans="1:58"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4"/>
      <c r="AO12" s="162"/>
      <c r="AP12" s="653"/>
      <c r="AQ12" s="247" t="s">
        <v>738</v>
      </c>
      <c r="AR12" s="161"/>
      <c r="AS12" s="161"/>
      <c r="AT12" s="272"/>
      <c r="AU12" s="273"/>
      <c r="AV12" s="164"/>
    </row>
    <row r="13" spans="1:58" s="101" customFormat="1" ht="17.25" customHeight="1" x14ac:dyDescent="0.25">
      <c r="A13" s="280"/>
      <c r="B13" s="280"/>
      <c r="C13" s="479"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70"/>
      <c r="AH13" s="290"/>
      <c r="AI13" s="290"/>
      <c r="AJ13" s="292"/>
      <c r="AK13" s="290"/>
      <c r="AL13" s="290"/>
      <c r="AM13" s="290"/>
      <c r="AN13" s="495"/>
      <c r="AO13" s="646"/>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4">
        <f t="shared" ref="AG14:AG77" si="7">Z14*1%</f>
        <v>127380.1</v>
      </c>
      <c r="AH14" s="465"/>
      <c r="AI14" s="465">
        <f>SUM(AE14:AH14)</f>
        <v>1337491.05</v>
      </c>
      <c r="AJ14" s="466">
        <v>0.3</v>
      </c>
      <c r="AK14" s="467">
        <f>AJ14*$D$8</f>
        <v>447000</v>
      </c>
      <c r="AL14" s="467"/>
      <c r="AM14" s="467"/>
      <c r="AN14" s="506">
        <f t="shared" ref="AN14:AN77" si="8">Q14+T14+V14</f>
        <v>6.4278000000000004</v>
      </c>
      <c r="AO14" s="636">
        <v>0.25</v>
      </c>
      <c r="AP14" s="654">
        <f>ROUND(AN14*AO14,4)</f>
        <v>1.607</v>
      </c>
      <c r="AQ14" s="465">
        <f>ROUND(AP14*$D$8,0)</f>
        <v>2394430</v>
      </c>
      <c r="AR14" s="465"/>
      <c r="AS14" s="465">
        <f t="shared" ref="AS14:AS77" si="9">ROUND(AD14-AI14+AK14+AM14+AQ14,0)</f>
        <v>14241949</v>
      </c>
      <c r="AT14" s="408" t="str">
        <f t="shared" ref="AT14:AT77" si="10">A14</f>
        <v>01</v>
      </c>
      <c r="AU14" s="468" t="s">
        <v>1277</v>
      </c>
      <c r="AV14" s="187"/>
      <c r="AW14" s="553"/>
      <c r="AX14" s="553">
        <f>AX11-AX13</f>
        <v>5347535.5</v>
      </c>
      <c r="AY14" s="553">
        <f>AY11-AY13</f>
        <v>5742320</v>
      </c>
      <c r="AZ14" s="553"/>
      <c r="BA14" s="553"/>
      <c r="BB14" s="553"/>
      <c r="BC14" s="553"/>
      <c r="BD14" s="553"/>
      <c r="BE14" s="553"/>
      <c r="BF14" s="553"/>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3"/>
      <c r="AX19" s="553"/>
      <c r="AY19" s="553"/>
      <c r="AZ19" s="553"/>
      <c r="BA19" s="553"/>
      <c r="BB19" s="553"/>
      <c r="BC19" s="553"/>
      <c r="BD19" s="553"/>
      <c r="BE19" s="553"/>
      <c r="BF19" s="553"/>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6"/>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3"/>
      <c r="AX24" s="553"/>
      <c r="AY24" s="553"/>
      <c r="AZ24" s="553"/>
      <c r="BA24" s="553"/>
      <c r="BB24" s="553"/>
      <c r="BC24" s="553"/>
      <c r="BD24" s="553"/>
      <c r="BE24" s="553"/>
      <c r="BF24" s="553"/>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3"/>
      <c r="AX28" s="553"/>
      <c r="AY28" s="553"/>
      <c r="AZ28" s="553"/>
      <c r="BA28" s="553"/>
      <c r="BB28" s="553"/>
      <c r="BC28" s="553"/>
      <c r="BD28" s="553"/>
      <c r="BE28" s="553"/>
      <c r="BF28" s="553"/>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3"/>
      <c r="AX30" s="553"/>
      <c r="AY30" s="553"/>
      <c r="AZ30" s="553"/>
      <c r="BA30" s="553"/>
      <c r="BB30" s="553"/>
      <c r="BC30" s="553"/>
      <c r="BD30" s="553"/>
      <c r="BE30" s="553"/>
      <c r="BF30" s="553"/>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3" t="s">
        <v>37</v>
      </c>
      <c r="B35" s="683" t="str">
        <f>VLOOKUP(D35,[1]LuongBC_T01!$B$9:$C$292,2,FALSE)</f>
        <v>0016100006592001</v>
      </c>
      <c r="C35" s="764" t="s">
        <v>849</v>
      </c>
      <c r="D35" s="684" t="s">
        <v>1151</v>
      </c>
      <c r="E35" s="685" t="s">
        <v>1464</v>
      </c>
      <c r="F35" s="684" t="s">
        <v>549</v>
      </c>
      <c r="G35" s="686"/>
      <c r="H35" s="686" t="s">
        <v>283</v>
      </c>
      <c r="I35" s="686" t="s">
        <v>282</v>
      </c>
      <c r="J35" s="684" t="s">
        <v>199</v>
      </c>
      <c r="K35" s="686" t="str">
        <f>VLOOKUP(D35,[2]T3!$B$2:$D$328,3,FALSE)</f>
        <v>024257826</v>
      </c>
      <c r="L35" s="701" t="s">
        <v>82</v>
      </c>
      <c r="M35" s="701" t="s">
        <v>849</v>
      </c>
      <c r="N35" s="687" t="s">
        <v>1438</v>
      </c>
      <c r="O35" s="688" t="s">
        <v>692</v>
      </c>
      <c r="P35" s="689">
        <v>6</v>
      </c>
      <c r="Q35" s="690">
        <v>4.32</v>
      </c>
      <c r="R35" s="691">
        <f t="shared" si="11"/>
        <v>1.6901999999999999</v>
      </c>
      <c r="S35" s="692"/>
      <c r="T35" s="691">
        <f t="shared" si="12"/>
        <v>0</v>
      </c>
      <c r="U35" s="693">
        <f t="shared" si="0"/>
        <v>0</v>
      </c>
      <c r="V35" s="686">
        <v>0.45</v>
      </c>
      <c r="W35" s="694">
        <v>0.26</v>
      </c>
      <c r="X35" s="695">
        <f t="shared" si="13"/>
        <v>1.2402</v>
      </c>
      <c r="Y35" s="695">
        <f t="shared" si="1"/>
        <v>6.0102000000000002</v>
      </c>
      <c r="Z35" s="696">
        <f t="shared" si="14"/>
        <v>8955198</v>
      </c>
      <c r="AA35" s="696"/>
      <c r="AB35" s="696">
        <f t="shared" si="2"/>
        <v>0</v>
      </c>
      <c r="AC35" s="696">
        <f t="shared" si="3"/>
        <v>0</v>
      </c>
      <c r="AD35" s="696">
        <f t="shared" si="4"/>
        <v>8955198</v>
      </c>
      <c r="AE35" s="697">
        <f t="shared" si="5"/>
        <v>716415.84</v>
      </c>
      <c r="AF35" s="697">
        <f t="shared" si="6"/>
        <v>134327.97</v>
      </c>
      <c r="AG35" s="697">
        <f t="shared" si="7"/>
        <v>89551.98</v>
      </c>
      <c r="AH35" s="697"/>
      <c r="AI35" s="697">
        <f t="shared" si="15"/>
        <v>940295.78999999992</v>
      </c>
      <c r="AJ35" s="702"/>
      <c r="AK35" s="698">
        <f t="shared" si="16"/>
        <v>0</v>
      </c>
      <c r="AL35" s="698"/>
      <c r="AM35" s="698"/>
      <c r="AN35" s="765">
        <f t="shared" si="8"/>
        <v>4.7700000000000005</v>
      </c>
      <c r="AO35" s="766">
        <v>0.25</v>
      </c>
      <c r="AP35" s="767">
        <f t="shared" si="17"/>
        <v>1.1924999999999999</v>
      </c>
      <c r="AQ35" s="697">
        <f t="shared" si="18"/>
        <v>1776825</v>
      </c>
      <c r="AR35" s="697"/>
      <c r="AS35" s="697">
        <f t="shared" si="9"/>
        <v>9791727</v>
      </c>
      <c r="AT35" s="699" t="str">
        <f t="shared" si="10"/>
        <v>22</v>
      </c>
      <c r="AU35" s="700"/>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7" t="s">
        <v>317</v>
      </c>
      <c r="B39" s="727" t="str">
        <f>VLOOKUP(D39,[1]LuongBC_T01!$B$9:$C$292,2,FALSE)</f>
        <v>0016100006708007</v>
      </c>
      <c r="C39" s="728" t="s">
        <v>856</v>
      </c>
      <c r="D39" s="729" t="s">
        <v>1156</v>
      </c>
      <c r="E39" s="730" t="s">
        <v>1250</v>
      </c>
      <c r="F39" s="729" t="s">
        <v>549</v>
      </c>
      <c r="G39" s="731"/>
      <c r="H39" s="731" t="s">
        <v>283</v>
      </c>
      <c r="I39" s="731" t="s">
        <v>283</v>
      </c>
      <c r="J39" s="729" t="s">
        <v>214</v>
      </c>
      <c r="K39" s="731" t="str">
        <f>VLOOKUP(D39,[2]T3!$B$2:$D$328,3,FALSE)</f>
        <v>022688264</v>
      </c>
      <c r="L39" s="732" t="s">
        <v>96</v>
      </c>
      <c r="M39" s="732" t="s">
        <v>856</v>
      </c>
      <c r="N39" s="733" t="s">
        <v>807</v>
      </c>
      <c r="O39" s="734" t="s">
        <v>692</v>
      </c>
      <c r="P39" s="735">
        <v>7</v>
      </c>
      <c r="Q39" s="736">
        <v>4.9800000000000004</v>
      </c>
      <c r="R39" s="737">
        <f t="shared" si="11"/>
        <v>1.2437</v>
      </c>
      <c r="S39" s="738"/>
      <c r="T39" s="737">
        <f t="shared" si="12"/>
        <v>0</v>
      </c>
      <c r="U39" s="739">
        <f t="shared" si="0"/>
        <v>0</v>
      </c>
      <c r="V39" s="731">
        <v>0.25</v>
      </c>
      <c r="W39" s="740">
        <v>0.19</v>
      </c>
      <c r="X39" s="741">
        <f t="shared" si="13"/>
        <v>0.99370000000000003</v>
      </c>
      <c r="Y39" s="741">
        <f t="shared" si="1"/>
        <v>6.2237</v>
      </c>
      <c r="Z39" s="742">
        <f t="shared" si="14"/>
        <v>9273313</v>
      </c>
      <c r="AA39" s="742">
        <v>4</v>
      </c>
      <c r="AB39" s="742">
        <f t="shared" si="2"/>
        <v>1545552.1666666667</v>
      </c>
      <c r="AC39" s="742">
        <v>0</v>
      </c>
      <c r="AD39" s="742">
        <f t="shared" si="4"/>
        <v>7727761</v>
      </c>
      <c r="AE39" s="743">
        <f t="shared" si="5"/>
        <v>741865.04</v>
      </c>
      <c r="AF39" s="743">
        <f t="shared" si="6"/>
        <v>139099.69500000001</v>
      </c>
      <c r="AG39" s="743">
        <f t="shared" si="7"/>
        <v>92733.13</v>
      </c>
      <c r="AH39" s="743"/>
      <c r="AI39" s="743">
        <f t="shared" si="15"/>
        <v>973697.86500000011</v>
      </c>
      <c r="AJ39" s="744"/>
      <c r="AK39" s="745">
        <f t="shared" si="16"/>
        <v>0</v>
      </c>
      <c r="AL39" s="745"/>
      <c r="AM39" s="745"/>
      <c r="AN39" s="746">
        <f t="shared" si="8"/>
        <v>5.23</v>
      </c>
      <c r="AO39" s="747">
        <v>0.25</v>
      </c>
      <c r="AP39" s="748">
        <f t="shared" si="17"/>
        <v>1.3075000000000001</v>
      </c>
      <c r="AQ39" s="743">
        <f t="shared" si="18"/>
        <v>1948175</v>
      </c>
      <c r="AR39" s="743"/>
      <c r="AS39" s="743">
        <f t="shared" si="9"/>
        <v>8702238</v>
      </c>
      <c r="AT39" s="749" t="str">
        <f t="shared" si="10"/>
        <v>26</v>
      </c>
      <c r="AU39" s="750"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3"/>
      <c r="AX47" s="553"/>
      <c r="AY47" s="553"/>
      <c r="AZ47" s="553"/>
      <c r="BA47" s="553"/>
      <c r="BB47" s="553"/>
      <c r="BC47" s="553"/>
      <c r="BD47" s="553"/>
      <c r="BE47" s="553"/>
      <c r="BF47" s="553"/>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1">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1">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1">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1">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1">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7">
        <v>0.45</v>
      </c>
      <c r="AP62" s="638">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10"/>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3"/>
      <c r="AX63" s="553"/>
      <c r="AY63" s="553"/>
      <c r="AZ63" s="553"/>
      <c r="BA63" s="553"/>
      <c r="BB63" s="553"/>
      <c r="BC63" s="553"/>
      <c r="BD63" s="553"/>
      <c r="BE63" s="553"/>
      <c r="BF63" s="553"/>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7"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3" t="s">
        <v>374</v>
      </c>
      <c r="B83" s="683" t="str">
        <f>VLOOKUP(D83,[1]LuongBC_T01!$B$9:$C$292,2,FALSE)</f>
        <v>0016100006574003</v>
      </c>
      <c r="C83" s="764" t="s">
        <v>1087</v>
      </c>
      <c r="D83" s="684" t="s">
        <v>767</v>
      </c>
      <c r="E83" s="685" t="s">
        <v>1252</v>
      </c>
      <c r="F83" s="684"/>
      <c r="G83" s="686" t="s">
        <v>25</v>
      </c>
      <c r="H83" s="686"/>
      <c r="I83" s="686"/>
      <c r="J83" s="684"/>
      <c r="K83" s="686" t="str">
        <f>VLOOKUP(D83,[2]T3!$B$2:$D$328,3,FALSE)</f>
        <v>022931960</v>
      </c>
      <c r="L83" s="768" t="s">
        <v>790</v>
      </c>
      <c r="M83" s="768" t="s">
        <v>1087</v>
      </c>
      <c r="N83" s="687" t="s">
        <v>1438</v>
      </c>
      <c r="O83" s="688" t="s">
        <v>692</v>
      </c>
      <c r="P83" s="689">
        <v>7</v>
      </c>
      <c r="Q83" s="690">
        <v>4.6500000000000004</v>
      </c>
      <c r="R83" s="691">
        <f t="shared" si="30"/>
        <v>0.88349999999999995</v>
      </c>
      <c r="S83" s="692"/>
      <c r="T83" s="691">
        <f t="shared" si="31"/>
        <v>0</v>
      </c>
      <c r="U83" s="693">
        <f t="shared" si="20"/>
        <v>0</v>
      </c>
      <c r="V83" s="706"/>
      <c r="W83" s="694">
        <v>0.19</v>
      </c>
      <c r="X83" s="695">
        <f t="shared" si="32"/>
        <v>0.88349999999999995</v>
      </c>
      <c r="Y83" s="695">
        <f t="shared" si="21"/>
        <v>5.5335000000000001</v>
      </c>
      <c r="Z83" s="696">
        <f t="shared" si="33"/>
        <v>8244915</v>
      </c>
      <c r="AA83" s="696"/>
      <c r="AB83" s="696">
        <f t="shared" si="22"/>
        <v>0</v>
      </c>
      <c r="AC83" s="696">
        <f t="shared" si="19"/>
        <v>0</v>
      </c>
      <c r="AD83" s="696">
        <f t="shared" si="23"/>
        <v>8244915</v>
      </c>
      <c r="AE83" s="697">
        <f t="shared" si="24"/>
        <v>659593.20000000007</v>
      </c>
      <c r="AF83" s="697">
        <f t="shared" si="25"/>
        <v>123673.72499999999</v>
      </c>
      <c r="AG83" s="697">
        <f t="shared" si="26"/>
        <v>82449.150000000009</v>
      </c>
      <c r="AH83" s="697"/>
      <c r="AI83" s="697">
        <f t="shared" si="34"/>
        <v>865716.07500000007</v>
      </c>
      <c r="AJ83" s="763"/>
      <c r="AK83" s="698">
        <f t="shared" si="35"/>
        <v>0</v>
      </c>
      <c r="AL83" s="698"/>
      <c r="AM83" s="698"/>
      <c r="AN83" s="765">
        <f t="shared" si="27"/>
        <v>4.6500000000000004</v>
      </c>
      <c r="AO83" s="766">
        <v>0.25</v>
      </c>
      <c r="AP83" s="767">
        <f t="shared" si="36"/>
        <v>1.1625000000000001</v>
      </c>
      <c r="AQ83" s="697">
        <f t="shared" si="37"/>
        <v>1732125</v>
      </c>
      <c r="AR83" s="697"/>
      <c r="AS83" s="697">
        <f t="shared" si="28"/>
        <v>9111324</v>
      </c>
      <c r="AT83" s="699" t="str">
        <f t="shared" si="29"/>
        <v>70</v>
      </c>
      <c r="AU83" s="700"/>
      <c r="AV83" s="195" t="s">
        <v>768</v>
      </c>
      <c r="AW83" s="553"/>
      <c r="AX83" s="553"/>
      <c r="AY83" s="553"/>
      <c r="AZ83" s="553"/>
      <c r="BA83" s="553"/>
      <c r="BB83" s="553"/>
      <c r="BC83" s="553"/>
      <c r="BD83" s="553"/>
      <c r="BE83" s="553"/>
      <c r="BF83" s="553"/>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7"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3"/>
      <c r="AX85" s="553"/>
      <c r="AY85" s="553"/>
      <c r="AZ85" s="553"/>
      <c r="BA85" s="553"/>
      <c r="BB85" s="553"/>
      <c r="BC85" s="553"/>
      <c r="BD85" s="553"/>
      <c r="BE85" s="553"/>
      <c r="BF85" s="553"/>
    </row>
    <row r="86" spans="1:58" s="189" customFormat="1" ht="47.25" customHeight="1" x14ac:dyDescent="0.25">
      <c r="A86" s="168" t="s">
        <v>377</v>
      </c>
      <c r="B86" s="168" t="str">
        <f>VLOOKUP(D86,[1]LuongBC_T01!$B$9:$C$292,2,FALSE)</f>
        <v>0016100006717009</v>
      </c>
      <c r="C86" s="719" t="s">
        <v>1086</v>
      </c>
      <c r="D86" s="432" t="s">
        <v>1197</v>
      </c>
      <c r="E86" s="296" t="s">
        <v>1106</v>
      </c>
      <c r="F86" s="432" t="s">
        <v>549</v>
      </c>
      <c r="G86" s="438"/>
      <c r="H86" s="438"/>
      <c r="I86" s="438" t="s">
        <v>283</v>
      </c>
      <c r="J86" s="432" t="s">
        <v>238</v>
      </c>
      <c r="K86" s="438" t="str">
        <f>VLOOKUP(D86,[2]T3!$B$2:$D$328,3,FALSE)</f>
        <v>139062000011</v>
      </c>
      <c r="L86" s="562" t="s">
        <v>112</v>
      </c>
      <c r="M86" s="562" t="s">
        <v>1086</v>
      </c>
      <c r="N86" s="433" t="s">
        <v>43</v>
      </c>
      <c r="O86" s="434" t="s">
        <v>697</v>
      </c>
      <c r="P86" s="720">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8"/>
      <c r="AK86" s="182">
        <f t="shared" si="35"/>
        <v>0</v>
      </c>
      <c r="AL86" s="489"/>
      <c r="AM86" s="489"/>
      <c r="AN86" s="490">
        <f>Q86+T86+V86</f>
        <v>5.2322999999999995</v>
      </c>
      <c r="AO86" s="439"/>
      <c r="AP86" s="185">
        <f t="shared" si="36"/>
        <v>0</v>
      </c>
      <c r="AQ86" s="225">
        <f t="shared" si="37"/>
        <v>0</v>
      </c>
      <c r="AR86" s="225"/>
      <c r="AS86" s="178">
        <f t="shared" si="28"/>
        <v>6977534</v>
      </c>
      <c r="AT86" s="563" t="str">
        <f t="shared" si="29"/>
        <v>73</v>
      </c>
      <c r="AU86" s="721"/>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6">
        <f>SUM(AN15:AN86)</f>
        <v>350.58289999999988</v>
      </c>
      <c r="AO87" s="640"/>
      <c r="AP87" s="107">
        <f>SUM(AP14:AP86)</f>
        <v>80.27979999999998</v>
      </c>
      <c r="AQ87" s="542">
        <f>SUM(AQ14:AQ86)</f>
        <v>119616902</v>
      </c>
      <c r="AR87" s="106">
        <f>SUM(AR15:AR86)</f>
        <v>0</v>
      </c>
      <c r="AS87" s="106">
        <f>SUM(AS14:AS86)-2</f>
        <v>689242066</v>
      </c>
      <c r="AT87" s="518"/>
      <c r="AU87" s="519"/>
      <c r="AV87" s="108"/>
      <c r="AW87" s="553"/>
      <c r="AX87" s="553"/>
      <c r="AY87" s="553"/>
      <c r="AZ87" s="553"/>
      <c r="BA87" s="553"/>
      <c r="BB87" s="553"/>
      <c r="BC87" s="553"/>
      <c r="BD87" s="553"/>
      <c r="BE87" s="553"/>
      <c r="BF87" s="553"/>
    </row>
    <row r="88" spans="1:58" s="99" customFormat="1" ht="18.75" customHeight="1" x14ac:dyDescent="0.25">
      <c r="A88" s="250"/>
      <c r="B88" s="168" t="e">
        <f>VLOOKUP(D88,[1]LuongBC_T01!$B$9:$C$292,2,FALSE)</f>
        <v>#N/A</v>
      </c>
      <c r="C88" s="363"/>
      <c r="D88" s="1133" t="s">
        <v>23</v>
      </c>
      <c r="E88" s="1134"/>
      <c r="F88" s="1134"/>
      <c r="G88" s="1134"/>
      <c r="H88" s="1134"/>
      <c r="I88" s="1134"/>
      <c r="J88" s="1134"/>
      <c r="K88" s="1134"/>
      <c r="L88" s="1134"/>
      <c r="M88" s="1134"/>
      <c r="N88" s="1134"/>
      <c r="O88" s="1134"/>
      <c r="P88" s="1135"/>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7"/>
      <c r="AO88" s="135"/>
      <c r="AP88" s="133"/>
      <c r="AQ88" s="131"/>
      <c r="AR88" s="131"/>
      <c r="AS88" s="131"/>
      <c r="AT88" s="508"/>
      <c r="AU88" s="509"/>
      <c r="AV88" s="117"/>
      <c r="AW88" s="29"/>
      <c r="AX88" s="29"/>
      <c r="AY88" s="29"/>
      <c r="AZ88" s="29"/>
      <c r="BA88" s="29"/>
      <c r="BB88" s="29"/>
      <c r="BC88" s="29"/>
      <c r="BD88" s="29"/>
      <c r="BE88" s="29"/>
      <c r="BF88" s="29"/>
    </row>
    <row r="89" spans="1:58" s="189" customFormat="1" ht="37.5" customHeight="1" x14ac:dyDescent="0.25">
      <c r="A89" s="168" t="s">
        <v>378</v>
      </c>
      <c r="B89" s="168" t="s">
        <v>1429</v>
      </c>
      <c r="C89" s="566" t="s">
        <v>1414</v>
      </c>
      <c r="D89" s="545" t="s">
        <v>1404</v>
      </c>
      <c r="E89" s="564" t="s">
        <v>1405</v>
      </c>
      <c r="F89" s="565"/>
      <c r="G89" s="565"/>
      <c r="H89" s="565"/>
      <c r="I89" s="565"/>
      <c r="J89" s="565"/>
      <c r="K89" s="566"/>
      <c r="L89" s="565"/>
      <c r="M89" s="546"/>
      <c r="N89" s="263" t="s">
        <v>807</v>
      </c>
      <c r="O89" s="567"/>
      <c r="P89" s="567"/>
      <c r="Q89" s="546">
        <v>2.2690000000000001</v>
      </c>
      <c r="R89" s="547"/>
      <c r="S89" s="565"/>
      <c r="T89" s="547">
        <f t="shared" ref="T89:T99" si="39">ROUND(Q89*S89/100,4)</f>
        <v>0</v>
      </c>
      <c r="U89" s="548"/>
      <c r="V89" s="546"/>
      <c r="W89" s="179">
        <f>VLOOKUP(D89,[3]BC!$D$14:$X$294,20,FALSE)</f>
        <v>0</v>
      </c>
      <c r="X89" s="549">
        <f t="shared" ref="X89:X99" si="40">ROUND((Q89+T89+V89)*W89,4)</f>
        <v>0</v>
      </c>
      <c r="Y89" s="549">
        <f t="shared" ref="Y89:Y99" si="41">Q89+T89+V89+X89</f>
        <v>2.2690000000000001</v>
      </c>
      <c r="Z89" s="550">
        <f t="shared" ref="Z89:Z99" si="42">ROUND(Y89*$D$8,0)</f>
        <v>3380810</v>
      </c>
      <c r="AA89" s="550"/>
      <c r="AB89" s="550">
        <f t="shared" ref="AB89:AB99" si="43">Z89/24*AA89</f>
        <v>0</v>
      </c>
      <c r="AC89" s="550">
        <f t="shared" ref="AC89:AC99" si="44">Z89/24*AA89*75%</f>
        <v>0</v>
      </c>
      <c r="AD89" s="550">
        <f t="shared" ref="AD89:AD99" si="45">ROUND(Z89-AB89+AC89,0)</f>
        <v>3380810</v>
      </c>
      <c r="AE89" s="551">
        <f t="shared" ref="AE89:AE99" si="46">Z89*8%</f>
        <v>270464.8</v>
      </c>
      <c r="AF89" s="551">
        <f t="shared" ref="AF89:AF99" si="47">Z89*1.5%</f>
        <v>50712.15</v>
      </c>
      <c r="AG89" s="551">
        <f t="shared" ref="AG89:AG99" si="48">Z89*1%</f>
        <v>33808.1</v>
      </c>
      <c r="AH89" s="551"/>
      <c r="AI89" s="551">
        <f t="shared" ref="AI89:AI99" si="49">SUM(AE89:AH89)</f>
        <v>354985.05</v>
      </c>
      <c r="AJ89" s="568"/>
      <c r="AK89" s="569"/>
      <c r="AL89" s="569"/>
      <c r="AM89" s="569"/>
      <c r="AN89" s="570">
        <f t="shared" ref="AN89:AN99" si="50">Q89+T89+V89</f>
        <v>2.2690000000000001</v>
      </c>
      <c r="AO89" s="641">
        <v>0.25</v>
      </c>
      <c r="AP89" s="185">
        <f t="shared" ref="AP89:AP99" si="51">ROUND(AN89*AO89,4)</f>
        <v>0.56730000000000003</v>
      </c>
      <c r="AQ89" s="178">
        <f t="shared" ref="AQ89:AQ99" si="52">ROUND(AP89*$D$8,0)</f>
        <v>845277</v>
      </c>
      <c r="AR89" s="551"/>
      <c r="AS89" s="178">
        <f t="shared" ref="AS89:AS99" si="53">ROUND(AD89-AI89+AK89+AM89+AQ89,0)</f>
        <v>3871102</v>
      </c>
      <c r="AT89" s="563"/>
      <c r="AU89" s="195"/>
      <c r="AV89" s="486"/>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6">
        <v>11100115713</v>
      </c>
      <c r="D90" s="545" t="s">
        <v>655</v>
      </c>
      <c r="E90" s="564" t="s">
        <v>1409</v>
      </c>
      <c r="F90" s="565"/>
      <c r="G90" s="565"/>
      <c r="H90" s="565"/>
      <c r="I90" s="565"/>
      <c r="J90" s="565"/>
      <c r="K90" s="566"/>
      <c r="L90" s="565"/>
      <c r="M90" s="546"/>
      <c r="N90" s="263" t="s">
        <v>807</v>
      </c>
      <c r="O90" s="567"/>
      <c r="P90" s="567"/>
      <c r="Q90" s="546">
        <v>2.2690000000000001</v>
      </c>
      <c r="R90" s="547"/>
      <c r="S90" s="565"/>
      <c r="T90" s="547">
        <f t="shared" si="39"/>
        <v>0</v>
      </c>
      <c r="U90" s="548"/>
      <c r="V90" s="546"/>
      <c r="W90" s="179">
        <f>VLOOKUP(D90,[3]BC!$D$14:$X$294,20,FALSE)</f>
        <v>0</v>
      </c>
      <c r="X90" s="549">
        <f t="shared" si="40"/>
        <v>0</v>
      </c>
      <c r="Y90" s="549">
        <f t="shared" si="41"/>
        <v>2.2690000000000001</v>
      </c>
      <c r="Z90" s="550">
        <f t="shared" si="42"/>
        <v>3380810</v>
      </c>
      <c r="AA90" s="550"/>
      <c r="AB90" s="550">
        <f t="shared" si="43"/>
        <v>0</v>
      </c>
      <c r="AC90" s="550">
        <f t="shared" si="44"/>
        <v>0</v>
      </c>
      <c r="AD90" s="550">
        <f t="shared" si="45"/>
        <v>3380810</v>
      </c>
      <c r="AE90" s="551">
        <f t="shared" si="46"/>
        <v>270464.8</v>
      </c>
      <c r="AF90" s="551">
        <f t="shared" si="47"/>
        <v>50712.15</v>
      </c>
      <c r="AG90" s="551">
        <f t="shared" si="48"/>
        <v>33808.1</v>
      </c>
      <c r="AH90" s="551"/>
      <c r="AI90" s="551">
        <f t="shared" si="49"/>
        <v>354985.05</v>
      </c>
      <c r="AJ90" s="568"/>
      <c r="AK90" s="569"/>
      <c r="AL90" s="569"/>
      <c r="AM90" s="569"/>
      <c r="AN90" s="570">
        <f t="shared" si="50"/>
        <v>2.2690000000000001</v>
      </c>
      <c r="AO90" s="641">
        <v>0.25</v>
      </c>
      <c r="AP90" s="185">
        <f t="shared" si="51"/>
        <v>0.56730000000000003</v>
      </c>
      <c r="AQ90" s="178">
        <f t="shared" si="52"/>
        <v>845277</v>
      </c>
      <c r="AR90" s="551"/>
      <c r="AS90" s="178">
        <f t="shared" si="53"/>
        <v>3871102</v>
      </c>
      <c r="AT90" s="563"/>
      <c r="AU90" s="195"/>
      <c r="AV90" s="486"/>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6" t="s">
        <v>1412</v>
      </c>
      <c r="D91" s="545" t="s">
        <v>1410</v>
      </c>
      <c r="E91" s="564" t="s">
        <v>1136</v>
      </c>
      <c r="F91" s="565"/>
      <c r="G91" s="565"/>
      <c r="H91" s="565"/>
      <c r="I91" s="565"/>
      <c r="J91" s="565"/>
      <c r="K91" s="566"/>
      <c r="L91" s="565"/>
      <c r="M91" s="546"/>
      <c r="N91" s="263" t="s">
        <v>807</v>
      </c>
      <c r="O91" s="567"/>
      <c r="P91" s="567"/>
      <c r="Q91" s="546">
        <v>2.2690000000000001</v>
      </c>
      <c r="R91" s="547"/>
      <c r="S91" s="565"/>
      <c r="T91" s="547">
        <f t="shared" si="39"/>
        <v>0</v>
      </c>
      <c r="U91" s="548"/>
      <c r="V91" s="546"/>
      <c r="W91" s="179">
        <f>VLOOKUP(D91,[3]BC!$D$14:$X$294,20,FALSE)</f>
        <v>0</v>
      </c>
      <c r="X91" s="549">
        <f t="shared" si="40"/>
        <v>0</v>
      </c>
      <c r="Y91" s="549">
        <f t="shared" si="41"/>
        <v>2.2690000000000001</v>
      </c>
      <c r="Z91" s="550">
        <f t="shared" si="42"/>
        <v>3380810</v>
      </c>
      <c r="AA91" s="550"/>
      <c r="AB91" s="550">
        <f t="shared" si="43"/>
        <v>0</v>
      </c>
      <c r="AC91" s="550">
        <f t="shared" si="44"/>
        <v>0</v>
      </c>
      <c r="AD91" s="550">
        <f t="shared" si="45"/>
        <v>3380810</v>
      </c>
      <c r="AE91" s="551">
        <f t="shared" si="46"/>
        <v>270464.8</v>
      </c>
      <c r="AF91" s="551">
        <f t="shared" si="47"/>
        <v>50712.15</v>
      </c>
      <c r="AG91" s="551">
        <f t="shared" si="48"/>
        <v>33808.1</v>
      </c>
      <c r="AH91" s="551"/>
      <c r="AI91" s="551">
        <f t="shared" si="49"/>
        <v>354985.05</v>
      </c>
      <c r="AJ91" s="568"/>
      <c r="AK91" s="569"/>
      <c r="AL91" s="569"/>
      <c r="AM91" s="569"/>
      <c r="AN91" s="570">
        <f t="shared" si="50"/>
        <v>2.2690000000000001</v>
      </c>
      <c r="AO91" s="641">
        <v>0.25</v>
      </c>
      <c r="AP91" s="185">
        <f t="shared" si="51"/>
        <v>0.56730000000000003</v>
      </c>
      <c r="AQ91" s="178">
        <f t="shared" si="52"/>
        <v>845277</v>
      </c>
      <c r="AR91" s="551"/>
      <c r="AS91" s="178">
        <f t="shared" si="53"/>
        <v>3871102</v>
      </c>
      <c r="AT91" s="563"/>
      <c r="AU91" s="195"/>
      <c r="AV91" s="486"/>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1"/>
      <c r="AP92" s="185">
        <f t="shared" si="51"/>
        <v>0</v>
      </c>
      <c r="AQ92" s="178">
        <f t="shared" si="52"/>
        <v>0</v>
      </c>
      <c r="AR92" s="178"/>
      <c r="AS92" s="178">
        <f t="shared" si="53"/>
        <v>2652431</v>
      </c>
      <c r="AT92" s="469"/>
      <c r="AU92" s="195"/>
      <c r="AV92" s="486"/>
      <c r="AW92" s="29"/>
      <c r="AX92" s="29"/>
      <c r="AY92" s="29"/>
      <c r="AZ92" s="29"/>
      <c r="BA92" s="29"/>
      <c r="BB92" s="29"/>
      <c r="BC92" s="29"/>
      <c r="BD92" s="29"/>
      <c r="BE92" s="29"/>
      <c r="BF92" s="29"/>
    </row>
    <row r="93" spans="1:58" s="189" customFormat="1" ht="37.5" customHeight="1" x14ac:dyDescent="0.25">
      <c r="A93" s="168" t="s">
        <v>1422</v>
      </c>
      <c r="B93" s="168"/>
      <c r="C93" s="661"/>
      <c r="D93" s="169" t="s">
        <v>1439</v>
      </c>
      <c r="E93" s="263" t="s">
        <v>1094</v>
      </c>
      <c r="F93" s="220"/>
      <c r="G93" s="220"/>
      <c r="H93" s="220"/>
      <c r="I93" s="220"/>
      <c r="J93" s="220"/>
      <c r="K93" s="168"/>
      <c r="L93" s="491" t="s">
        <v>1448</v>
      </c>
      <c r="M93" s="170"/>
      <c r="N93" s="663"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1">
        <v>0.25</v>
      </c>
      <c r="AP93" s="185">
        <f t="shared" si="51"/>
        <v>0.49730000000000002</v>
      </c>
      <c r="AQ93" s="178">
        <f t="shared" si="52"/>
        <v>740977</v>
      </c>
      <c r="AR93" s="178"/>
      <c r="AS93" s="178">
        <f t="shared" si="53"/>
        <v>3393408</v>
      </c>
      <c r="AT93" s="469"/>
      <c r="AU93" s="195"/>
      <c r="AV93" s="660"/>
      <c r="AW93" s="29"/>
      <c r="AX93" s="29"/>
      <c r="AY93" s="29"/>
      <c r="AZ93" s="29"/>
      <c r="BA93" s="29"/>
      <c r="BB93" s="29"/>
      <c r="BC93" s="29"/>
      <c r="BD93" s="29"/>
      <c r="BE93" s="29"/>
      <c r="BF93" s="29"/>
    </row>
    <row r="94" spans="1:58" s="189" customFormat="1" ht="37.5" customHeight="1" x14ac:dyDescent="0.25">
      <c r="A94" s="168" t="s">
        <v>1423</v>
      </c>
      <c r="B94" s="168"/>
      <c r="C94" s="661"/>
      <c r="D94" s="169" t="s">
        <v>1440</v>
      </c>
      <c r="E94" s="263" t="s">
        <v>1441</v>
      </c>
      <c r="F94" s="220"/>
      <c r="G94" s="220"/>
      <c r="H94" s="220"/>
      <c r="I94" s="220"/>
      <c r="J94" s="220"/>
      <c r="K94" s="168"/>
      <c r="L94" s="491" t="s">
        <v>1444</v>
      </c>
      <c r="M94" s="170"/>
      <c r="N94" s="663"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1">
        <v>0.25</v>
      </c>
      <c r="AP94" s="185">
        <f t="shared" si="51"/>
        <v>0.56730000000000003</v>
      </c>
      <c r="AQ94" s="178">
        <f t="shared" si="52"/>
        <v>845277</v>
      </c>
      <c r="AR94" s="178"/>
      <c r="AS94" s="178">
        <f t="shared" si="53"/>
        <v>3871102</v>
      </c>
      <c r="AT94" s="469"/>
      <c r="AU94" s="195"/>
      <c r="AV94" s="660"/>
      <c r="AW94" s="29"/>
      <c r="AX94" s="29"/>
      <c r="AY94" s="29"/>
      <c r="AZ94" s="29"/>
      <c r="BA94" s="29"/>
      <c r="BB94" s="29"/>
      <c r="BC94" s="29"/>
      <c r="BD94" s="29"/>
      <c r="BE94" s="29"/>
      <c r="BF94" s="29"/>
    </row>
    <row r="95" spans="1:58" s="189" customFormat="1" ht="37.5" customHeight="1" x14ac:dyDescent="0.25">
      <c r="A95" s="168" t="s">
        <v>382</v>
      </c>
      <c r="B95" s="168"/>
      <c r="C95" s="661"/>
      <c r="D95" s="169" t="s">
        <v>1442</v>
      </c>
      <c r="E95" s="263" t="s">
        <v>1377</v>
      </c>
      <c r="F95" s="220"/>
      <c r="G95" s="220"/>
      <c r="H95" s="220"/>
      <c r="I95" s="220"/>
      <c r="J95" s="220"/>
      <c r="K95" s="168"/>
      <c r="L95" s="491" t="s">
        <v>1446</v>
      </c>
      <c r="M95" s="170"/>
      <c r="N95" s="663"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1">
        <v>0.25</v>
      </c>
      <c r="AP95" s="185">
        <f t="shared" si="51"/>
        <v>0.49730000000000002</v>
      </c>
      <c r="AQ95" s="178">
        <f t="shared" si="52"/>
        <v>740977</v>
      </c>
      <c r="AR95" s="178"/>
      <c r="AS95" s="178">
        <f t="shared" si="53"/>
        <v>3393408</v>
      </c>
      <c r="AT95" s="469"/>
      <c r="AU95" s="195"/>
      <c r="AV95" s="660"/>
      <c r="AW95" s="29"/>
      <c r="AX95" s="29"/>
      <c r="AY95" s="29"/>
      <c r="AZ95" s="29"/>
      <c r="BA95" s="29"/>
      <c r="BB95" s="29"/>
      <c r="BC95" s="29"/>
      <c r="BD95" s="29"/>
      <c r="BE95" s="29"/>
      <c r="BF95" s="29"/>
    </row>
    <row r="96" spans="1:58" s="189" customFormat="1" ht="37.5" customHeight="1" x14ac:dyDescent="0.25">
      <c r="A96" s="168" t="s">
        <v>1419</v>
      </c>
      <c r="B96" s="168"/>
      <c r="C96" s="722"/>
      <c r="D96" s="545" t="s">
        <v>1456</v>
      </c>
      <c r="E96" s="564" t="s">
        <v>1441</v>
      </c>
      <c r="F96" s="565"/>
      <c r="G96" s="565"/>
      <c r="H96" s="565"/>
      <c r="I96" s="565"/>
      <c r="J96" s="565"/>
      <c r="K96" s="566"/>
      <c r="L96" s="723"/>
      <c r="M96" s="546"/>
      <c r="N96" s="663" t="s">
        <v>1438</v>
      </c>
      <c r="O96" s="567"/>
      <c r="P96" s="567"/>
      <c r="Q96" s="546">
        <v>2.2690000000000001</v>
      </c>
      <c r="R96" s="547"/>
      <c r="S96" s="565"/>
      <c r="T96" s="547">
        <f t="shared" si="39"/>
        <v>0</v>
      </c>
      <c r="U96" s="548"/>
      <c r="V96" s="546"/>
      <c r="W96" s="179"/>
      <c r="X96" s="216">
        <f t="shared" si="40"/>
        <v>0</v>
      </c>
      <c r="Y96" s="216">
        <f t="shared" si="41"/>
        <v>2.2690000000000001</v>
      </c>
      <c r="Z96" s="180">
        <f t="shared" si="42"/>
        <v>3380810</v>
      </c>
      <c r="AA96" s="550"/>
      <c r="AB96" s="180">
        <f t="shared" si="43"/>
        <v>0</v>
      </c>
      <c r="AC96" s="180">
        <f t="shared" si="44"/>
        <v>0</v>
      </c>
      <c r="AD96" s="180">
        <f t="shared" si="45"/>
        <v>3380810</v>
      </c>
      <c r="AE96" s="178">
        <f t="shared" si="46"/>
        <v>270464.8</v>
      </c>
      <c r="AF96" s="178">
        <f t="shared" si="47"/>
        <v>50712.15</v>
      </c>
      <c r="AG96" s="178">
        <f t="shared" si="48"/>
        <v>33808.1</v>
      </c>
      <c r="AH96" s="551"/>
      <c r="AI96" s="178">
        <f t="shared" si="49"/>
        <v>354985.05</v>
      </c>
      <c r="AJ96" s="568"/>
      <c r="AK96" s="569"/>
      <c r="AL96" s="569"/>
      <c r="AM96" s="569"/>
      <c r="AN96" s="570">
        <f t="shared" si="50"/>
        <v>2.2690000000000001</v>
      </c>
      <c r="AO96" s="641">
        <v>0.25</v>
      </c>
      <c r="AP96" s="185">
        <f t="shared" si="51"/>
        <v>0.56730000000000003</v>
      </c>
      <c r="AQ96" s="178">
        <f t="shared" si="52"/>
        <v>845277</v>
      </c>
      <c r="AR96" s="551"/>
      <c r="AS96" s="178">
        <f t="shared" si="53"/>
        <v>3871102</v>
      </c>
      <c r="AT96" s="563"/>
      <c r="AU96" s="724" t="s">
        <v>1458</v>
      </c>
      <c r="AV96" s="660"/>
    </row>
    <row r="97" spans="1:58" s="189" customFormat="1" ht="37.5" customHeight="1" x14ac:dyDescent="0.25">
      <c r="A97" s="168" t="s">
        <v>1420</v>
      </c>
      <c r="B97" s="168"/>
      <c r="C97" s="722"/>
      <c r="D97" s="545" t="s">
        <v>1457</v>
      </c>
      <c r="E97" s="564" t="s">
        <v>1094</v>
      </c>
      <c r="F97" s="565"/>
      <c r="G97" s="565"/>
      <c r="H97" s="565"/>
      <c r="I97" s="565"/>
      <c r="J97" s="565"/>
      <c r="K97" s="566"/>
      <c r="L97" s="723"/>
      <c r="M97" s="546"/>
      <c r="N97" s="663" t="s">
        <v>1438</v>
      </c>
      <c r="O97" s="567"/>
      <c r="P97" s="567"/>
      <c r="Q97" s="546">
        <v>1.9890000000000001</v>
      </c>
      <c r="R97" s="547"/>
      <c r="S97" s="565"/>
      <c r="T97" s="547">
        <f t="shared" si="39"/>
        <v>0</v>
      </c>
      <c r="U97" s="548"/>
      <c r="V97" s="546"/>
      <c r="W97" s="179"/>
      <c r="X97" s="216">
        <f t="shared" si="40"/>
        <v>0</v>
      </c>
      <c r="Y97" s="216">
        <f t="shared" si="41"/>
        <v>1.9890000000000001</v>
      </c>
      <c r="Z97" s="180">
        <f t="shared" si="42"/>
        <v>2963610</v>
      </c>
      <c r="AA97" s="550"/>
      <c r="AB97" s="180">
        <f t="shared" si="43"/>
        <v>0</v>
      </c>
      <c r="AC97" s="180">
        <f t="shared" si="44"/>
        <v>0</v>
      </c>
      <c r="AD97" s="180">
        <f t="shared" si="45"/>
        <v>2963610</v>
      </c>
      <c r="AE97" s="178">
        <f t="shared" si="46"/>
        <v>237088.80000000002</v>
      </c>
      <c r="AF97" s="178">
        <f t="shared" si="47"/>
        <v>44454.15</v>
      </c>
      <c r="AG97" s="178">
        <f t="shared" si="48"/>
        <v>29636.100000000002</v>
      </c>
      <c r="AH97" s="551"/>
      <c r="AI97" s="178">
        <f t="shared" si="49"/>
        <v>311179.05</v>
      </c>
      <c r="AJ97" s="568"/>
      <c r="AK97" s="569"/>
      <c r="AL97" s="569"/>
      <c r="AM97" s="569"/>
      <c r="AN97" s="570">
        <f t="shared" si="50"/>
        <v>1.9890000000000001</v>
      </c>
      <c r="AO97" s="641">
        <v>0.25</v>
      </c>
      <c r="AP97" s="185">
        <f t="shared" si="51"/>
        <v>0.49730000000000002</v>
      </c>
      <c r="AQ97" s="178">
        <f t="shared" si="52"/>
        <v>740977</v>
      </c>
      <c r="AR97" s="551"/>
      <c r="AS97" s="178">
        <f t="shared" si="53"/>
        <v>3393408</v>
      </c>
      <c r="AT97" s="563"/>
      <c r="AU97" s="724" t="s">
        <v>1458</v>
      </c>
      <c r="AV97" s="660"/>
    </row>
    <row r="98" spans="1:58" s="189" customFormat="1" ht="37.5" customHeight="1" x14ac:dyDescent="0.25">
      <c r="A98" s="168" t="s">
        <v>383</v>
      </c>
      <c r="B98" s="168"/>
      <c r="C98" s="722"/>
      <c r="D98" s="545" t="s">
        <v>1455</v>
      </c>
      <c r="E98" s="564" t="s">
        <v>1259</v>
      </c>
      <c r="F98" s="565"/>
      <c r="G98" s="565"/>
      <c r="H98" s="565"/>
      <c r="I98" s="565"/>
      <c r="J98" s="565"/>
      <c r="K98" s="566"/>
      <c r="L98" s="723"/>
      <c r="M98" s="546"/>
      <c r="N98" s="663" t="s">
        <v>1438</v>
      </c>
      <c r="O98" s="567"/>
      <c r="P98" s="567"/>
      <c r="Q98" s="546">
        <v>1.9890000000000001</v>
      </c>
      <c r="R98" s="547"/>
      <c r="S98" s="565"/>
      <c r="T98" s="547">
        <f>ROUND(Q98*S98/100,4)</f>
        <v>0</v>
      </c>
      <c r="U98" s="548"/>
      <c r="V98" s="546"/>
      <c r="W98" s="179"/>
      <c r="X98" s="216">
        <f t="shared" si="40"/>
        <v>0</v>
      </c>
      <c r="Y98" s="216">
        <f t="shared" si="41"/>
        <v>1.9890000000000001</v>
      </c>
      <c r="Z98" s="180">
        <f t="shared" si="42"/>
        <v>2963610</v>
      </c>
      <c r="AA98" s="550"/>
      <c r="AB98" s="180">
        <f t="shared" si="43"/>
        <v>0</v>
      </c>
      <c r="AC98" s="180">
        <f t="shared" si="44"/>
        <v>0</v>
      </c>
      <c r="AD98" s="180">
        <f t="shared" si="45"/>
        <v>2963610</v>
      </c>
      <c r="AE98" s="178">
        <f t="shared" si="46"/>
        <v>237088.80000000002</v>
      </c>
      <c r="AF98" s="178">
        <f t="shared" si="47"/>
        <v>44454.15</v>
      </c>
      <c r="AG98" s="178">
        <f t="shared" si="48"/>
        <v>29636.100000000002</v>
      </c>
      <c r="AH98" s="551"/>
      <c r="AI98" s="178">
        <f t="shared" si="49"/>
        <v>311179.05</v>
      </c>
      <c r="AJ98" s="568"/>
      <c r="AK98" s="569"/>
      <c r="AL98" s="569"/>
      <c r="AM98" s="569"/>
      <c r="AN98" s="570">
        <f>Q98+T98+V98</f>
        <v>1.9890000000000001</v>
      </c>
      <c r="AO98" s="641">
        <v>0.25</v>
      </c>
      <c r="AP98" s="185">
        <f t="shared" si="51"/>
        <v>0.49730000000000002</v>
      </c>
      <c r="AQ98" s="178">
        <f t="shared" si="52"/>
        <v>740977</v>
      </c>
      <c r="AR98" s="551"/>
      <c r="AS98" s="178">
        <f t="shared" si="53"/>
        <v>3393408</v>
      </c>
      <c r="AT98" s="563"/>
      <c r="AU98" s="724" t="s">
        <v>1458</v>
      </c>
      <c r="AV98" s="660"/>
    </row>
    <row r="99" spans="1:58" s="189" customFormat="1" ht="37.5" customHeight="1" x14ac:dyDescent="0.25">
      <c r="A99" s="471" t="s">
        <v>384</v>
      </c>
      <c r="B99" s="168"/>
      <c r="C99" s="662"/>
      <c r="D99" s="432" t="s">
        <v>1443</v>
      </c>
      <c r="E99" s="296" t="s">
        <v>1377</v>
      </c>
      <c r="F99" s="633"/>
      <c r="G99" s="633"/>
      <c r="H99" s="633"/>
      <c r="I99" s="633"/>
      <c r="J99" s="633"/>
      <c r="K99" s="471"/>
      <c r="L99" s="666" t="s">
        <v>1445</v>
      </c>
      <c r="M99" s="438"/>
      <c r="N99" s="664" t="s">
        <v>1438</v>
      </c>
      <c r="O99" s="634"/>
      <c r="P99" s="634"/>
      <c r="Q99" s="438">
        <v>1.9890000000000001</v>
      </c>
      <c r="R99" s="436"/>
      <c r="S99" s="633"/>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8"/>
      <c r="AK99" s="489"/>
      <c r="AL99" s="489"/>
      <c r="AM99" s="489"/>
      <c r="AN99" s="490">
        <f t="shared" si="50"/>
        <v>1.9890000000000001</v>
      </c>
      <c r="AO99" s="665">
        <v>0.25</v>
      </c>
      <c r="AP99" s="635">
        <f t="shared" si="51"/>
        <v>0.49730000000000002</v>
      </c>
      <c r="AQ99" s="225">
        <f t="shared" si="52"/>
        <v>740977</v>
      </c>
      <c r="AR99" s="225"/>
      <c r="AS99" s="225">
        <f t="shared" si="53"/>
        <v>3393408</v>
      </c>
      <c r="AT99" s="470"/>
      <c r="AU99" s="543"/>
      <c r="AV99" s="660"/>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80"/>
      <c r="D100" s="1142" t="s">
        <v>665</v>
      </c>
      <c r="E100" s="1143"/>
      <c r="F100" s="1143"/>
      <c r="G100" s="1143"/>
      <c r="H100" s="1143"/>
      <c r="I100" s="1143"/>
      <c r="J100" s="1143"/>
      <c r="K100" s="1143"/>
      <c r="L100" s="1143"/>
      <c r="M100" s="1143"/>
      <c r="N100" s="1143"/>
      <c r="O100" s="1143"/>
      <c r="P100" s="1143"/>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8" t="e">
        <f>SUM(#REF!)</f>
        <v>#REF!</v>
      </c>
      <c r="AO100" s="642" t="e">
        <f>SUM(#REF!)</f>
        <v>#REF!</v>
      </c>
      <c r="AP100" s="367">
        <f>SUM(AP89:AP99)</f>
        <v>5.3230000000000004</v>
      </c>
      <c r="AQ100" s="297">
        <f>SUM(AQ89:AQ99)</f>
        <v>7931270</v>
      </c>
      <c r="AR100" s="297" t="e">
        <f>SUM(#REF!)</f>
        <v>#REF!</v>
      </c>
      <c r="AS100" s="297">
        <f>SUM(AS89:AS99)-1</f>
        <v>38974980</v>
      </c>
      <c r="AT100" s="514"/>
      <c r="AU100" s="515"/>
      <c r="AV100" s="98"/>
      <c r="AW100" s="553"/>
      <c r="AX100" s="553"/>
      <c r="AY100" s="553"/>
      <c r="AZ100" s="553"/>
      <c r="BA100" s="553"/>
      <c r="BB100" s="553"/>
      <c r="BC100" s="553"/>
      <c r="BD100" s="553"/>
      <c r="BE100" s="553"/>
      <c r="BF100" s="553"/>
    </row>
    <row r="101" spans="1:58" s="99" customFormat="1" ht="21" customHeight="1" x14ac:dyDescent="0.25">
      <c r="A101" s="127"/>
      <c r="B101" s="168" t="e">
        <f>VLOOKUP(D101,[1]LuongBC_T01!$B$9:$C$292,2,FALSE)</f>
        <v>#N/A</v>
      </c>
      <c r="C101" s="481"/>
      <c r="D101" s="1148" t="s">
        <v>50</v>
      </c>
      <c r="E101" s="1149"/>
      <c r="F101" s="1149"/>
      <c r="G101" s="1149"/>
      <c r="H101" s="1149"/>
      <c r="I101" s="1149"/>
      <c r="J101" s="1149"/>
      <c r="K101" s="1149"/>
      <c r="L101" s="1149"/>
      <c r="M101" s="1149"/>
      <c r="N101" s="1149"/>
      <c r="O101" s="1149"/>
      <c r="P101" s="1149"/>
      <c r="Q101" s="1149"/>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9"/>
      <c r="AO101" s="125"/>
      <c r="AP101" s="116"/>
      <c r="AQ101" s="113"/>
      <c r="AR101" s="113"/>
      <c r="AS101" s="113"/>
      <c r="AT101" s="508"/>
      <c r="AU101" s="509"/>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150" t="s">
        <v>51</v>
      </c>
      <c r="E102" s="1151"/>
      <c r="F102" s="1151"/>
      <c r="G102" s="1151"/>
      <c r="H102" s="1151"/>
      <c r="I102" s="1151"/>
      <c r="J102" s="1151"/>
      <c r="K102" s="1151"/>
      <c r="L102" s="1151"/>
      <c r="M102" s="1151"/>
      <c r="N102" s="1151"/>
      <c r="O102" s="1151"/>
      <c r="P102" s="1151"/>
      <c r="Q102" s="1151"/>
      <c r="R102" s="1152"/>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2"/>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6"/>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3" t="s">
        <v>912</v>
      </c>
      <c r="D110" s="525" t="s">
        <v>1200</v>
      </c>
      <c r="E110" s="522" t="s">
        <v>1253</v>
      </c>
      <c r="F110" s="525" t="s">
        <v>549</v>
      </c>
      <c r="G110" s="526" t="s">
        <v>25</v>
      </c>
      <c r="H110" s="526"/>
      <c r="I110" s="526" t="s">
        <v>284</v>
      </c>
      <c r="J110" s="525" t="s">
        <v>276</v>
      </c>
      <c r="K110" s="485" t="s">
        <v>1348</v>
      </c>
      <c r="L110" s="611" t="s">
        <v>129</v>
      </c>
      <c r="M110" s="611" t="s">
        <v>912</v>
      </c>
      <c r="N110" s="612" t="s">
        <v>38</v>
      </c>
      <c r="O110" s="614" t="s">
        <v>692</v>
      </c>
      <c r="P110" s="614">
        <v>5</v>
      </c>
      <c r="Q110" s="615">
        <v>3.99</v>
      </c>
      <c r="R110" s="463">
        <f t="shared" si="55"/>
        <v>0.35</v>
      </c>
      <c r="S110" s="616"/>
      <c r="T110" s="463">
        <f t="shared" si="56"/>
        <v>0</v>
      </c>
      <c r="U110" s="530">
        <f t="shared" si="57"/>
        <v>0</v>
      </c>
      <c r="V110" s="526">
        <v>0.35</v>
      </c>
      <c r="W110" s="179">
        <f>VLOOKUP(D110,[3]BC!$D$14:$W$287,20,FALSE)</f>
        <v>0</v>
      </c>
      <c r="X110" s="532">
        <f t="shared" si="58"/>
        <v>0</v>
      </c>
      <c r="Y110" s="532">
        <f t="shared" si="59"/>
        <v>4.34</v>
      </c>
      <c r="Z110" s="533">
        <f t="shared" si="60"/>
        <v>6466600</v>
      </c>
      <c r="AA110" s="533"/>
      <c r="AB110" s="533">
        <f t="shared" si="72"/>
        <v>0</v>
      </c>
      <c r="AC110" s="533">
        <f t="shared" si="61"/>
        <v>0</v>
      </c>
      <c r="AD110" s="533">
        <f t="shared" si="62"/>
        <v>6466600</v>
      </c>
      <c r="AE110" s="534">
        <f t="shared" si="63"/>
        <v>517328</v>
      </c>
      <c r="AF110" s="534">
        <f t="shared" si="64"/>
        <v>96999</v>
      </c>
      <c r="AG110" s="534">
        <f t="shared" si="65"/>
        <v>64666</v>
      </c>
      <c r="AH110" s="534"/>
      <c r="AI110" s="534">
        <f t="shared" si="66"/>
        <v>678993</v>
      </c>
      <c r="AJ110" s="535"/>
      <c r="AK110" s="536">
        <f t="shared" si="67"/>
        <v>0</v>
      </c>
      <c r="AL110" s="536"/>
      <c r="AM110" s="536"/>
      <c r="AN110" s="617">
        <f t="shared" si="68"/>
        <v>4.34</v>
      </c>
      <c r="AO110" s="531"/>
      <c r="AP110" s="538">
        <f t="shared" si="73"/>
        <v>0</v>
      </c>
      <c r="AQ110" s="534">
        <f t="shared" si="69"/>
        <v>0</v>
      </c>
      <c r="AR110" s="534"/>
      <c r="AS110" s="534">
        <f t="shared" si="70"/>
        <v>5787607</v>
      </c>
      <c r="AT110" s="539" t="str">
        <f t="shared" si="71"/>
        <v>92</v>
      </c>
      <c r="AU110" s="540"/>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2">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6"/>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7" t="str">
        <f>VLOOKUP(D129,[1]LuongBC_T01!$B$9:$C$292,2,FALSE)</f>
        <v>0016100006628006</v>
      </c>
      <c r="C129" s="751" t="s">
        <v>1003</v>
      </c>
      <c r="D129" s="729" t="s">
        <v>671</v>
      </c>
      <c r="E129" s="730" t="s">
        <v>1260</v>
      </c>
      <c r="F129" s="729" t="s">
        <v>549</v>
      </c>
      <c r="G129" s="752"/>
      <c r="H129" s="752" t="s">
        <v>283</v>
      </c>
      <c r="I129" s="752" t="s">
        <v>283</v>
      </c>
      <c r="J129" s="752"/>
      <c r="K129" s="731" t="str">
        <f>VLOOKUP(D129,[2]T3!$B$2:$D$328,3,FALSE)</f>
        <v>025251872</v>
      </c>
      <c r="L129" s="753" t="s">
        <v>676</v>
      </c>
      <c r="M129" s="753" t="s">
        <v>1003</v>
      </c>
      <c r="N129" s="733" t="s">
        <v>1438</v>
      </c>
      <c r="O129" s="754" t="s">
        <v>692</v>
      </c>
      <c r="P129" s="734">
        <v>3</v>
      </c>
      <c r="Q129" s="755">
        <v>3.33</v>
      </c>
      <c r="R129" s="737">
        <f>T129+V129+X129</f>
        <v>0.57220000000000004</v>
      </c>
      <c r="S129" s="756"/>
      <c r="T129" s="737">
        <f>ROUND(Q129*S129/100,4)</f>
        <v>0</v>
      </c>
      <c r="U129" s="739">
        <f>Q129*S129*$D$8/100</f>
        <v>0</v>
      </c>
      <c r="V129" s="731">
        <v>0.25</v>
      </c>
      <c r="W129" s="740">
        <v>0.09</v>
      </c>
      <c r="X129" s="741">
        <f>ROUND((Q129+T129+V129)*W129,4)</f>
        <v>0.32219999999999999</v>
      </c>
      <c r="Y129" s="741">
        <f>Q129+T129+V129+X129</f>
        <v>3.9022000000000001</v>
      </c>
      <c r="Z129" s="742">
        <f>ROUND(Y129*$D$8,0)</f>
        <v>5814278</v>
      </c>
      <c r="AA129" s="742"/>
      <c r="AB129" s="742">
        <f>Z129/24*AA129</f>
        <v>0</v>
      </c>
      <c r="AC129" s="742">
        <f>Z129/24*AA129*75%</f>
        <v>0</v>
      </c>
      <c r="AD129" s="742">
        <f>ROUND(Z129-AB129+AC129,0)</f>
        <v>5814278</v>
      </c>
      <c r="AE129" s="743">
        <f>Z129*8%</f>
        <v>465142.24</v>
      </c>
      <c r="AF129" s="743">
        <f>Z129*1.5%</f>
        <v>87214.17</v>
      </c>
      <c r="AG129" s="743">
        <f>Z129*1%</f>
        <v>58142.78</v>
      </c>
      <c r="AH129" s="743"/>
      <c r="AI129" s="743">
        <f>SUM(AE129:AH129)</f>
        <v>610499.19000000006</v>
      </c>
      <c r="AJ129" s="744"/>
      <c r="AK129" s="745">
        <f>AJ129*$D$8</f>
        <v>0</v>
      </c>
      <c r="AL129" s="745"/>
      <c r="AM129" s="745"/>
      <c r="AN129" s="757">
        <f>Q129+T129+V129</f>
        <v>3.58</v>
      </c>
      <c r="AO129" s="758">
        <v>0.25</v>
      </c>
      <c r="AP129" s="759">
        <f>ROUND(AN129*AO129,4)</f>
        <v>0.89500000000000002</v>
      </c>
      <c r="AQ129" s="743">
        <f>ROUND(AP129*$D$8,0)</f>
        <v>1333550</v>
      </c>
      <c r="AR129" s="743"/>
      <c r="AS129" s="743">
        <f>ROUND(AD129-AI129+AK129+AM129+AQ129,0)</f>
        <v>6537329</v>
      </c>
      <c r="AT129" s="749" t="str">
        <f>A129</f>
        <v>111</v>
      </c>
      <c r="AU129" s="760"/>
      <c r="AV129" s="198" t="s">
        <v>711</v>
      </c>
    </row>
    <row r="130" spans="1:58" s="189" customFormat="1" ht="32.25" customHeight="1" x14ac:dyDescent="0.25">
      <c r="A130" s="168" t="s">
        <v>408</v>
      </c>
      <c r="B130" s="683" t="str">
        <f>VLOOKUP(D130,[1]LuongBC_T01!$B$9:$C$292,2,FALSE)</f>
        <v>0016100006603003</v>
      </c>
      <c r="C130" s="704" t="s">
        <v>945</v>
      </c>
      <c r="D130" s="684" t="s">
        <v>817</v>
      </c>
      <c r="E130" s="685" t="s">
        <v>1471</v>
      </c>
      <c r="F130" s="684"/>
      <c r="G130" s="686" t="s">
        <v>25</v>
      </c>
      <c r="H130" s="686"/>
      <c r="I130" s="686"/>
      <c r="J130" s="684"/>
      <c r="K130" s="686" t="str">
        <f>VLOOKUP(D130,[2]T3!$B$2:$D$328,3,FALSE)</f>
        <v>054182000015</v>
      </c>
      <c r="L130" s="708"/>
      <c r="M130" s="708" t="s">
        <v>945</v>
      </c>
      <c r="N130" s="687" t="s">
        <v>1438</v>
      </c>
      <c r="O130" s="709" t="s">
        <v>692</v>
      </c>
      <c r="P130" s="688">
        <v>3</v>
      </c>
      <c r="Q130" s="690">
        <v>3.33</v>
      </c>
      <c r="R130" s="691">
        <f>T130+V130+X130</f>
        <v>0.60799999999999998</v>
      </c>
      <c r="S130" s="692"/>
      <c r="T130" s="691">
        <f>ROUND(Q130*S130/100,4)</f>
        <v>0</v>
      </c>
      <c r="U130" s="693">
        <f>Q130*S130*$D$8/100</f>
        <v>0</v>
      </c>
      <c r="V130" s="686">
        <v>0.25</v>
      </c>
      <c r="W130" s="694">
        <v>0.1</v>
      </c>
      <c r="X130" s="695">
        <f>ROUND((Q130+T130+V130)*W130,4)</f>
        <v>0.35799999999999998</v>
      </c>
      <c r="Y130" s="695">
        <f>Q130+T130+V130+X130</f>
        <v>3.9380000000000002</v>
      </c>
      <c r="Z130" s="696">
        <f t="shared" si="60"/>
        <v>5867620</v>
      </c>
      <c r="AA130" s="696"/>
      <c r="AB130" s="696">
        <f>Z130/24*AA130</f>
        <v>0</v>
      </c>
      <c r="AC130" s="696">
        <f>Z130/24*AA130*75%</f>
        <v>0</v>
      </c>
      <c r="AD130" s="696">
        <f>ROUND(Z130-AB130+AC130,0)</f>
        <v>5867620</v>
      </c>
      <c r="AE130" s="697">
        <f t="shared" si="63"/>
        <v>469409.60000000003</v>
      </c>
      <c r="AF130" s="697">
        <f t="shared" si="64"/>
        <v>88014.3</v>
      </c>
      <c r="AG130" s="697">
        <f t="shared" si="65"/>
        <v>58676.200000000004</v>
      </c>
      <c r="AH130" s="697"/>
      <c r="AI130" s="697">
        <f>SUM(AE130:AH130)</f>
        <v>616100.1</v>
      </c>
      <c r="AJ130" s="702"/>
      <c r="AK130" s="698">
        <f>AJ130*$D$8</f>
        <v>0</v>
      </c>
      <c r="AL130" s="698"/>
      <c r="AM130" s="698"/>
      <c r="AN130" s="707">
        <f t="shared" si="68"/>
        <v>3.58</v>
      </c>
      <c r="AO130" s="703">
        <v>0.25</v>
      </c>
      <c r="AP130" s="705">
        <f>ROUND(AN130*AO130,4)</f>
        <v>0.89500000000000002</v>
      </c>
      <c r="AQ130" s="697">
        <f>ROUND(AP130*$D$8,0)</f>
        <v>1333550</v>
      </c>
      <c r="AR130" s="697"/>
      <c r="AS130" s="697">
        <f t="shared" si="75"/>
        <v>6585070</v>
      </c>
      <c r="AT130" s="699" t="str">
        <f t="shared" si="71"/>
        <v>112</v>
      </c>
      <c r="AU130" s="710"/>
      <c r="AV130" s="242"/>
      <c r="AW130" s="29"/>
      <c r="AX130" s="29"/>
      <c r="AY130" s="29"/>
      <c r="AZ130" s="29"/>
      <c r="BA130" s="29"/>
      <c r="BB130" s="29"/>
      <c r="BC130" s="29"/>
      <c r="BD130" s="29"/>
      <c r="BE130" s="29"/>
      <c r="BF130" s="29"/>
    </row>
    <row r="131" spans="1:58" s="189" customFormat="1" ht="33" customHeight="1" x14ac:dyDescent="0.25">
      <c r="A131" s="683" t="s">
        <v>645</v>
      </c>
      <c r="B131" s="683" t="str">
        <f>VLOOKUP(D131,[1]LuongBC_T01!$B$9:$C$292,2,FALSE)</f>
        <v>0016100006604007</v>
      </c>
      <c r="C131" s="704" t="s">
        <v>946</v>
      </c>
      <c r="D131" s="684" t="s">
        <v>819</v>
      </c>
      <c r="E131" s="685" t="s">
        <v>1471</v>
      </c>
      <c r="F131" s="684"/>
      <c r="G131" s="686" t="s">
        <v>25</v>
      </c>
      <c r="H131" s="686"/>
      <c r="I131" s="686"/>
      <c r="J131" s="684"/>
      <c r="K131" s="686" t="str">
        <f>VLOOKUP(D131,[2]T3!$B$2:$D$328,3,FALSE)</f>
        <v>025791269</v>
      </c>
      <c r="L131" s="708"/>
      <c r="M131" s="708" t="s">
        <v>946</v>
      </c>
      <c r="N131" s="687" t="s">
        <v>1438</v>
      </c>
      <c r="O131" s="709" t="s">
        <v>692</v>
      </c>
      <c r="P131" s="688">
        <v>3</v>
      </c>
      <c r="Q131" s="690">
        <v>3</v>
      </c>
      <c r="R131" s="691">
        <f>T131+V131+X131</f>
        <v>0.57499999999999996</v>
      </c>
      <c r="S131" s="692"/>
      <c r="T131" s="691">
        <f>ROUND(Q131*S131/100,4)</f>
        <v>0</v>
      </c>
      <c r="U131" s="693">
        <f>Q131*S131*$D$8/100</f>
        <v>0</v>
      </c>
      <c r="V131" s="686">
        <v>0.25</v>
      </c>
      <c r="W131" s="694">
        <v>0.1</v>
      </c>
      <c r="X131" s="695">
        <f>ROUND((Q131+T131+V131)*W131,4)</f>
        <v>0.32500000000000001</v>
      </c>
      <c r="Y131" s="695">
        <f>Q131+T131+V131+X131</f>
        <v>3.5750000000000002</v>
      </c>
      <c r="Z131" s="696">
        <f t="shared" si="60"/>
        <v>5326750</v>
      </c>
      <c r="AA131" s="696"/>
      <c r="AB131" s="696">
        <f>Z131/24*AA131</f>
        <v>0</v>
      </c>
      <c r="AC131" s="696">
        <f>Z131/24*AA131*75%</f>
        <v>0</v>
      </c>
      <c r="AD131" s="696">
        <f>ROUND(Z131-AB131+AC131,0)</f>
        <v>5326750</v>
      </c>
      <c r="AE131" s="697">
        <f t="shared" si="63"/>
        <v>426140</v>
      </c>
      <c r="AF131" s="697">
        <f t="shared" si="64"/>
        <v>79901.25</v>
      </c>
      <c r="AG131" s="697">
        <f t="shared" si="65"/>
        <v>53267.5</v>
      </c>
      <c r="AH131" s="697"/>
      <c r="AI131" s="697">
        <f>SUM(AE131:AH131)</f>
        <v>559308.75</v>
      </c>
      <c r="AJ131" s="702"/>
      <c r="AK131" s="698">
        <f>AJ131*$D$8</f>
        <v>0</v>
      </c>
      <c r="AL131" s="698"/>
      <c r="AM131" s="698"/>
      <c r="AN131" s="707">
        <f t="shared" si="68"/>
        <v>3.25</v>
      </c>
      <c r="AO131" s="703">
        <v>0.25</v>
      </c>
      <c r="AP131" s="705">
        <f>ROUND(AN131*AO131,4)</f>
        <v>0.8125</v>
      </c>
      <c r="AQ131" s="697">
        <f>ROUND(AP131*$D$8,0)</f>
        <v>1210625</v>
      </c>
      <c r="AR131" s="697"/>
      <c r="AS131" s="697">
        <f t="shared" si="75"/>
        <v>5978066</v>
      </c>
      <c r="AT131" s="699" t="str">
        <f t="shared" si="71"/>
        <v>113</v>
      </c>
      <c r="AU131" s="710"/>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4" t="s">
        <v>742</v>
      </c>
      <c r="M132" s="544"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6"/>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20" t="s">
        <v>1043</v>
      </c>
      <c r="D146" s="521" t="s">
        <v>770</v>
      </c>
      <c r="E146" s="522" t="s">
        <v>1416</v>
      </c>
      <c r="F146" s="523"/>
      <c r="G146" s="524" t="s">
        <v>25</v>
      </c>
      <c r="H146" s="523"/>
      <c r="I146" s="525" t="s">
        <v>284</v>
      </c>
      <c r="J146" s="523"/>
      <c r="K146" s="526" t="str">
        <f>VLOOKUP(D146,[2]T3!$B$2:$D$328,3,FALSE)</f>
        <v>310895348</v>
      </c>
      <c r="L146" s="527">
        <v>1603205185623</v>
      </c>
      <c r="M146" s="527" t="s">
        <v>1043</v>
      </c>
      <c r="N146" s="528" t="s">
        <v>39</v>
      </c>
      <c r="O146" s="526" t="s">
        <v>692</v>
      </c>
      <c r="P146" s="526">
        <v>2</v>
      </c>
      <c r="Q146" s="529">
        <v>3</v>
      </c>
      <c r="R146" s="463">
        <f t="shared" si="55"/>
        <v>0</v>
      </c>
      <c r="S146" s="525"/>
      <c r="T146" s="463">
        <f t="shared" si="56"/>
        <v>0</v>
      </c>
      <c r="U146" s="530">
        <f t="shared" si="74"/>
        <v>0</v>
      </c>
      <c r="V146" s="526"/>
      <c r="W146" s="179">
        <f>VLOOKUP(D146,[3]BC!$D$14:$W$287,20,FALSE)</f>
        <v>0</v>
      </c>
      <c r="X146" s="532">
        <f t="shared" si="58"/>
        <v>0</v>
      </c>
      <c r="Y146" s="532">
        <f t="shared" si="59"/>
        <v>3</v>
      </c>
      <c r="Z146" s="180">
        <f t="shared" si="60"/>
        <v>4470000</v>
      </c>
      <c r="AA146" s="533"/>
      <c r="AB146" s="533">
        <f t="shared" si="72"/>
        <v>0</v>
      </c>
      <c r="AC146" s="533">
        <f t="shared" si="61"/>
        <v>0</v>
      </c>
      <c r="AD146" s="533">
        <f t="shared" si="62"/>
        <v>4470000</v>
      </c>
      <c r="AE146" s="534">
        <f t="shared" si="63"/>
        <v>357600</v>
      </c>
      <c r="AF146" s="534">
        <f t="shared" si="64"/>
        <v>67050</v>
      </c>
      <c r="AG146" s="534">
        <f t="shared" si="65"/>
        <v>44700</v>
      </c>
      <c r="AH146" s="534"/>
      <c r="AI146" s="534">
        <f t="shared" si="66"/>
        <v>469350</v>
      </c>
      <c r="AJ146" s="535"/>
      <c r="AK146" s="536">
        <f t="shared" si="67"/>
        <v>0</v>
      </c>
      <c r="AL146" s="536"/>
      <c r="AM146" s="536"/>
      <c r="AN146" s="537">
        <f>Q146+T146+V146</f>
        <v>3</v>
      </c>
      <c r="AO146" s="531"/>
      <c r="AP146" s="538">
        <f t="shared" si="73"/>
        <v>0</v>
      </c>
      <c r="AQ146" s="534">
        <f t="shared" si="69"/>
        <v>0</v>
      </c>
      <c r="AR146" s="534"/>
      <c r="AS146" s="534">
        <f t="shared" si="75"/>
        <v>4000650</v>
      </c>
      <c r="AT146" s="539" t="str">
        <f t="shared" si="71"/>
        <v>128</v>
      </c>
      <c r="AU146" s="540"/>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3">
        <f t="shared" si="61"/>
        <v>0</v>
      </c>
      <c r="AD147" s="180">
        <f t="shared" si="62"/>
        <v>4514700</v>
      </c>
      <c r="AE147" s="534">
        <f t="shared" si="63"/>
        <v>361176</v>
      </c>
      <c r="AF147" s="534">
        <f t="shared" si="64"/>
        <v>67720.5</v>
      </c>
      <c r="AG147" s="534">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3">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8"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9"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4"/>
      <c r="AX159" s="554"/>
      <c r="AY159" s="554"/>
      <c r="AZ159" s="554"/>
      <c r="BA159" s="554"/>
      <c r="BB159" s="554"/>
      <c r="BC159" s="554"/>
      <c r="BD159" s="554"/>
      <c r="BE159" s="554"/>
      <c r="BF159" s="554"/>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70" t="s">
        <v>437</v>
      </c>
      <c r="B162" s="770" t="str">
        <f>VLOOKUP(D162,[1]LuongBC_T01!$B$9:$C$292,2,FALSE)</f>
        <v>0016100006681004</v>
      </c>
      <c r="C162" s="771" t="s">
        <v>939</v>
      </c>
      <c r="D162" s="772" t="s">
        <v>771</v>
      </c>
      <c r="E162" s="773" t="s">
        <v>1257</v>
      </c>
      <c r="F162" s="774"/>
      <c r="G162" s="775" t="s">
        <v>25</v>
      </c>
      <c r="H162" s="774"/>
      <c r="I162" s="774"/>
      <c r="J162" s="774"/>
      <c r="K162" s="776" t="str">
        <f>VLOOKUP(D162,[2]T3!$B$2:$D$328,3,FALSE)</f>
        <v>025796369</v>
      </c>
      <c r="L162" s="777">
        <v>1603205372861</v>
      </c>
      <c r="M162" s="777" t="s">
        <v>939</v>
      </c>
      <c r="N162" s="778" t="s">
        <v>43</v>
      </c>
      <c r="O162" s="776" t="s">
        <v>698</v>
      </c>
      <c r="P162" s="776">
        <v>1</v>
      </c>
      <c r="Q162" s="776">
        <v>2.46</v>
      </c>
      <c r="R162" s="779">
        <f t="shared" si="55"/>
        <v>0</v>
      </c>
      <c r="S162" s="780"/>
      <c r="T162" s="779">
        <f t="shared" si="56"/>
        <v>0</v>
      </c>
      <c r="U162" s="781"/>
      <c r="V162" s="782"/>
      <c r="W162" s="783">
        <f>VLOOKUP(D162,[3]BC!$D$14:$W$287,20,FALSE)</f>
        <v>0</v>
      </c>
      <c r="X162" s="784">
        <f t="shared" si="58"/>
        <v>0</v>
      </c>
      <c r="Y162" s="784">
        <f t="shared" si="59"/>
        <v>2.46</v>
      </c>
      <c r="Z162" s="785">
        <f t="shared" si="60"/>
        <v>3665400</v>
      </c>
      <c r="AA162" s="785">
        <v>24</v>
      </c>
      <c r="AB162" s="785">
        <f t="shared" si="72"/>
        <v>3665400</v>
      </c>
      <c r="AC162" s="785">
        <v>0</v>
      </c>
      <c r="AD162" s="785">
        <f t="shared" si="62"/>
        <v>0</v>
      </c>
      <c r="AE162" s="782">
        <v>0</v>
      </c>
      <c r="AF162" s="782">
        <v>0</v>
      </c>
      <c r="AG162" s="782">
        <v>0</v>
      </c>
      <c r="AH162" s="782"/>
      <c r="AI162" s="782">
        <f t="shared" si="66"/>
        <v>0</v>
      </c>
      <c r="AJ162" s="786"/>
      <c r="AK162" s="787">
        <f t="shared" si="67"/>
        <v>0</v>
      </c>
      <c r="AL162" s="787"/>
      <c r="AM162" s="787"/>
      <c r="AN162" s="788">
        <f>Q162+T162+V162</f>
        <v>2.46</v>
      </c>
      <c r="AO162" s="783"/>
      <c r="AP162" s="789">
        <f t="shared" si="73"/>
        <v>0</v>
      </c>
      <c r="AQ162" s="782">
        <f t="shared" si="69"/>
        <v>0</v>
      </c>
      <c r="AR162" s="782"/>
      <c r="AS162" s="782">
        <f t="shared" si="75"/>
        <v>0</v>
      </c>
      <c r="AT162" s="790" t="str">
        <f t="shared" si="77"/>
        <v>144</v>
      </c>
      <c r="AU162" s="791"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8"/>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1"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3" t="s">
        <v>448</v>
      </c>
      <c r="B174" s="683" t="str">
        <f>VLOOKUP(D174,[1]LuongBC_T01!$B$9:$C$292,2,FALSE)</f>
        <v>0016100006620005</v>
      </c>
      <c r="C174" s="704" t="s">
        <v>956</v>
      </c>
      <c r="D174" s="684" t="s">
        <v>1219</v>
      </c>
      <c r="E174" s="685" t="s">
        <v>1094</v>
      </c>
      <c r="F174" s="684" t="s">
        <v>549</v>
      </c>
      <c r="G174" s="706" t="s">
        <v>25</v>
      </c>
      <c r="H174" s="686" t="s">
        <v>283</v>
      </c>
      <c r="I174" s="706" t="s">
        <v>283</v>
      </c>
      <c r="J174" s="717" t="s">
        <v>255</v>
      </c>
      <c r="K174" s="686" t="str">
        <f>VLOOKUP(D174,[2]T3!$B$2:$D$328,3,FALSE)</f>
        <v>082175000189</v>
      </c>
      <c r="L174" s="761" t="s">
        <v>170</v>
      </c>
      <c r="M174" s="761" t="s">
        <v>956</v>
      </c>
      <c r="N174" s="687" t="s">
        <v>807</v>
      </c>
      <c r="O174" s="688" t="s">
        <v>692</v>
      </c>
      <c r="P174" s="689">
        <v>5</v>
      </c>
      <c r="Q174" s="690">
        <v>3.99</v>
      </c>
      <c r="R174" s="691">
        <f t="shared" si="80"/>
        <v>0.59850000000000003</v>
      </c>
      <c r="S174" s="762"/>
      <c r="T174" s="691">
        <f t="shared" si="81"/>
        <v>0</v>
      </c>
      <c r="U174" s="693">
        <f t="shared" si="79"/>
        <v>0</v>
      </c>
      <c r="V174" s="706"/>
      <c r="W174" s="694">
        <v>0.15</v>
      </c>
      <c r="X174" s="695">
        <f t="shared" si="82"/>
        <v>0.59850000000000003</v>
      </c>
      <c r="Y174" s="695">
        <f t="shared" si="83"/>
        <v>4.5884999999999998</v>
      </c>
      <c r="Z174" s="696">
        <f t="shared" si="84"/>
        <v>6836865</v>
      </c>
      <c r="AA174" s="696"/>
      <c r="AB174" s="696">
        <f t="shared" si="92"/>
        <v>0</v>
      </c>
      <c r="AC174" s="696">
        <f t="shared" si="93"/>
        <v>0</v>
      </c>
      <c r="AD174" s="696">
        <f t="shared" si="85"/>
        <v>6836865</v>
      </c>
      <c r="AE174" s="697">
        <f t="shared" si="86"/>
        <v>546949.19999999995</v>
      </c>
      <c r="AF174" s="697">
        <f t="shared" si="87"/>
        <v>102552.97499999999</v>
      </c>
      <c r="AG174" s="697">
        <f t="shared" si="88"/>
        <v>68368.649999999994</v>
      </c>
      <c r="AH174" s="697"/>
      <c r="AI174" s="697">
        <f t="shared" si="89"/>
        <v>717870.82499999995</v>
      </c>
      <c r="AJ174" s="763"/>
      <c r="AK174" s="698">
        <f t="shared" si="90"/>
        <v>0</v>
      </c>
      <c r="AL174" s="698"/>
      <c r="AM174" s="698"/>
      <c r="AN174" s="707">
        <f t="shared" si="95"/>
        <v>3.99</v>
      </c>
      <c r="AO174" s="703">
        <v>0.25</v>
      </c>
      <c r="AP174" s="705">
        <f t="shared" si="94"/>
        <v>0.99750000000000005</v>
      </c>
      <c r="AQ174" s="697">
        <f t="shared" si="91"/>
        <v>1486275</v>
      </c>
      <c r="AR174" s="697"/>
      <c r="AS174" s="697">
        <f t="shared" si="75"/>
        <v>7605269</v>
      </c>
      <c r="AT174" s="699" t="str">
        <f t="shared" si="77"/>
        <v>156</v>
      </c>
      <c r="AU174" s="700"/>
      <c r="AV174" s="198" t="s">
        <v>710</v>
      </c>
      <c r="AW174" s="553"/>
      <c r="AX174" s="553"/>
      <c r="AY174" s="553"/>
      <c r="AZ174" s="553"/>
      <c r="BA174" s="553"/>
      <c r="BB174" s="553"/>
      <c r="BC174" s="553"/>
      <c r="BD174" s="553"/>
      <c r="BE174" s="553"/>
      <c r="BF174" s="553"/>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3" t="str">
        <f>VLOOKUP(D176,[1]LuongBC_T01!$B$9:$C$292,2,FALSE)</f>
        <v>0016100006684003</v>
      </c>
      <c r="C176" s="704" t="s">
        <v>1080</v>
      </c>
      <c r="D176" s="684" t="s">
        <v>1235</v>
      </c>
      <c r="E176" s="685" t="s">
        <v>1094</v>
      </c>
      <c r="F176" s="684" t="s">
        <v>549</v>
      </c>
      <c r="G176" s="686"/>
      <c r="H176" s="686"/>
      <c r="I176" s="706" t="s">
        <v>283</v>
      </c>
      <c r="J176" s="717" t="s">
        <v>264</v>
      </c>
      <c r="K176" s="686" t="str">
        <f>VLOOKUP(D176,[2]T3!$B$2:$D$328,3,FALSE)</f>
        <v>024345241</v>
      </c>
      <c r="L176" s="701" t="s">
        <v>132</v>
      </c>
      <c r="M176" s="701" t="s">
        <v>1080</v>
      </c>
      <c r="N176" s="685" t="s">
        <v>807</v>
      </c>
      <c r="O176" s="688" t="s">
        <v>692</v>
      </c>
      <c r="P176" s="689">
        <v>5</v>
      </c>
      <c r="Q176" s="690">
        <v>3.99</v>
      </c>
      <c r="R176" s="691">
        <f>T176+V176+X176</f>
        <v>0.67830000000000001</v>
      </c>
      <c r="S176" s="692"/>
      <c r="T176" s="691">
        <f>ROUND(Q176*S176/100,4)</f>
        <v>0</v>
      </c>
      <c r="U176" s="693">
        <f>Q176*S176*$D$8/100</f>
        <v>0</v>
      </c>
      <c r="V176" s="686"/>
      <c r="W176" s="694">
        <v>0.17</v>
      </c>
      <c r="X176" s="695">
        <f>ROUND((Q176+T176+V176)*W176,4)</f>
        <v>0.67830000000000001</v>
      </c>
      <c r="Y176" s="695">
        <f>Q176+T176+V176+X176</f>
        <v>4.6683000000000003</v>
      </c>
      <c r="Z176" s="696">
        <f>ROUND(Y176*$D$8,0)</f>
        <v>6955767</v>
      </c>
      <c r="AA176" s="696"/>
      <c r="AB176" s="696">
        <f>Z176/24*AA176</f>
        <v>0</v>
      </c>
      <c r="AC176" s="696">
        <v>0</v>
      </c>
      <c r="AD176" s="696">
        <f>ROUND(Z176-AB176+AC176,0)</f>
        <v>6955767</v>
      </c>
      <c r="AE176" s="697">
        <f t="shared" si="86"/>
        <v>556461.36</v>
      </c>
      <c r="AF176" s="697">
        <f t="shared" si="87"/>
        <v>104336.50499999999</v>
      </c>
      <c r="AG176" s="697">
        <f t="shared" si="88"/>
        <v>69557.67</v>
      </c>
      <c r="AH176" s="697"/>
      <c r="AI176" s="697">
        <f>SUM(AE176:AH176)</f>
        <v>730355.53500000003</v>
      </c>
      <c r="AJ176" s="702"/>
      <c r="AK176" s="698">
        <f>AJ176*$D$8</f>
        <v>0</v>
      </c>
      <c r="AL176" s="698"/>
      <c r="AM176" s="698"/>
      <c r="AN176" s="707">
        <f t="shared" si="95"/>
        <v>3.99</v>
      </c>
      <c r="AO176" s="703">
        <v>0.25</v>
      </c>
      <c r="AP176" s="705">
        <f>ROUND(AN176*AO176,4)</f>
        <v>0.99750000000000005</v>
      </c>
      <c r="AQ176" s="697">
        <f>ROUND(AP176*$D$8,0)</f>
        <v>1486275</v>
      </c>
      <c r="AR176" s="697"/>
      <c r="AS176" s="697">
        <f t="shared" si="75"/>
        <v>7711686</v>
      </c>
      <c r="AT176" s="699" t="str">
        <f t="shared" si="77"/>
        <v>158</v>
      </c>
      <c r="AU176" s="700"/>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3"/>
      <c r="AX187" s="553"/>
      <c r="AY187" s="553"/>
      <c r="AZ187" s="553"/>
      <c r="BA187" s="553"/>
      <c r="BB187" s="553"/>
      <c r="BC187" s="553"/>
      <c r="BD187" s="553"/>
      <c r="BE187" s="553"/>
      <c r="BF187" s="553"/>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3" t="str">
        <f>VLOOKUP(D197,[1]LuongBC_T01!$B$9:$C$292,2,FALSE)</f>
        <v>0016100006772007</v>
      </c>
      <c r="C197" s="704" t="s">
        <v>943</v>
      </c>
      <c r="D197" s="684" t="s">
        <v>815</v>
      </c>
      <c r="E197" s="685" t="s">
        <v>1094</v>
      </c>
      <c r="F197" s="684"/>
      <c r="G197" s="686"/>
      <c r="H197" s="686"/>
      <c r="I197" s="686"/>
      <c r="J197" s="684"/>
      <c r="K197" s="686" t="str">
        <f>VLOOKUP(D197,[2]T3!$B$2:$D$328,3,FALSE)</f>
        <v>025013400</v>
      </c>
      <c r="L197" s="708"/>
      <c r="M197" s="708" t="s">
        <v>943</v>
      </c>
      <c r="N197" s="687" t="s">
        <v>807</v>
      </c>
      <c r="O197" s="709" t="s">
        <v>692</v>
      </c>
      <c r="P197" s="688">
        <v>3</v>
      </c>
      <c r="Q197" s="690">
        <v>3.33</v>
      </c>
      <c r="R197" s="691">
        <f t="shared" si="80"/>
        <v>0.2331</v>
      </c>
      <c r="S197" s="692"/>
      <c r="T197" s="691">
        <f t="shared" si="81"/>
        <v>0</v>
      </c>
      <c r="U197" s="693">
        <f t="shared" si="79"/>
        <v>0</v>
      </c>
      <c r="V197" s="686"/>
      <c r="W197" s="694">
        <v>7.0000000000000007E-2</v>
      </c>
      <c r="X197" s="695">
        <f t="shared" si="82"/>
        <v>0.2331</v>
      </c>
      <c r="Y197" s="695">
        <f t="shared" si="83"/>
        <v>3.5630999999999999</v>
      </c>
      <c r="Z197" s="696">
        <f t="shared" si="84"/>
        <v>5309019</v>
      </c>
      <c r="AA197" s="696"/>
      <c r="AB197" s="696">
        <f t="shared" si="97"/>
        <v>0</v>
      </c>
      <c r="AC197" s="696">
        <f t="shared" si="98"/>
        <v>0</v>
      </c>
      <c r="AD197" s="696">
        <f t="shared" si="85"/>
        <v>5309019</v>
      </c>
      <c r="AE197" s="697">
        <f t="shared" si="86"/>
        <v>424721.52</v>
      </c>
      <c r="AF197" s="697">
        <f t="shared" si="87"/>
        <v>79635.285000000003</v>
      </c>
      <c r="AG197" s="697">
        <f t="shared" si="88"/>
        <v>53090.19</v>
      </c>
      <c r="AH197" s="697"/>
      <c r="AI197" s="697">
        <f t="shared" si="89"/>
        <v>557446.99500000011</v>
      </c>
      <c r="AJ197" s="702"/>
      <c r="AK197" s="698">
        <f t="shared" si="90"/>
        <v>0</v>
      </c>
      <c r="AL197" s="698"/>
      <c r="AM197" s="698"/>
      <c r="AN197" s="707">
        <f t="shared" si="95"/>
        <v>3.33</v>
      </c>
      <c r="AO197" s="703">
        <v>0.25</v>
      </c>
      <c r="AP197" s="705">
        <f t="shared" si="94"/>
        <v>0.83250000000000002</v>
      </c>
      <c r="AQ197" s="697">
        <f t="shared" si="91"/>
        <v>1240425</v>
      </c>
      <c r="AR197" s="697"/>
      <c r="AS197" s="697">
        <f t="shared" si="96"/>
        <v>5991997</v>
      </c>
      <c r="AT197" s="699" t="str">
        <f t="shared" si="77"/>
        <v>179</v>
      </c>
      <c r="AU197" s="710"/>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5"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7"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6" t="s">
        <v>1415</v>
      </c>
      <c r="D232" s="545" t="s">
        <v>1406</v>
      </c>
      <c r="E232" s="564" t="s">
        <v>1436</v>
      </c>
      <c r="F232" s="565"/>
      <c r="G232" s="565"/>
      <c r="H232" s="565"/>
      <c r="I232" s="565"/>
      <c r="J232" s="565"/>
      <c r="K232" s="566"/>
      <c r="L232" s="565"/>
      <c r="M232" s="546"/>
      <c r="N232" s="263" t="s">
        <v>807</v>
      </c>
      <c r="O232" s="567"/>
      <c r="P232" s="567"/>
      <c r="Q232" s="552">
        <v>3.33</v>
      </c>
      <c r="R232" s="547"/>
      <c r="S232" s="565"/>
      <c r="T232" s="547">
        <f>ROUND(Q232*S232/100,4)</f>
        <v>0</v>
      </c>
      <c r="U232" s="548"/>
      <c r="V232" s="546"/>
      <c r="W232" s="179">
        <f>VLOOKUP(D232,[3]BC!$D$14:$W$287,20,FALSE)</f>
        <v>0</v>
      </c>
      <c r="X232" s="549">
        <f>ROUND((Q232+T232+V232)*W232,4)</f>
        <v>0</v>
      </c>
      <c r="Y232" s="549">
        <f>Q232+T232+V232+X232</f>
        <v>3.33</v>
      </c>
      <c r="Z232" s="550">
        <f>ROUND(Y232*$D$8,0)</f>
        <v>4961700</v>
      </c>
      <c r="AA232" s="550"/>
      <c r="AB232" s="550">
        <f>Z232/24*AA232</f>
        <v>0</v>
      </c>
      <c r="AC232" s="550">
        <f>Z232/24*AA232*75%</f>
        <v>0</v>
      </c>
      <c r="AD232" s="550">
        <f>ROUND(Z232-AB232+AC232,0)</f>
        <v>4961700</v>
      </c>
      <c r="AE232" s="551">
        <f t="shared" si="102"/>
        <v>396936</v>
      </c>
      <c r="AF232" s="551">
        <f t="shared" si="103"/>
        <v>74425.5</v>
      </c>
      <c r="AG232" s="551">
        <f t="shared" si="104"/>
        <v>49617</v>
      </c>
      <c r="AH232" s="551"/>
      <c r="AI232" s="551">
        <f>SUM(AE232:AH232)</f>
        <v>520978.5</v>
      </c>
      <c r="AJ232" s="568"/>
      <c r="AK232" s="569"/>
      <c r="AL232" s="569"/>
      <c r="AM232" s="569"/>
      <c r="AN232" s="570">
        <f t="shared" si="95"/>
        <v>3.33</v>
      </c>
      <c r="AO232" s="641">
        <v>0.25</v>
      </c>
      <c r="AP232" s="185">
        <f>ROUND(AN232*AO232,4)</f>
        <v>0.83250000000000002</v>
      </c>
      <c r="AQ232" s="178">
        <f>ROUND(AP232*$D$8,0)</f>
        <v>1240425</v>
      </c>
      <c r="AR232" s="551"/>
      <c r="AS232" s="178">
        <f t="shared" si="96"/>
        <v>5681147</v>
      </c>
      <c r="AT232" s="563"/>
      <c r="AU232" s="195"/>
      <c r="AV232" s="486"/>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3"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6"/>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4" t="s">
        <v>743</v>
      </c>
      <c r="M242" s="544"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4" t="s">
        <v>745</v>
      </c>
      <c r="M245" s="544"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9">
        <v>0.45</v>
      </c>
      <c r="AP249" s="638">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6" t="s">
        <v>615</v>
      </c>
      <c r="M254" s="656"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5">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6" t="s">
        <v>758</v>
      </c>
      <c r="M256" s="726"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2"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6"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2"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6"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2"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6"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6" t="s">
        <v>1272</v>
      </c>
      <c r="AW262" s="29"/>
      <c r="AX262" s="29"/>
      <c r="AY262" s="29"/>
      <c r="AZ262" s="29"/>
      <c r="BA262" s="29"/>
      <c r="BB262" s="29"/>
      <c r="BC262" s="29"/>
      <c r="BD262" s="29"/>
      <c r="BE262" s="29"/>
      <c r="BF262" s="29"/>
    </row>
    <row r="263" spans="1:58" s="189" customFormat="1" ht="29.25" customHeight="1" x14ac:dyDescent="0.25">
      <c r="A263" s="683" t="s">
        <v>627</v>
      </c>
      <c r="B263" s="683" t="str">
        <f>VLOOKUP(D263,[1]LuongBC_T01!$B$9:$C$292,2,FALSE)</f>
        <v>0016100007212008</v>
      </c>
      <c r="C263" s="686" t="s">
        <v>1328</v>
      </c>
      <c r="D263" s="684" t="s">
        <v>1282</v>
      </c>
      <c r="E263" s="685" t="s">
        <v>1380</v>
      </c>
      <c r="F263" s="717"/>
      <c r="G263" s="717"/>
      <c r="H263" s="717"/>
      <c r="I263" s="717"/>
      <c r="J263" s="717"/>
      <c r="K263" s="686">
        <f>VLOOKUP(D263,[2]T3!$B$2:$D$328,3,FALSE)</f>
        <v>331950060</v>
      </c>
      <c r="L263" s="717"/>
      <c r="M263" s="686"/>
      <c r="N263" s="685" t="s">
        <v>1438</v>
      </c>
      <c r="O263" s="769"/>
      <c r="P263" s="769"/>
      <c r="Q263" s="686">
        <v>2.67</v>
      </c>
      <c r="R263" s="691"/>
      <c r="S263" s="717"/>
      <c r="T263" s="691">
        <f>ROUND(Q263*S263/100,4)</f>
        <v>0</v>
      </c>
      <c r="U263" s="693"/>
      <c r="V263" s="686"/>
      <c r="W263" s="694">
        <v>0.08</v>
      </c>
      <c r="X263" s="695">
        <f>ROUND((Q263+T263+V263)*W263,4)</f>
        <v>0.21360000000000001</v>
      </c>
      <c r="Y263" s="695">
        <f>Q263+T263+V263+X263</f>
        <v>2.8835999999999999</v>
      </c>
      <c r="Z263" s="696">
        <f t="shared" si="109"/>
        <v>4296564</v>
      </c>
      <c r="AA263" s="696"/>
      <c r="AB263" s="696">
        <f>Z263/24*AA263</f>
        <v>0</v>
      </c>
      <c r="AC263" s="696">
        <f>Z263/24*AA263*75%</f>
        <v>0</v>
      </c>
      <c r="AD263" s="696">
        <f>ROUND(Z263-AB263+AC263,0)</f>
        <v>4296564</v>
      </c>
      <c r="AE263" s="697">
        <f t="shared" si="102"/>
        <v>343725.12</v>
      </c>
      <c r="AF263" s="697">
        <f t="shared" si="103"/>
        <v>64448.46</v>
      </c>
      <c r="AG263" s="697">
        <f t="shared" si="104"/>
        <v>42965.64</v>
      </c>
      <c r="AH263" s="697"/>
      <c r="AI263" s="697">
        <f>SUM(AE263:AH263)</f>
        <v>451139.22000000003</v>
      </c>
      <c r="AJ263" s="702"/>
      <c r="AK263" s="698">
        <f t="shared" si="120"/>
        <v>0</v>
      </c>
      <c r="AL263" s="698"/>
      <c r="AM263" s="698"/>
      <c r="AN263" s="765">
        <f t="shared" si="117"/>
        <v>2.67</v>
      </c>
      <c r="AO263" s="703">
        <v>0.25</v>
      </c>
      <c r="AP263" s="767">
        <f>ROUND(AN263*AO263,4)</f>
        <v>0.66749999999999998</v>
      </c>
      <c r="AQ263" s="697">
        <f>ROUND(AP263*$D$8,0)</f>
        <v>994575</v>
      </c>
      <c r="AR263" s="697"/>
      <c r="AS263" s="697">
        <f t="shared" si="119"/>
        <v>4840000</v>
      </c>
      <c r="AT263" s="699" t="str">
        <f t="shared" si="115"/>
        <v>245</v>
      </c>
      <c r="AU263" s="700"/>
      <c r="AV263" s="486"/>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3" t="str">
        <f>VLOOKUP(D266,[1]LuongBC_T01!$B$9:$C$292,2,FALSE)</f>
        <v>0016100006589008</v>
      </c>
      <c r="C266" s="715" t="s">
        <v>906</v>
      </c>
      <c r="D266" s="372" t="s">
        <v>812</v>
      </c>
      <c r="E266" s="674" t="s">
        <v>1094</v>
      </c>
      <c r="F266" s="718"/>
      <c r="G266" s="718" t="s">
        <v>25</v>
      </c>
      <c r="H266" s="718"/>
      <c r="I266" s="718"/>
      <c r="J266" s="718"/>
      <c r="K266" s="373" t="str">
        <f>VLOOKUP(D266,[2]T3!$B$2:$D$328,3,FALSE)</f>
        <v>024327951</v>
      </c>
      <c r="L266" s="718"/>
      <c r="M266" s="373" t="s">
        <v>906</v>
      </c>
      <c r="N266" s="713" t="s">
        <v>1438</v>
      </c>
      <c r="O266" s="373" t="s">
        <v>692</v>
      </c>
      <c r="P266" s="373">
        <v>1</v>
      </c>
      <c r="Q266" s="373">
        <v>2.67</v>
      </c>
      <c r="R266" s="675">
        <f>T266+V266+X266</f>
        <v>0</v>
      </c>
      <c r="S266" s="718"/>
      <c r="T266" s="675">
        <f t="shared" si="106"/>
        <v>0</v>
      </c>
      <c r="U266" s="374">
        <f>Q266*S266*$D$8/100</f>
        <v>0</v>
      </c>
      <c r="V266" s="373"/>
      <c r="W266" s="676">
        <f>VLOOKUP(D266,[3]BC!$D$14:$W$287,20,FALSE)</f>
        <v>0</v>
      </c>
      <c r="X266" s="677">
        <f t="shared" si="107"/>
        <v>0</v>
      </c>
      <c r="Y266" s="677">
        <f t="shared" si="108"/>
        <v>2.67</v>
      </c>
      <c r="Z266" s="678">
        <f t="shared" si="109"/>
        <v>3978300</v>
      </c>
      <c r="AA266" s="678">
        <v>0</v>
      </c>
      <c r="AB266" s="678">
        <f t="shared" si="110"/>
        <v>0</v>
      </c>
      <c r="AC266" s="678">
        <v>0</v>
      </c>
      <c r="AD266" s="678">
        <f t="shared" si="111"/>
        <v>3978300</v>
      </c>
      <c r="AE266" s="375">
        <f t="shared" si="102"/>
        <v>318264</v>
      </c>
      <c r="AF266" s="375">
        <f t="shared" si="103"/>
        <v>59674.5</v>
      </c>
      <c r="AG266" s="375">
        <f t="shared" si="104"/>
        <v>39783</v>
      </c>
      <c r="AH266" s="375"/>
      <c r="AI266" s="375">
        <f t="shared" si="112"/>
        <v>417721.5</v>
      </c>
      <c r="AJ266" s="679"/>
      <c r="AK266" s="680">
        <f t="shared" si="113"/>
        <v>0</v>
      </c>
      <c r="AL266" s="680"/>
      <c r="AM266" s="680"/>
      <c r="AN266" s="681">
        <f t="shared" si="117"/>
        <v>2.67</v>
      </c>
      <c r="AO266" s="716">
        <v>0.25</v>
      </c>
      <c r="AP266" s="711">
        <f t="shared" si="114"/>
        <v>0.66749999999999998</v>
      </c>
      <c r="AQ266" s="375">
        <f t="shared" si="116"/>
        <v>994575</v>
      </c>
      <c r="AR266" s="375"/>
      <c r="AS266" s="375">
        <f t="shared" si="119"/>
        <v>4555154</v>
      </c>
      <c r="AT266" s="682" t="str">
        <f t="shared" si="115"/>
        <v>248</v>
      </c>
      <c r="AU266" s="714"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1"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6"/>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6"/>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6"/>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6"/>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6"/>
      <c r="AW272" s="29"/>
      <c r="AX272" s="29"/>
      <c r="AY272" s="29"/>
      <c r="AZ272" s="29"/>
      <c r="BA272" s="29"/>
      <c r="BB272" s="29"/>
      <c r="BC272" s="29"/>
      <c r="BD272" s="29"/>
      <c r="BE272" s="29"/>
      <c r="BF272" s="29"/>
    </row>
    <row r="273" spans="1:58" s="189" customFormat="1" ht="37.5" customHeight="1" x14ac:dyDescent="0.25">
      <c r="A273" s="168" t="s">
        <v>637</v>
      </c>
      <c r="B273" s="168"/>
      <c r="C273" s="661"/>
      <c r="D273" s="169" t="s">
        <v>1437</v>
      </c>
      <c r="E273" s="263" t="s">
        <v>1259</v>
      </c>
      <c r="F273" s="220"/>
      <c r="G273" s="220"/>
      <c r="H273" s="220"/>
      <c r="I273" s="220"/>
      <c r="J273" s="220"/>
      <c r="K273" s="168"/>
      <c r="L273" s="491" t="s">
        <v>1447</v>
      </c>
      <c r="M273" s="170"/>
      <c r="N273" s="663"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1">
        <v>0.25</v>
      </c>
      <c r="AP273" s="185">
        <f>ROUND(AN273*AO273,4)</f>
        <v>0.66749999999999998</v>
      </c>
      <c r="AQ273" s="178">
        <f>ROUND(AP273*$D$8,0)</f>
        <v>994575</v>
      </c>
      <c r="AR273" s="178"/>
      <c r="AS273" s="178">
        <f>ROUND(AD273-AI273+AK273+AM273+AQ273,0)</f>
        <v>4555154</v>
      </c>
      <c r="AT273" s="469"/>
      <c r="AU273" s="195"/>
      <c r="AV273" s="660"/>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6"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6"/>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6"/>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6"/>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6"/>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8" t="s">
        <v>754</v>
      </c>
      <c r="E281" s="296" t="s">
        <v>1472</v>
      </c>
      <c r="F281" s="589"/>
      <c r="G281" s="590" t="s">
        <v>25</v>
      </c>
      <c r="H281" s="589"/>
      <c r="I281" s="589"/>
      <c r="J281" s="589"/>
      <c r="K281" s="438" t="str">
        <f>VLOOKUP(D281,[2]T3!$B$2:$D$328,3,FALSE)</f>
        <v>025548580</v>
      </c>
      <c r="L281" s="591" t="s">
        <v>763</v>
      </c>
      <c r="M281" s="591" t="s">
        <v>1030</v>
      </c>
      <c r="N281" s="592"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8"/>
      <c r="AK281" s="489">
        <f t="shared" si="113"/>
        <v>0</v>
      </c>
      <c r="AL281" s="489"/>
      <c r="AM281" s="489"/>
      <c r="AN281" s="490">
        <f t="shared" si="117"/>
        <v>2.67</v>
      </c>
      <c r="AO281" s="439"/>
      <c r="AP281" s="442">
        <f t="shared" si="114"/>
        <v>0</v>
      </c>
      <c r="AQ281" s="225">
        <f t="shared" si="116"/>
        <v>0</v>
      </c>
      <c r="AR281" s="593"/>
      <c r="AS281" s="225">
        <f t="shared" si="119"/>
        <v>3560579</v>
      </c>
      <c r="AT281" s="470" t="str">
        <f t="shared" si="122"/>
        <v>263</v>
      </c>
      <c r="AU281" s="543"/>
      <c r="AV281" s="196"/>
      <c r="AW281" s="29"/>
      <c r="AX281" s="29"/>
      <c r="AY281" s="29"/>
      <c r="AZ281" s="29"/>
      <c r="BA281" s="29"/>
      <c r="BB281" s="29"/>
      <c r="BC281" s="29"/>
      <c r="BD281" s="29"/>
      <c r="BE281" s="29"/>
      <c r="BF281" s="29"/>
    </row>
    <row r="282" spans="1:58" s="191" customFormat="1" ht="30.75" customHeight="1" x14ac:dyDescent="0.25">
      <c r="A282" s="572"/>
      <c r="B282" s="572"/>
      <c r="C282" s="573"/>
      <c r="D282" s="574" t="s">
        <v>1417</v>
      </c>
      <c r="E282" s="575"/>
      <c r="F282" s="576"/>
      <c r="G282" s="577"/>
      <c r="H282" s="576"/>
      <c r="I282" s="576"/>
      <c r="J282" s="576"/>
      <c r="K282" s="578"/>
      <c r="L282" s="579"/>
      <c r="M282" s="579"/>
      <c r="N282" s="580"/>
      <c r="O282" s="578"/>
      <c r="P282" s="578"/>
      <c r="Q282" s="581">
        <f t="shared" ref="Q282:Z282" si="123">SUM(Q103:Q281)</f>
        <v>581.94999999999948</v>
      </c>
      <c r="R282" s="581">
        <f t="shared" si="123"/>
        <v>50.656699999999987</v>
      </c>
      <c r="S282" s="581">
        <f t="shared" si="123"/>
        <v>0</v>
      </c>
      <c r="T282" s="581">
        <f t="shared" si="123"/>
        <v>0</v>
      </c>
      <c r="U282" s="581">
        <f t="shared" si="123"/>
        <v>0</v>
      </c>
      <c r="V282" s="581">
        <f t="shared" si="123"/>
        <v>10.749999999999996</v>
      </c>
      <c r="W282" s="581">
        <f t="shared" si="123"/>
        <v>11.259999999999998</v>
      </c>
      <c r="X282" s="582">
        <f t="shared" si="123"/>
        <v>40.360299999999974</v>
      </c>
      <c r="Y282" s="582">
        <f t="shared" si="123"/>
        <v>633.06029999999987</v>
      </c>
      <c r="Z282" s="583">
        <f t="shared" si="123"/>
        <v>943259847</v>
      </c>
      <c r="AA282" s="583">
        <f>SUM(AA89:AA281)</f>
        <v>24</v>
      </c>
      <c r="AB282" s="583">
        <f t="shared" ref="AB282:AM282" si="124">SUM(AB103:AB281)</f>
        <v>3665400</v>
      </c>
      <c r="AC282" s="583">
        <f t="shared" si="124"/>
        <v>0</v>
      </c>
      <c r="AD282" s="583">
        <f t="shared" si="124"/>
        <v>939594447</v>
      </c>
      <c r="AE282" s="583">
        <f t="shared" si="124"/>
        <v>75167555.76000005</v>
      </c>
      <c r="AF282" s="583">
        <f t="shared" si="124"/>
        <v>14093916.705000004</v>
      </c>
      <c r="AG282" s="583">
        <f t="shared" si="124"/>
        <v>9395944.4700000063</v>
      </c>
      <c r="AH282" s="583">
        <f t="shared" si="124"/>
        <v>0</v>
      </c>
      <c r="AI282" s="583">
        <f t="shared" si="124"/>
        <v>98657416.934999928</v>
      </c>
      <c r="AJ282" s="584">
        <f t="shared" si="124"/>
        <v>0.75</v>
      </c>
      <c r="AK282" s="583">
        <f t="shared" si="124"/>
        <v>1117500</v>
      </c>
      <c r="AL282" s="583">
        <f t="shared" si="124"/>
        <v>0</v>
      </c>
      <c r="AM282" s="583">
        <f t="shared" si="124"/>
        <v>0</v>
      </c>
      <c r="AN282" s="583" t="e">
        <f>SUM(AN89:AN281)</f>
        <v>#REF!</v>
      </c>
      <c r="AO282" s="583" t="e">
        <f>SUM(AO89:AO281)</f>
        <v>#REF!</v>
      </c>
      <c r="AP282" s="585">
        <f>SUM(AP103:AP281)</f>
        <v>118.56749999999998</v>
      </c>
      <c r="AQ282" s="583">
        <f>SUM(AQ103:AQ281)</f>
        <v>176665575</v>
      </c>
      <c r="AR282" s="583" t="e">
        <f>SUM(AR89:AR281)</f>
        <v>#REF!</v>
      </c>
      <c r="AS282" s="583">
        <f>SUM(AS103:AS281)-22</f>
        <v>1018720105</v>
      </c>
      <c r="AT282" s="586"/>
      <c r="AU282" s="587"/>
      <c r="AV282" s="218"/>
      <c r="AW282" s="553"/>
      <c r="AX282" s="553"/>
      <c r="AY282" s="553"/>
      <c r="AZ282" s="553"/>
      <c r="BA282" s="553"/>
      <c r="BB282" s="553"/>
      <c r="BC282" s="553"/>
      <c r="BD282" s="553"/>
      <c r="BE282" s="553"/>
      <c r="BF282" s="553"/>
    </row>
    <row r="283" spans="1:58" s="99" customFormat="1" ht="22.5" customHeight="1" x14ac:dyDescent="0.25">
      <c r="A283" s="31"/>
      <c r="B283" s="31"/>
      <c r="C283" s="482"/>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500"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3"/>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1"/>
      <c r="AO284" s="647"/>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2"/>
      <c r="AO285" s="140"/>
      <c r="AP285" s="312" t="s">
        <v>1110</v>
      </c>
      <c r="AQ285" s="121" t="s">
        <v>547</v>
      </c>
      <c r="AR285" s="122" t="s">
        <v>555</v>
      </c>
      <c r="AS285" s="121" t="s">
        <v>1071</v>
      </c>
      <c r="AT285" s="313"/>
      <c r="AU285" s="70"/>
      <c r="AV285" s="70"/>
      <c r="AW285" s="555"/>
      <c r="AX285" s="555"/>
      <c r="AY285" s="555"/>
      <c r="AZ285" s="555"/>
      <c r="BA285" s="555"/>
      <c r="BB285" s="555"/>
      <c r="BC285" s="555"/>
      <c r="BD285" s="555"/>
      <c r="BE285" s="555"/>
      <c r="BF285" s="555"/>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2">
        <f>SUM(AN15:AN86)</f>
        <v>350.58289999999988</v>
      </c>
      <c r="AO286" s="643"/>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2" t="e">
        <f t="shared" si="129"/>
        <v>#REF!</v>
      </c>
      <c r="AO287" s="644"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2"/>
      <c r="AO288" s="644"/>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8">
        <f t="shared" si="131"/>
        <v>0</v>
      </c>
      <c r="AD289" s="305">
        <f t="shared" si="131"/>
        <v>1607584567</v>
      </c>
      <c r="AE289" s="559">
        <f t="shared" si="131"/>
        <v>128730409.52000004</v>
      </c>
      <c r="AF289" s="559">
        <f t="shared" si="131"/>
        <v>24136951.785000004</v>
      </c>
      <c r="AG289" s="559">
        <f t="shared" si="131"/>
        <v>16091301.190000005</v>
      </c>
      <c r="AH289" s="560">
        <f t="shared" si="131"/>
        <v>0</v>
      </c>
      <c r="AI289" s="559">
        <f t="shared" si="131"/>
        <v>168958663.49499995</v>
      </c>
      <c r="AJ289" s="560">
        <f t="shared" si="131"/>
        <v>2.75</v>
      </c>
      <c r="AK289" s="559">
        <f t="shared" si="131"/>
        <v>4097500</v>
      </c>
      <c r="AL289" s="560">
        <f t="shared" si="131"/>
        <v>0</v>
      </c>
      <c r="AM289" s="559">
        <f t="shared" si="131"/>
        <v>0</v>
      </c>
      <c r="AN289" s="559" t="e">
        <f>AN286+AN287+AN288+#REF!</f>
        <v>#REF!</v>
      </c>
      <c r="AO289" s="559" t="e">
        <f>AO286+AO287+AO288+#REF!</f>
        <v>#REF!</v>
      </c>
      <c r="AP289" s="561">
        <f>AP283</f>
        <v>204.17029999999994</v>
      </c>
      <c r="AQ289" s="559">
        <f>AQ283</f>
        <v>304213747</v>
      </c>
      <c r="AR289" s="559" t="e">
        <f>AR286+AR287+AR288+#REF!</f>
        <v>#REF!</v>
      </c>
      <c r="AS289" s="559">
        <f>AS283</f>
        <v>1746937151</v>
      </c>
      <c r="AT289" s="26"/>
      <c r="AU289" s="70"/>
      <c r="AV289" s="51"/>
    </row>
    <row r="290" spans="1:48" ht="4.5" customHeight="1" x14ac:dyDescent="0.25">
      <c r="I290" s="47"/>
      <c r="AK290" s="9"/>
      <c r="AL290" s="9"/>
      <c r="AM290" s="9"/>
      <c r="AN290" s="503"/>
      <c r="AP290" s="46"/>
      <c r="AQ290" s="9"/>
      <c r="AU290" s="43"/>
      <c r="AV290" s="51"/>
    </row>
    <row r="291" spans="1:48" ht="19.5" customHeight="1" x14ac:dyDescent="0.25">
      <c r="C291" s="484"/>
      <c r="D291" s="517" t="s">
        <v>1372</v>
      </c>
      <c r="E291" s="669" t="s">
        <v>1478</v>
      </c>
      <c r="F291" s="317"/>
      <c r="G291" s="317"/>
      <c r="H291" s="317"/>
      <c r="I291" s="317"/>
      <c r="J291" s="317"/>
      <c r="K291" s="511"/>
      <c r="L291" s="317"/>
      <c r="M291" s="317"/>
      <c r="N291" s="421"/>
      <c r="O291" s="317"/>
      <c r="P291" s="317"/>
      <c r="Q291" s="317"/>
      <c r="R291" s="342"/>
      <c r="S291" s="358"/>
      <c r="T291" s="317"/>
      <c r="U291" s="317"/>
      <c r="V291" s="317"/>
      <c r="W291" s="317"/>
      <c r="X291" s="317"/>
      <c r="AO291" s="648"/>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5"/>
      <c r="N293" s="425"/>
      <c r="AK293" s="1153" t="s">
        <v>1479</v>
      </c>
      <c r="AL293" s="1153"/>
      <c r="AM293" s="1153"/>
      <c r="AN293" s="1153"/>
      <c r="AO293" s="1153"/>
      <c r="AP293" s="1153"/>
      <c r="AQ293" s="1153"/>
      <c r="AR293" s="1153"/>
      <c r="AS293" s="1153"/>
      <c r="AT293" s="1153"/>
      <c r="AU293" s="1153"/>
      <c r="AV293" s="4"/>
    </row>
    <row r="294" spans="1:48" ht="18.75" customHeight="1" x14ac:dyDescent="0.25">
      <c r="D294" s="1107" t="s">
        <v>27</v>
      </c>
      <c r="E294" s="1107"/>
      <c r="F294" s="1107"/>
      <c r="G294" s="1107"/>
      <c r="H294" s="1107"/>
      <c r="I294" s="1107"/>
      <c r="J294" s="1107"/>
      <c r="K294" s="1107"/>
      <c r="L294" s="1107"/>
      <c r="M294" s="1107"/>
      <c r="N294" s="1107"/>
      <c r="O294" s="1107"/>
      <c r="P294" s="1107"/>
      <c r="Q294" s="1107"/>
      <c r="R294" s="1107"/>
      <c r="V294" s="1107" t="s">
        <v>1114</v>
      </c>
      <c r="W294" s="1107"/>
      <c r="X294" s="1107"/>
      <c r="Y294" s="1107"/>
      <c r="Z294" s="1107"/>
      <c r="AA294" s="1107"/>
      <c r="AB294" s="1107"/>
      <c r="AC294" s="1107"/>
      <c r="AD294" s="1107"/>
      <c r="AE294" s="1107"/>
      <c r="AF294" s="8"/>
      <c r="AG294" s="8"/>
      <c r="AH294" s="8"/>
      <c r="AI294" s="8"/>
      <c r="AJ294" s="1"/>
      <c r="AK294" s="1107" t="s">
        <v>176</v>
      </c>
      <c r="AL294" s="1107"/>
      <c r="AM294" s="1107"/>
      <c r="AN294" s="1107"/>
      <c r="AO294" s="1107"/>
      <c r="AP294" s="1107"/>
      <c r="AQ294" s="1107"/>
      <c r="AR294" s="1107"/>
      <c r="AS294" s="1107"/>
      <c r="AT294" s="1107"/>
      <c r="AU294" s="1107"/>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107"/>
      <c r="AL295" s="1107"/>
      <c r="AM295" s="1107"/>
      <c r="AN295" s="1107"/>
      <c r="AO295" s="1107"/>
      <c r="AP295" s="1107"/>
      <c r="AQ295" s="1107"/>
      <c r="AR295" s="1107"/>
      <c r="AS295" s="1107"/>
      <c r="AT295" s="1107"/>
      <c r="AU295" s="1107"/>
    </row>
    <row r="296" spans="1:48" x14ac:dyDescent="0.25">
      <c r="S296" s="359"/>
      <c r="U296" s="34"/>
      <c r="Z296" s="10"/>
      <c r="AA296" s="10"/>
      <c r="AB296" s="10"/>
      <c r="AC296" s="10"/>
      <c r="AD296" s="10"/>
      <c r="AE296" s="28"/>
      <c r="AF296" s="8"/>
      <c r="AG296" s="8"/>
      <c r="AH296" s="8"/>
      <c r="AI296" s="8"/>
      <c r="AJ296" s="1"/>
      <c r="AK296" s="8"/>
      <c r="AL296" s="8"/>
      <c r="AM296" s="8"/>
      <c r="AN296" s="504"/>
      <c r="AO296" s="649"/>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4"/>
      <c r="AO297" s="649"/>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4"/>
      <c r="AO298" s="649"/>
      <c r="AP298" s="41"/>
      <c r="AQ298" s="8"/>
      <c r="AR298" s="1"/>
      <c r="AS298" s="1"/>
    </row>
    <row r="299" spans="1:48" x14ac:dyDescent="0.25">
      <c r="U299" s="34"/>
    </row>
    <row r="300" spans="1:48" ht="15.75" customHeight="1" x14ac:dyDescent="0.25">
      <c r="U300" s="54"/>
      <c r="AV300" s="4"/>
    </row>
    <row r="301" spans="1:48" s="1" customFormat="1" x14ac:dyDescent="0.25">
      <c r="A301" s="4"/>
      <c r="B301" s="4"/>
      <c r="C301" s="476"/>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4"/>
      <c r="AO301" s="649"/>
      <c r="AP301" s="41"/>
      <c r="AQ301" s="8"/>
      <c r="AT301" s="2"/>
      <c r="AU301" s="39"/>
      <c r="AV301" s="39"/>
    </row>
    <row r="302" spans="1:48" s="1" customFormat="1" x14ac:dyDescent="0.25">
      <c r="A302" s="4"/>
      <c r="B302" s="4"/>
      <c r="C302" s="476"/>
      <c r="D302" s="1107" t="s">
        <v>1105</v>
      </c>
      <c r="E302" s="1107"/>
      <c r="F302" s="1107"/>
      <c r="G302" s="1107"/>
      <c r="H302" s="1107"/>
      <c r="I302" s="1107"/>
      <c r="J302" s="1107"/>
      <c r="K302" s="1107"/>
      <c r="L302" s="1107"/>
      <c r="M302" s="1107"/>
      <c r="N302" s="1107"/>
      <c r="O302" s="1107"/>
      <c r="P302" s="1107"/>
      <c r="Q302" s="1107"/>
      <c r="R302" s="1107"/>
      <c r="S302" s="360"/>
      <c r="U302" s="55"/>
      <c r="V302" s="1107" t="s">
        <v>803</v>
      </c>
      <c r="W302" s="1107"/>
      <c r="X302" s="1107"/>
      <c r="Y302" s="1107"/>
      <c r="Z302" s="1107"/>
      <c r="AA302" s="1107"/>
      <c r="AB302" s="1107"/>
      <c r="AC302" s="1107"/>
      <c r="AD302" s="1107"/>
      <c r="AE302" s="1107"/>
      <c r="AF302" s="8"/>
      <c r="AG302" s="8"/>
      <c r="AH302" s="8"/>
      <c r="AI302" s="8"/>
      <c r="AK302" s="1107" t="s">
        <v>772</v>
      </c>
      <c r="AL302" s="1107"/>
      <c r="AM302" s="1107"/>
      <c r="AN302" s="1107"/>
      <c r="AO302" s="1107"/>
      <c r="AP302" s="1107"/>
      <c r="AQ302" s="1107"/>
      <c r="AR302" s="1107"/>
      <c r="AS302" s="1107"/>
      <c r="AT302" s="1107"/>
      <c r="AU302" s="1107"/>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5"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2"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107" t="s">
        <v>1072</v>
      </c>
      <c r="B1" s="1107"/>
      <c r="C1" s="1107"/>
      <c r="D1" s="1107"/>
      <c r="E1" s="1107"/>
      <c r="F1" s="1107"/>
      <c r="G1" s="1107"/>
      <c r="H1" s="1107"/>
      <c r="I1" s="1107"/>
      <c r="J1" s="1107"/>
      <c r="K1" s="1107"/>
      <c r="L1" s="1107"/>
      <c r="M1" s="1107"/>
      <c r="N1" s="1107"/>
      <c r="O1" s="1107"/>
      <c r="Q1" s="6"/>
      <c r="R1" s="326"/>
      <c r="U1" s="2"/>
      <c r="AE1" s="9"/>
      <c r="AL1" s="1108" t="s">
        <v>1073</v>
      </c>
      <c r="AM1" s="1108"/>
      <c r="AN1" s="1108"/>
      <c r="AO1" s="1108"/>
      <c r="AP1" s="1108"/>
      <c r="AQ1" s="1108"/>
      <c r="AR1" s="1108"/>
      <c r="AS1" s="1108"/>
      <c r="AT1" s="1108"/>
      <c r="AU1" s="1108"/>
      <c r="AV1" s="1108"/>
      <c r="AW1" s="1108"/>
      <c r="AX1" s="10"/>
    </row>
    <row r="2" spans="1:63" x14ac:dyDescent="0.25">
      <c r="A2" s="1107" t="s">
        <v>1131</v>
      </c>
      <c r="B2" s="1107"/>
      <c r="C2" s="1107"/>
      <c r="D2" s="1107"/>
      <c r="E2" s="1107"/>
      <c r="F2" s="1107"/>
      <c r="G2" s="1107"/>
      <c r="H2" s="1107"/>
      <c r="I2" s="1107"/>
      <c r="J2" s="1107"/>
      <c r="K2" s="1107"/>
      <c r="L2" s="1107"/>
      <c r="M2" s="1107"/>
      <c r="N2" s="1107"/>
      <c r="O2" s="1107"/>
      <c r="Q2" s="6"/>
      <c r="R2" s="326"/>
      <c r="U2" s="2"/>
      <c r="X2" s="2"/>
      <c r="Y2" s="2"/>
      <c r="Z2" s="2"/>
      <c r="AA2" s="2"/>
      <c r="AB2" s="2"/>
      <c r="AC2" s="2"/>
      <c r="AD2" s="2"/>
      <c r="AE2" s="9"/>
      <c r="AL2" s="1109" t="s">
        <v>1285</v>
      </c>
      <c r="AM2" s="1109"/>
      <c r="AN2" s="1109"/>
      <c r="AO2" s="1109"/>
      <c r="AP2" s="1109"/>
      <c r="AQ2" s="1109"/>
      <c r="AR2" s="1109"/>
      <c r="AS2" s="1109"/>
      <c r="AT2" s="1109"/>
      <c r="AU2" s="1109"/>
      <c r="AV2" s="1109"/>
      <c r="AW2" s="1109"/>
      <c r="AX2" s="10"/>
    </row>
    <row r="3" spans="1:63" ht="18" customHeight="1" x14ac:dyDescent="0.25">
      <c r="A3" s="1107" t="s">
        <v>1369</v>
      </c>
      <c r="B3" s="1107"/>
      <c r="C3" s="1107"/>
      <c r="D3" s="1107"/>
      <c r="E3" s="1107"/>
      <c r="F3" s="1107"/>
      <c r="G3" s="1107"/>
      <c r="H3" s="1107"/>
      <c r="I3" s="1107"/>
      <c r="J3" s="1107"/>
      <c r="K3" s="1107"/>
      <c r="L3" s="1107"/>
      <c r="M3" s="1107"/>
      <c r="N3" s="1107"/>
      <c r="O3" s="1107"/>
      <c r="Q3" s="6"/>
      <c r="R3" s="326"/>
      <c r="X3" s="9"/>
      <c r="Y3" s="9"/>
      <c r="AE3" s="9"/>
      <c r="AL3" s="1109" t="s">
        <v>1286</v>
      </c>
      <c r="AM3" s="1109"/>
      <c r="AN3" s="1109"/>
      <c r="AO3" s="1109"/>
      <c r="AP3" s="1109"/>
      <c r="AQ3" s="1109"/>
      <c r="AR3" s="1109"/>
      <c r="AS3" s="1109"/>
      <c r="AT3" s="1109"/>
      <c r="AU3" s="1109"/>
      <c r="AV3" s="1109"/>
      <c r="AW3" s="1109"/>
    </row>
    <row r="4" spans="1:63" ht="12" customHeight="1" x14ac:dyDescent="0.35">
      <c r="A4" s="72"/>
      <c r="B4" s="72"/>
      <c r="Q4" s="6"/>
      <c r="R4" s="326"/>
      <c r="U4" s="1110" t="s">
        <v>1064</v>
      </c>
      <c r="V4" s="1110"/>
      <c r="W4" s="1110"/>
      <c r="X4" s="1110"/>
      <c r="Y4" s="1110"/>
      <c r="Z4" s="1110"/>
      <c r="AA4" s="1110"/>
      <c r="AB4" s="1110"/>
      <c r="AC4" s="1110"/>
      <c r="AD4" s="1110"/>
      <c r="AE4" s="1110"/>
      <c r="AF4" s="1110"/>
      <c r="AG4" s="1110"/>
      <c r="AH4" s="1110"/>
      <c r="AI4" s="1110"/>
      <c r="AJ4" s="1110"/>
      <c r="AK4" s="1110"/>
      <c r="AL4" s="1110"/>
      <c r="AM4" s="385"/>
      <c r="AN4" s="385"/>
    </row>
    <row r="5" spans="1:63" ht="18.75" customHeight="1" x14ac:dyDescent="0.35">
      <c r="A5" s="11"/>
      <c r="B5" s="11"/>
      <c r="C5" s="476"/>
      <c r="D5" s="1"/>
      <c r="E5" s="260"/>
      <c r="F5" s="1"/>
      <c r="G5" s="4"/>
      <c r="H5" s="4"/>
      <c r="I5" s="4"/>
      <c r="J5" s="1"/>
      <c r="K5" s="4"/>
      <c r="L5" s="1"/>
      <c r="M5" s="1"/>
      <c r="N5" s="421"/>
      <c r="U5" s="1110"/>
      <c r="V5" s="1110"/>
      <c r="W5" s="1110"/>
      <c r="X5" s="1110"/>
      <c r="Y5" s="1110"/>
      <c r="Z5" s="1110"/>
      <c r="AA5" s="1110"/>
      <c r="AB5" s="1110"/>
      <c r="AC5" s="1110"/>
      <c r="AD5" s="1110"/>
      <c r="AE5" s="1110"/>
      <c r="AF5" s="1110"/>
      <c r="AG5" s="1110"/>
      <c r="AH5" s="1110"/>
      <c r="AI5" s="1110"/>
      <c r="AJ5" s="1110"/>
      <c r="AK5" s="1110"/>
      <c r="AL5" s="1110"/>
      <c r="AM5" s="385"/>
      <c r="AN5" s="385"/>
      <c r="AR5" s="1111" t="s">
        <v>1074</v>
      </c>
      <c r="AS5" s="1111"/>
      <c r="AT5" s="1111"/>
      <c r="AU5" s="1111"/>
      <c r="AV5" s="1111"/>
      <c r="AW5" s="1111"/>
      <c r="AX5" s="11"/>
    </row>
    <row r="6" spans="1:63" ht="19.5" customHeight="1" x14ac:dyDescent="0.3">
      <c r="A6" s="11"/>
      <c r="B6" s="11"/>
      <c r="C6" s="476"/>
      <c r="D6" s="1"/>
      <c r="E6" s="260"/>
      <c r="F6" s="1"/>
      <c r="G6" s="4"/>
      <c r="H6" s="4"/>
      <c r="I6" s="4"/>
      <c r="J6" s="1"/>
      <c r="K6" s="4"/>
      <c r="L6" s="1"/>
      <c r="M6" s="1"/>
      <c r="N6" s="421"/>
      <c r="Q6" s="1"/>
      <c r="R6" s="328"/>
      <c r="U6" s="1112" t="s">
        <v>1533</v>
      </c>
      <c r="V6" s="1112"/>
      <c r="W6" s="1112"/>
      <c r="X6" s="1112"/>
      <c r="Y6" s="1112"/>
      <c r="Z6" s="1112"/>
      <c r="AA6" s="1112"/>
      <c r="AB6" s="1112"/>
      <c r="AC6" s="1112"/>
      <c r="AD6" s="1112"/>
      <c r="AE6" s="1112"/>
      <c r="AF6" s="1112"/>
      <c r="AG6" s="1112"/>
      <c r="AH6" s="1112"/>
      <c r="AI6" s="1112"/>
      <c r="AJ6" s="1112"/>
      <c r="AK6" s="1112"/>
      <c r="AL6" s="1112"/>
      <c r="AM6" s="307"/>
      <c r="AN6" s="307"/>
      <c r="AR6" s="13" t="s">
        <v>1075</v>
      </c>
      <c r="AS6" s="58"/>
      <c r="AT6" s="11"/>
      <c r="AU6" s="11"/>
      <c r="AV6" s="72"/>
      <c r="AW6" s="143"/>
      <c r="AX6" s="40"/>
      <c r="AZ6" s="7" t="e">
        <f>#REF!-#REF!-#REF!-#REF!</f>
        <v>#REF!</v>
      </c>
    </row>
    <row r="7" spans="1:63"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6"/>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113" t="s">
        <v>691</v>
      </c>
      <c r="B9" s="59"/>
      <c r="C9" s="1114" t="s">
        <v>1031</v>
      </c>
      <c r="D9" s="1113" t="s">
        <v>699</v>
      </c>
      <c r="E9" s="1115" t="s">
        <v>1054</v>
      </c>
      <c r="F9" s="59"/>
      <c r="G9" s="1117" t="s">
        <v>22</v>
      </c>
      <c r="H9" s="141"/>
      <c r="I9" s="141" t="s">
        <v>285</v>
      </c>
      <c r="J9" s="1117" t="s">
        <v>178</v>
      </c>
      <c r="K9" s="1118" t="s">
        <v>1311</v>
      </c>
      <c r="L9" s="274" t="s">
        <v>69</v>
      </c>
      <c r="M9" s="1120" t="s">
        <v>1031</v>
      </c>
      <c r="N9" s="1121" t="s">
        <v>824</v>
      </c>
      <c r="O9" s="1122" t="s">
        <v>174</v>
      </c>
      <c r="P9" s="1123" t="s">
        <v>700</v>
      </c>
      <c r="Q9" s="1124" t="s">
        <v>1056</v>
      </c>
      <c r="R9" s="1125"/>
      <c r="S9" s="1125"/>
      <c r="T9" s="1125"/>
      <c r="U9" s="1125"/>
      <c r="V9" s="1125"/>
      <c r="W9" s="1125"/>
      <c r="X9" s="1125"/>
      <c r="Y9" s="1126" t="s">
        <v>827</v>
      </c>
      <c r="Z9" s="1138" t="s">
        <v>718</v>
      </c>
      <c r="AA9" s="1140" t="s">
        <v>1061</v>
      </c>
      <c r="AB9" s="1138" t="s">
        <v>828</v>
      </c>
      <c r="AC9" s="1138" t="s">
        <v>829</v>
      </c>
      <c r="AD9" s="1138" t="s">
        <v>830</v>
      </c>
      <c r="AE9" s="1137" t="s">
        <v>716</v>
      </c>
      <c r="AF9" s="1113" t="s">
        <v>717</v>
      </c>
      <c r="AG9" s="1113"/>
      <c r="AH9" s="1113"/>
      <c r="AI9" s="1113"/>
      <c r="AJ9" s="1113"/>
      <c r="AK9" s="1144" t="s">
        <v>1091</v>
      </c>
      <c r="AL9" s="1144"/>
      <c r="AM9" s="1145" t="s">
        <v>1108</v>
      </c>
      <c r="AN9" s="1146"/>
      <c r="AO9" s="1136" t="s">
        <v>678</v>
      </c>
      <c r="AP9" s="1147" t="s">
        <v>523</v>
      </c>
      <c r="AQ9" s="1136" t="s">
        <v>1092</v>
      </c>
      <c r="AR9" s="1137" t="s">
        <v>546</v>
      </c>
      <c r="AS9" s="142" t="s">
        <v>693</v>
      </c>
      <c r="AT9" s="1128" t="s">
        <v>644</v>
      </c>
      <c r="AU9" s="1129" t="s">
        <v>1032</v>
      </c>
      <c r="AV9" s="1131" t="s">
        <v>1057</v>
      </c>
      <c r="AW9" s="1131"/>
      <c r="AX9" s="85"/>
      <c r="AY9" s="152"/>
      <c r="AZ9" s="14" t="e">
        <f>AZ8*16</f>
        <v>#REF!</v>
      </c>
    </row>
    <row r="10" spans="1:63" s="14" customFormat="1" ht="36" customHeight="1" x14ac:dyDescent="0.25">
      <c r="A10" s="1113"/>
      <c r="B10" s="59"/>
      <c r="C10" s="1114"/>
      <c r="D10" s="1113"/>
      <c r="E10" s="1116"/>
      <c r="F10" s="59"/>
      <c r="G10" s="1117"/>
      <c r="H10" s="141"/>
      <c r="I10" s="141" t="s">
        <v>286</v>
      </c>
      <c r="J10" s="1117"/>
      <c r="K10" s="1119"/>
      <c r="L10" s="274" t="s">
        <v>131</v>
      </c>
      <c r="M10" s="1120"/>
      <c r="N10" s="1121"/>
      <c r="O10" s="1122"/>
      <c r="P10" s="1123"/>
      <c r="Q10" s="299" t="s">
        <v>825</v>
      </c>
      <c r="R10" s="329" t="s">
        <v>1062</v>
      </c>
      <c r="S10" s="379" t="s">
        <v>1033</v>
      </c>
      <c r="T10" s="301" t="s">
        <v>1055</v>
      </c>
      <c r="U10" s="300"/>
      <c r="V10" s="302" t="s">
        <v>1123</v>
      </c>
      <c r="W10" s="270" t="s">
        <v>1077</v>
      </c>
      <c r="X10" s="303" t="s">
        <v>826</v>
      </c>
      <c r="Y10" s="1127"/>
      <c r="Z10" s="1139"/>
      <c r="AA10" s="1141"/>
      <c r="AB10" s="1139"/>
      <c r="AC10" s="1139"/>
      <c r="AD10" s="1139"/>
      <c r="AE10" s="1137"/>
      <c r="AF10" s="60" t="s">
        <v>747</v>
      </c>
      <c r="AG10" s="60" t="s">
        <v>564</v>
      </c>
      <c r="AH10" s="57" t="s">
        <v>521</v>
      </c>
      <c r="AI10" s="57" t="s">
        <v>831</v>
      </c>
      <c r="AJ10" s="57" t="s">
        <v>716</v>
      </c>
      <c r="AK10" s="60" t="s">
        <v>719</v>
      </c>
      <c r="AL10" s="60" t="s">
        <v>718</v>
      </c>
      <c r="AM10" s="60" t="s">
        <v>719</v>
      </c>
      <c r="AN10" s="60" t="s">
        <v>718</v>
      </c>
      <c r="AO10" s="1136"/>
      <c r="AP10" s="1147"/>
      <c r="AQ10" s="1136"/>
      <c r="AR10" s="1137"/>
      <c r="AS10" s="142" t="s">
        <v>524</v>
      </c>
      <c r="AT10" s="1128"/>
      <c r="AU10" s="1130"/>
      <c r="AV10" s="1131"/>
      <c r="AW10" s="1131"/>
      <c r="AX10" s="86"/>
      <c r="AY10" s="152"/>
    </row>
    <row r="11" spans="1:63"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3" t="s">
        <v>1138</v>
      </c>
      <c r="AP11" s="330" t="s">
        <v>1138</v>
      </c>
      <c r="AQ11" s="383" t="s">
        <v>1113</v>
      </c>
      <c r="AR11" s="382" t="s">
        <v>1399</v>
      </c>
      <c r="AS11" s="330" t="s">
        <v>1138</v>
      </c>
      <c r="AT11" s="330" t="s">
        <v>1138</v>
      </c>
      <c r="AU11" s="279" t="s">
        <v>1109</v>
      </c>
      <c r="AV11" s="1132">
        <v>27</v>
      </c>
      <c r="AW11" s="1132"/>
      <c r="AX11" s="87"/>
      <c r="AY11" s="152"/>
    </row>
    <row r="12" spans="1:63"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4"/>
      <c r="AP12" s="162"/>
      <c r="AQ12" s="271"/>
      <c r="AR12" s="247" t="s">
        <v>738</v>
      </c>
      <c r="AS12" s="163"/>
      <c r="AT12" s="161"/>
      <c r="AU12" s="161"/>
      <c r="AV12" s="272"/>
      <c r="AW12" s="273"/>
      <c r="AX12" s="164"/>
      <c r="AY12" s="165"/>
    </row>
    <row r="13" spans="1:63" s="99" customFormat="1" ht="21" customHeight="1" x14ac:dyDescent="0.25">
      <c r="A13" s="471"/>
      <c r="B13" s="507"/>
      <c r="C13" s="618"/>
      <c r="D13" s="1154" t="s">
        <v>1421</v>
      </c>
      <c r="E13" s="1154"/>
      <c r="F13" s="1154"/>
      <c r="G13" s="1154"/>
      <c r="H13" s="1154"/>
      <c r="I13" s="1154"/>
      <c r="J13" s="1154"/>
      <c r="K13" s="1154"/>
      <c r="L13" s="1154"/>
      <c r="M13" s="1154"/>
      <c r="N13" s="1154"/>
      <c r="O13" s="1154"/>
      <c r="P13" s="619"/>
      <c r="Q13" s="619"/>
      <c r="R13" s="620"/>
      <c r="S13" s="621"/>
      <c r="T13" s="622"/>
      <c r="U13" s="623"/>
      <c r="V13" s="624"/>
      <c r="W13" s="625"/>
      <c r="X13" s="625"/>
      <c r="Y13" s="625"/>
      <c r="Z13" s="626"/>
      <c r="AA13" s="626"/>
      <c r="AB13" s="626"/>
      <c r="AC13" s="626"/>
      <c r="AD13" s="626"/>
      <c r="AE13" s="627"/>
      <c r="AF13" s="627"/>
      <c r="AG13" s="627"/>
      <c r="AH13" s="627"/>
      <c r="AI13" s="627"/>
      <c r="AJ13" s="627"/>
      <c r="AK13" s="628"/>
      <c r="AL13" s="629"/>
      <c r="AM13" s="629"/>
      <c r="AN13" s="629"/>
      <c r="AO13" s="441"/>
      <c r="AP13" s="625"/>
      <c r="AQ13" s="442"/>
      <c r="AR13" s="627"/>
      <c r="AS13" s="630"/>
      <c r="AT13" s="627"/>
      <c r="AU13" s="627"/>
      <c r="AV13" s="631"/>
      <c r="AW13" s="632"/>
      <c r="AX13" s="89"/>
      <c r="AY13" s="153"/>
      <c r="AZ13" s="29"/>
      <c r="BA13" s="29"/>
      <c r="BB13" s="29"/>
      <c r="BC13" s="29"/>
      <c r="BD13" s="29"/>
      <c r="BE13" s="29"/>
      <c r="BF13" s="29"/>
      <c r="BG13" s="29"/>
      <c r="BH13" s="29"/>
      <c r="BI13" s="29"/>
      <c r="BJ13" s="29"/>
      <c r="BK13" s="29"/>
    </row>
    <row r="14" spans="1:63" s="189" customFormat="1" ht="41.25" customHeight="1" x14ac:dyDescent="0.25">
      <c r="A14" s="485" t="s">
        <v>5</v>
      </c>
      <c r="B14" s="485" t="str">
        <f>INDEX([4]DS!$C$6:$C$343,MATCH(D14,[4]DS!$B$6:$B$343,0))</f>
        <v>0016100006551003</v>
      </c>
      <c r="C14" s="610" t="s">
        <v>1026</v>
      </c>
      <c r="D14" s="525" t="s">
        <v>1236</v>
      </c>
      <c r="E14" s="522" t="s">
        <v>1262</v>
      </c>
      <c r="F14" s="525"/>
      <c r="G14" s="526" t="s">
        <v>25</v>
      </c>
      <c r="H14" s="526"/>
      <c r="I14" s="526" t="s">
        <v>284</v>
      </c>
      <c r="J14" s="525" t="s">
        <v>267</v>
      </c>
      <c r="K14" s="526" t="str">
        <f>VLOOKUP(D14,[2]T3!$B$2:$D$328,3,FALSE)</f>
        <v>024834589</v>
      </c>
      <c r="L14" s="611" t="s">
        <v>125</v>
      </c>
      <c r="M14" s="611" t="s">
        <v>1026</v>
      </c>
      <c r="N14" s="612" t="s">
        <v>41</v>
      </c>
      <c r="O14" s="613" t="s">
        <v>2</v>
      </c>
      <c r="P14" s="614">
        <v>6</v>
      </c>
      <c r="Q14" s="615">
        <v>2.58</v>
      </c>
      <c r="R14" s="463">
        <f>T14+V14+X14</f>
        <v>0</v>
      </c>
      <c r="S14" s="616"/>
      <c r="T14" s="463">
        <f>ROUND(Q14*S14/100,4)</f>
        <v>0</v>
      </c>
      <c r="U14" s="530">
        <f>Q14*S14*$D$8/100</f>
        <v>0</v>
      </c>
      <c r="V14" s="526"/>
      <c r="W14" s="531"/>
      <c r="X14" s="532">
        <f>ROUND((Q14+T14+V14)*W14,4)</f>
        <v>0</v>
      </c>
      <c r="Y14" s="532">
        <f>Q14+T14+V14+X14</f>
        <v>2.58</v>
      </c>
      <c r="Z14" s="533">
        <f>ROUND(Y14*$D$8,0)</f>
        <v>3844200</v>
      </c>
      <c r="AA14" s="533"/>
      <c r="AB14" s="533">
        <f>Z14/24*AA14</f>
        <v>0</v>
      </c>
      <c r="AC14" s="533">
        <f>Z14/24*AA14*75%</f>
        <v>0</v>
      </c>
      <c r="AD14" s="533">
        <f>ROUND(Z14-AB14+AC14,0)</f>
        <v>3844200</v>
      </c>
      <c r="AE14" s="534" t="e">
        <f>#REF!+U14+#REF!+#REF!+#REF!+#REF!</f>
        <v>#REF!</v>
      </c>
      <c r="AF14" s="534">
        <f>Z14*8%</f>
        <v>307536</v>
      </c>
      <c r="AG14" s="534">
        <f>Z14*1.5%</f>
        <v>57663</v>
      </c>
      <c r="AH14" s="534">
        <f>Z14*1%</f>
        <v>38442</v>
      </c>
      <c r="AI14" s="534"/>
      <c r="AJ14" s="534">
        <f>SUM(AF14:AI14)</f>
        <v>403641</v>
      </c>
      <c r="AK14" s="535"/>
      <c r="AL14" s="536">
        <f>AK14*$D$8</f>
        <v>0</v>
      </c>
      <c r="AM14" s="536"/>
      <c r="AN14" s="536"/>
      <c r="AO14" s="617">
        <f>Q14+T14+V14</f>
        <v>2.58</v>
      </c>
      <c r="AP14" s="531"/>
      <c r="AQ14" s="538">
        <f>ROUND(AO14*AP14,4)</f>
        <v>0</v>
      </c>
      <c r="AR14" s="534">
        <f>ROUND(AQ14*$D$8,0)</f>
        <v>0</v>
      </c>
      <c r="AS14" s="529"/>
      <c r="AT14" s="534"/>
      <c r="AU14" s="534">
        <f>ROUND(AD14-AJ14+AL14+AN14+AR14,0)</f>
        <v>3440559</v>
      </c>
      <c r="AV14" s="539" t="str">
        <f>A14</f>
        <v>01</v>
      </c>
      <c r="AW14" s="540"/>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50" t="s">
        <v>1028</v>
      </c>
      <c r="D18" s="432" t="s">
        <v>1240</v>
      </c>
      <c r="E18" s="296" t="s">
        <v>1278</v>
      </c>
      <c r="F18" s="432"/>
      <c r="G18" s="438"/>
      <c r="H18" s="438"/>
      <c r="I18" s="438" t="s">
        <v>284</v>
      </c>
      <c r="J18" s="432" t="s">
        <v>273</v>
      </c>
      <c r="K18" s="438" t="str">
        <f>VLOOKUP(D18,[2]T3!$B$2:$D$328,3,FALSE)</f>
        <v>079064004299</v>
      </c>
      <c r="L18" s="562" t="s">
        <v>157</v>
      </c>
      <c r="M18" s="562" t="s">
        <v>1028</v>
      </c>
      <c r="N18" s="433" t="s">
        <v>40</v>
      </c>
      <c r="O18" s="651"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2"/>
      <c r="AL18" s="489">
        <f>AK18*$D$8</f>
        <v>0</v>
      </c>
      <c r="AM18" s="489"/>
      <c r="AN18" s="489"/>
      <c r="AO18" s="441">
        <f>Q18+T18+V18</f>
        <v>3.9672000000000001</v>
      </c>
      <c r="AP18" s="439"/>
      <c r="AQ18" s="442">
        <f>ROUND(AO18*AP18,4)</f>
        <v>0</v>
      </c>
      <c r="AR18" s="225">
        <f>ROUND(AQ18*$D$8,0)</f>
        <v>0</v>
      </c>
      <c r="AS18" s="487"/>
      <c r="AT18" s="225"/>
      <c r="AU18" s="225">
        <f>ROUND(AD18-AJ18+AL18+AN18+AR18,0)</f>
        <v>5290460</v>
      </c>
      <c r="AV18" s="470" t="str">
        <f>A18</f>
        <v>05</v>
      </c>
      <c r="AW18" s="543"/>
      <c r="AX18" s="187"/>
      <c r="AY18" s="188"/>
      <c r="AZ18" s="189">
        <f>AZ15*1.2</f>
        <v>5954040</v>
      </c>
      <c r="BA18" s="189" t="e">
        <f>BA17+800000</f>
        <v>#REF!</v>
      </c>
    </row>
    <row r="19" spans="1:63" s="191" customFormat="1" ht="29.25" customHeight="1" x14ac:dyDescent="0.25">
      <c r="A19" s="594"/>
      <c r="B19" s="594"/>
      <c r="C19" s="595"/>
      <c r="D19" s="1142" t="s">
        <v>1418</v>
      </c>
      <c r="E19" s="1155"/>
      <c r="F19" s="596"/>
      <c r="G19" s="597"/>
      <c r="H19" s="597"/>
      <c r="I19" s="597"/>
      <c r="J19" s="596"/>
      <c r="K19" s="597"/>
      <c r="L19" s="598"/>
      <c r="M19" s="598"/>
      <c r="N19" s="599"/>
      <c r="O19" s="600"/>
      <c r="P19" s="601"/>
      <c r="Q19" s="602">
        <f>SUM(Q13:Q18)</f>
        <v>15.24</v>
      </c>
      <c r="R19" s="602">
        <f>SUM(R13:R18)</f>
        <v>0.93959999999999999</v>
      </c>
      <c r="S19" s="603"/>
      <c r="T19" s="604">
        <f>SUM(T13:T18)</f>
        <v>0.93959999999999999</v>
      </c>
      <c r="U19" s="604">
        <f>SUM(U13:U18)</f>
        <v>1400004</v>
      </c>
      <c r="V19" s="604">
        <f>SUM(V13:V18)</f>
        <v>0</v>
      </c>
      <c r="W19" s="604"/>
      <c r="X19" s="604">
        <f t="shared" ref="X19:AT19" si="0">SUM(X13:X18)</f>
        <v>0</v>
      </c>
      <c r="Y19" s="604">
        <f t="shared" si="0"/>
        <v>16.179600000000001</v>
      </c>
      <c r="Z19" s="605">
        <f t="shared" si="0"/>
        <v>24107604</v>
      </c>
      <c r="AA19" s="605">
        <f t="shared" si="0"/>
        <v>0</v>
      </c>
      <c r="AB19" s="605">
        <f t="shared" si="0"/>
        <v>0</v>
      </c>
      <c r="AC19" s="605">
        <f t="shared" si="0"/>
        <v>0</v>
      </c>
      <c r="AD19" s="605">
        <f t="shared" si="0"/>
        <v>24107604</v>
      </c>
      <c r="AE19" s="605" t="e">
        <f t="shared" si="0"/>
        <v>#REF!</v>
      </c>
      <c r="AF19" s="605">
        <f t="shared" si="0"/>
        <v>1928608.32</v>
      </c>
      <c r="AG19" s="605">
        <f t="shared" si="0"/>
        <v>361614.06</v>
      </c>
      <c r="AH19" s="605">
        <f t="shared" si="0"/>
        <v>241076.04</v>
      </c>
      <c r="AI19" s="605">
        <f t="shared" si="0"/>
        <v>0</v>
      </c>
      <c r="AJ19" s="605">
        <f t="shared" si="0"/>
        <v>2531298.42</v>
      </c>
      <c r="AK19" s="606">
        <f t="shared" si="0"/>
        <v>0</v>
      </c>
      <c r="AL19" s="605">
        <f t="shared" si="0"/>
        <v>0</v>
      </c>
      <c r="AM19" s="605">
        <f t="shared" si="0"/>
        <v>0</v>
      </c>
      <c r="AN19" s="605">
        <f t="shared" si="0"/>
        <v>0</v>
      </c>
      <c r="AO19" s="605">
        <f t="shared" si="0"/>
        <v>16.179600000000001</v>
      </c>
      <c r="AP19" s="605">
        <f t="shared" si="0"/>
        <v>0</v>
      </c>
      <c r="AQ19" s="607">
        <f t="shared" si="0"/>
        <v>0</v>
      </c>
      <c r="AR19" s="605">
        <f t="shared" si="0"/>
        <v>0</v>
      </c>
      <c r="AS19" s="605">
        <f t="shared" si="0"/>
        <v>0</v>
      </c>
      <c r="AT19" s="605">
        <f t="shared" si="0"/>
        <v>0</v>
      </c>
      <c r="AU19" s="605">
        <f>SUM(AU13:AU18)-1</f>
        <v>21576306</v>
      </c>
      <c r="AV19" s="608"/>
      <c r="AW19" s="609"/>
      <c r="AX19" s="218"/>
      <c r="AY19" s="190"/>
      <c r="AZ19" s="553"/>
      <c r="BA19" s="553"/>
      <c r="BB19" s="553"/>
      <c r="BC19" s="553"/>
      <c r="BD19" s="553"/>
      <c r="BE19" s="553"/>
      <c r="BF19" s="553"/>
      <c r="BG19" s="553"/>
      <c r="BH19" s="553"/>
      <c r="BI19" s="553"/>
      <c r="BJ19" s="553"/>
      <c r="BK19" s="553"/>
    </row>
    <row r="20" spans="1:63" s="23" customFormat="1" ht="11.25" customHeight="1" x14ac:dyDescent="0.25">
      <c r="A20" s="16"/>
      <c r="B20" s="16"/>
      <c r="C20" s="483"/>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1"/>
      <c r="AP20" s="68"/>
      <c r="AQ20" s="45"/>
      <c r="AR20" s="22"/>
      <c r="AS20" s="63"/>
      <c r="AT20" s="24"/>
      <c r="AU20" s="24"/>
      <c r="AW20" s="70"/>
      <c r="AX20" s="70"/>
      <c r="AY20" s="154"/>
    </row>
    <row r="21" spans="1:63" ht="15.75" customHeight="1" x14ac:dyDescent="0.25">
      <c r="C21" s="484"/>
      <c r="D21" s="517" t="s">
        <v>1372</v>
      </c>
      <c r="E21" s="317" t="s">
        <v>1535</v>
      </c>
      <c r="F21" s="317"/>
      <c r="G21" s="317"/>
      <c r="H21" s="317"/>
      <c r="I21" s="317"/>
      <c r="J21" s="317"/>
      <c r="K21" s="511"/>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6" t="e">
        <f ca="1">_xll.VND(#REF!,,"đồng","ảo",3)</f>
        <v>#NAME?</v>
      </c>
      <c r="N23" s="425"/>
      <c r="AL23" s="1153" t="s">
        <v>1534</v>
      </c>
      <c r="AM23" s="1153"/>
      <c r="AN23" s="1153"/>
      <c r="AO23" s="1153"/>
      <c r="AP23" s="1153"/>
      <c r="AQ23" s="1153"/>
      <c r="AR23" s="1153"/>
      <c r="AS23" s="1153"/>
      <c r="AT23" s="1153"/>
      <c r="AU23" s="1153"/>
      <c r="AV23" s="1153"/>
      <c r="AW23" s="1153"/>
      <c r="AX23" s="4"/>
    </row>
    <row r="24" spans="1:63" ht="18.75" customHeight="1" x14ac:dyDescent="0.25">
      <c r="D24" s="1107" t="s">
        <v>27</v>
      </c>
      <c r="E24" s="1107"/>
      <c r="F24" s="1107"/>
      <c r="G24" s="1107"/>
      <c r="H24" s="1107"/>
      <c r="I24" s="1107"/>
      <c r="J24" s="1107"/>
      <c r="K24" s="1107"/>
      <c r="L24" s="1107"/>
      <c r="M24" s="1107"/>
      <c r="N24" s="1107"/>
      <c r="O24" s="1107"/>
      <c r="P24" s="1107"/>
      <c r="Q24" s="1107"/>
      <c r="R24" s="1107"/>
      <c r="V24" s="1107" t="s">
        <v>1114</v>
      </c>
      <c r="W24" s="1107"/>
      <c r="X24" s="1107"/>
      <c r="Y24" s="1107"/>
      <c r="Z24" s="1107"/>
      <c r="AA24" s="1107"/>
      <c r="AB24" s="1107"/>
      <c r="AC24" s="1107"/>
      <c r="AD24" s="1107"/>
      <c r="AE24" s="1107"/>
      <c r="AF24" s="1107"/>
      <c r="AG24" s="8"/>
      <c r="AH24" s="8"/>
      <c r="AI24" s="8"/>
      <c r="AJ24" s="8"/>
      <c r="AK24" s="1"/>
      <c r="AL24" s="1107" t="s">
        <v>176</v>
      </c>
      <c r="AM24" s="1107"/>
      <c r="AN24" s="1107"/>
      <c r="AO24" s="1107"/>
      <c r="AP24" s="1107"/>
      <c r="AQ24" s="1107"/>
      <c r="AR24" s="1107"/>
      <c r="AS24" s="1107"/>
      <c r="AT24" s="1107"/>
      <c r="AU24" s="1107"/>
      <c r="AV24" s="1107"/>
      <c r="AW24" s="1107"/>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107"/>
      <c r="AM25" s="1107"/>
      <c r="AN25" s="1107"/>
      <c r="AO25" s="1107"/>
      <c r="AP25" s="1107"/>
      <c r="AQ25" s="1107"/>
      <c r="AR25" s="1107"/>
      <c r="AS25" s="1107"/>
      <c r="AT25" s="1107"/>
      <c r="AU25" s="1107"/>
      <c r="AV25" s="1107"/>
      <c r="AW25" s="1107"/>
    </row>
    <row r="26" spans="1:63" x14ac:dyDescent="0.25">
      <c r="S26" s="359"/>
      <c r="U26" s="34"/>
      <c r="Z26" s="10"/>
      <c r="AA26" s="10"/>
      <c r="AB26" s="10"/>
      <c r="AC26" s="10"/>
      <c r="AD26" s="10"/>
      <c r="AE26" s="28"/>
      <c r="AF26" s="28"/>
      <c r="AG26" s="8"/>
      <c r="AH26" s="8"/>
      <c r="AI26" s="8"/>
      <c r="AJ26" s="8"/>
      <c r="AK26" s="1"/>
      <c r="AL26" s="8"/>
      <c r="AM26" s="8"/>
      <c r="AN26" s="8"/>
      <c r="AO26" s="504"/>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4"/>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4"/>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6"/>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4"/>
      <c r="AP31" s="66"/>
      <c r="AQ31" s="41"/>
      <c r="AR31" s="8"/>
      <c r="AS31" s="67"/>
      <c r="AV31" s="2"/>
      <c r="AW31" s="39"/>
      <c r="AX31" s="39"/>
      <c r="AY31" s="8"/>
    </row>
    <row r="32" spans="1:63" s="1" customFormat="1" x14ac:dyDescent="0.25">
      <c r="A32" s="4"/>
      <c r="B32" s="4"/>
      <c r="C32" s="476"/>
      <c r="D32" s="1107" t="s">
        <v>1105</v>
      </c>
      <c r="E32" s="1107"/>
      <c r="F32" s="1107"/>
      <c r="G32" s="1107"/>
      <c r="H32" s="1107"/>
      <c r="I32" s="1107"/>
      <c r="J32" s="1107"/>
      <c r="K32" s="1107"/>
      <c r="L32" s="1107"/>
      <c r="M32" s="1107"/>
      <c r="N32" s="1107"/>
      <c r="O32" s="1107"/>
      <c r="P32" s="1107"/>
      <c r="Q32" s="1107"/>
      <c r="R32" s="1107"/>
      <c r="S32" s="360"/>
      <c r="U32" s="55"/>
      <c r="V32" s="1107" t="s">
        <v>803</v>
      </c>
      <c r="W32" s="1107"/>
      <c r="X32" s="1107"/>
      <c r="Y32" s="1107"/>
      <c r="Z32" s="1107"/>
      <c r="AA32" s="1107"/>
      <c r="AB32" s="1107"/>
      <c r="AC32" s="1107"/>
      <c r="AD32" s="1107"/>
      <c r="AE32" s="1107"/>
      <c r="AF32" s="1107"/>
      <c r="AG32" s="8"/>
      <c r="AH32" s="8"/>
      <c r="AI32" s="8"/>
      <c r="AJ32" s="8"/>
      <c r="AL32" s="1107" t="s">
        <v>772</v>
      </c>
      <c r="AM32" s="1107"/>
      <c r="AN32" s="1107"/>
      <c r="AO32" s="1107"/>
      <c r="AP32" s="1107"/>
      <c r="AQ32" s="1107"/>
      <c r="AR32" s="1107"/>
      <c r="AS32" s="1107"/>
      <c r="AT32" s="1107"/>
      <c r="AU32" s="1107"/>
      <c r="AV32" s="1107"/>
      <c r="AW32" s="1107"/>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opLeftCell="A247" zoomScale="110" zoomScaleNormal="110" workbookViewId="0">
      <selection activeCell="D254" sqref="D254"/>
    </sheetView>
  </sheetViews>
  <sheetFormatPr defaultColWidth="10.125" defaultRowHeight="15.75" x14ac:dyDescent="0.25"/>
  <cols>
    <col min="1" max="1" width="4.875" style="5" customWidth="1"/>
    <col min="2" max="2" width="18.125" style="5" hidden="1" customWidth="1"/>
    <col min="3" max="3" width="13" style="859"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bestFit="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2" hidden="1" customWidth="1"/>
    <col min="42" max="42" width="8.875" style="645"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107" t="s">
        <v>1072</v>
      </c>
      <c r="B1" s="1107"/>
      <c r="C1" s="1107"/>
      <c r="D1" s="1107"/>
      <c r="E1" s="1107"/>
      <c r="F1" s="1107"/>
      <c r="G1" s="1107"/>
      <c r="H1" s="1107"/>
      <c r="I1" s="1107"/>
      <c r="J1" s="1107"/>
      <c r="K1" s="1107"/>
      <c r="L1" s="1107"/>
      <c r="M1" s="1107"/>
      <c r="N1" s="1107"/>
      <c r="O1" s="1107"/>
      <c r="P1" s="1107"/>
      <c r="R1" s="6"/>
      <c r="S1" s="326"/>
      <c r="V1" s="2"/>
      <c r="AL1" s="1108" t="s">
        <v>1073</v>
      </c>
      <c r="AM1" s="1108"/>
      <c r="AN1" s="1108"/>
      <c r="AO1" s="1108"/>
      <c r="AP1" s="1108"/>
      <c r="AQ1" s="1108"/>
      <c r="AR1" s="1108"/>
      <c r="AS1" s="1108"/>
      <c r="AT1" s="1108"/>
      <c r="AU1" s="1108"/>
      <c r="AV1" s="1108"/>
      <c r="AW1" s="10"/>
    </row>
    <row r="2" spans="1:59" x14ac:dyDescent="0.25">
      <c r="A2" s="1107" t="s">
        <v>1131</v>
      </c>
      <c r="B2" s="1107"/>
      <c r="C2" s="1107"/>
      <c r="D2" s="1107"/>
      <c r="E2" s="1107"/>
      <c r="F2" s="1107"/>
      <c r="G2" s="1107"/>
      <c r="H2" s="1107"/>
      <c r="I2" s="1107"/>
      <c r="J2" s="1107"/>
      <c r="K2" s="1107"/>
      <c r="L2" s="1107"/>
      <c r="M2" s="1107"/>
      <c r="N2" s="1107"/>
      <c r="O2" s="1107"/>
      <c r="P2" s="1107"/>
      <c r="R2" s="6"/>
      <c r="S2" s="326"/>
      <c r="V2" s="2"/>
      <c r="Y2" s="2"/>
      <c r="Z2" s="2"/>
      <c r="AA2" s="2"/>
      <c r="AB2" s="2"/>
      <c r="AC2" s="2"/>
      <c r="AD2" s="2"/>
      <c r="AE2" s="2"/>
      <c r="AL2" s="1109" t="s">
        <v>1285</v>
      </c>
      <c r="AM2" s="1109"/>
      <c r="AN2" s="1109"/>
      <c r="AO2" s="1109"/>
      <c r="AP2" s="1109"/>
      <c r="AQ2" s="1109"/>
      <c r="AR2" s="1109"/>
      <c r="AS2" s="1109"/>
      <c r="AT2" s="1109"/>
      <c r="AU2" s="1109"/>
      <c r="AV2" s="1109"/>
      <c r="AW2" s="10"/>
    </row>
    <row r="3" spans="1:59" ht="18" customHeight="1" x14ac:dyDescent="0.25">
      <c r="A3" s="1107" t="s">
        <v>1369</v>
      </c>
      <c r="B3" s="1107"/>
      <c r="C3" s="1107"/>
      <c r="D3" s="1107"/>
      <c r="E3" s="1107"/>
      <c r="F3" s="1107"/>
      <c r="G3" s="1107"/>
      <c r="H3" s="1107"/>
      <c r="I3" s="1107"/>
      <c r="J3" s="1107"/>
      <c r="K3" s="1107"/>
      <c r="L3" s="1107"/>
      <c r="M3" s="1107"/>
      <c r="N3" s="1107"/>
      <c r="O3" s="1107"/>
      <c r="P3" s="1107"/>
      <c r="R3" s="6"/>
      <c r="S3" s="326"/>
      <c r="Y3" s="9"/>
      <c r="Z3" s="9"/>
      <c r="AL3" s="1109" t="s">
        <v>1286</v>
      </c>
      <c r="AM3" s="1109"/>
      <c r="AN3" s="1109"/>
      <c r="AO3" s="1109"/>
      <c r="AP3" s="1109"/>
      <c r="AQ3" s="1109"/>
      <c r="AR3" s="1109"/>
      <c r="AS3" s="1109"/>
      <c r="AT3" s="1109"/>
      <c r="AU3" s="1109"/>
      <c r="AV3" s="1109"/>
    </row>
    <row r="4" spans="1:59" ht="12" customHeight="1" x14ac:dyDescent="0.35">
      <c r="A4" s="72"/>
      <c r="B4" s="72"/>
      <c r="R4" s="6"/>
      <c r="S4" s="326"/>
      <c r="V4" s="1164" t="s">
        <v>1064</v>
      </c>
      <c r="W4" s="1164"/>
      <c r="X4" s="1164"/>
      <c r="Y4" s="1164"/>
      <c r="Z4" s="1164"/>
      <c r="AA4" s="1164"/>
      <c r="AB4" s="1164"/>
      <c r="AC4" s="1164"/>
      <c r="AD4" s="1164"/>
      <c r="AE4" s="1164"/>
      <c r="AF4" s="1164"/>
      <c r="AG4" s="1164"/>
      <c r="AH4" s="1164"/>
      <c r="AI4" s="1164"/>
      <c r="AJ4" s="1164"/>
      <c r="AK4" s="1164"/>
      <c r="AL4" s="1164"/>
      <c r="AM4" s="385"/>
      <c r="AN4" s="385"/>
    </row>
    <row r="5" spans="1:59" ht="18.75" customHeight="1" x14ac:dyDescent="0.35">
      <c r="A5" s="11"/>
      <c r="B5" s="11"/>
      <c r="C5" s="860"/>
      <c r="D5" s="1"/>
      <c r="E5" s="260"/>
      <c r="F5" s="1"/>
      <c r="G5" s="4"/>
      <c r="H5" s="4"/>
      <c r="I5" s="4"/>
      <c r="J5" s="1"/>
      <c r="K5" s="4"/>
      <c r="L5" s="1"/>
      <c r="M5" s="1"/>
      <c r="N5" s="1"/>
      <c r="O5" s="421"/>
      <c r="V5" s="1164"/>
      <c r="W5" s="1164"/>
      <c r="X5" s="1164"/>
      <c r="Y5" s="1164"/>
      <c r="Z5" s="1164"/>
      <c r="AA5" s="1164"/>
      <c r="AB5" s="1164"/>
      <c r="AC5" s="1164"/>
      <c r="AD5" s="1164"/>
      <c r="AE5" s="1164"/>
      <c r="AF5" s="1164"/>
      <c r="AG5" s="1164"/>
      <c r="AH5" s="1164"/>
      <c r="AI5" s="1164"/>
      <c r="AJ5" s="1164"/>
      <c r="AK5" s="1164"/>
      <c r="AL5" s="1164"/>
      <c r="AM5" s="385"/>
      <c r="AN5" s="385"/>
      <c r="AR5" s="1111" t="s">
        <v>1074</v>
      </c>
      <c r="AS5" s="1111"/>
      <c r="AT5" s="1111"/>
      <c r="AU5" s="1111"/>
      <c r="AV5" s="1111"/>
      <c r="AW5" s="11"/>
    </row>
    <row r="6" spans="1:59" ht="19.5" customHeight="1" x14ac:dyDescent="0.3">
      <c r="A6" s="11"/>
      <c r="B6" s="11"/>
      <c r="C6" s="860"/>
      <c r="D6" s="1"/>
      <c r="E6" s="260"/>
      <c r="F6" s="1"/>
      <c r="G6" s="4"/>
      <c r="H6" s="4"/>
      <c r="I6" s="4"/>
      <c r="J6" s="1"/>
      <c r="K6" s="4"/>
      <c r="L6" s="1"/>
      <c r="M6" s="1"/>
      <c r="N6" s="1"/>
      <c r="O6" s="421"/>
      <c r="R6" s="1"/>
      <c r="S6" s="328"/>
      <c r="V6" s="1162" t="s">
        <v>1667</v>
      </c>
      <c r="W6" s="1162"/>
      <c r="X6" s="1162"/>
      <c r="Y6" s="1162"/>
      <c r="Z6" s="1162"/>
      <c r="AA6" s="1162"/>
      <c r="AB6" s="1162"/>
      <c r="AC6" s="1162"/>
      <c r="AD6" s="1162"/>
      <c r="AE6" s="1162"/>
      <c r="AF6" s="1162"/>
      <c r="AG6" s="1162"/>
      <c r="AH6" s="1162"/>
      <c r="AI6" s="1162"/>
      <c r="AJ6" s="1162"/>
      <c r="AK6" s="1162"/>
      <c r="AL6" s="1162"/>
      <c r="AM6" s="307"/>
      <c r="AN6" s="307"/>
      <c r="AR6" s="13" t="s">
        <v>1075</v>
      </c>
      <c r="AS6" s="11"/>
      <c r="AT6" s="11"/>
      <c r="AU6" s="72"/>
      <c r="AV6" s="143"/>
      <c r="AW6" s="40"/>
    </row>
    <row r="7" spans="1:59" ht="15" customHeight="1" x14ac:dyDescent="0.3">
      <c r="A7" s="11"/>
      <c r="B7" s="11"/>
      <c r="C7" s="860"/>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60"/>
      <c r="D8" s="64">
        <v>1800000</v>
      </c>
      <c r="E8" s="261"/>
      <c r="F8" s="64"/>
      <c r="G8" s="4"/>
      <c r="H8" s="4"/>
      <c r="I8" s="4"/>
      <c r="J8" s="1"/>
      <c r="K8" s="4"/>
      <c r="L8" s="1"/>
      <c r="M8" s="1"/>
      <c r="N8" s="1"/>
      <c r="O8" s="421"/>
      <c r="Q8" s="12"/>
      <c r="R8" s="6"/>
      <c r="S8" s="326"/>
      <c r="W8" s="12"/>
    </row>
    <row r="9" spans="1:59" s="14" customFormat="1" ht="27" customHeight="1" x14ac:dyDescent="0.25">
      <c r="A9" s="1113" t="s">
        <v>691</v>
      </c>
      <c r="B9" s="59"/>
      <c r="C9" s="1163" t="s">
        <v>1031</v>
      </c>
      <c r="D9" s="1113" t="s">
        <v>699</v>
      </c>
      <c r="E9" s="1115" t="s">
        <v>1054</v>
      </c>
      <c r="F9" s="59"/>
      <c r="G9" s="1117" t="s">
        <v>22</v>
      </c>
      <c r="H9" s="141"/>
      <c r="I9" s="141" t="s">
        <v>285</v>
      </c>
      <c r="J9" s="1117" t="s">
        <v>178</v>
      </c>
      <c r="K9" s="1118" t="s">
        <v>1311</v>
      </c>
      <c r="L9" s="274" t="s">
        <v>69</v>
      </c>
      <c r="M9" s="1120" t="s">
        <v>1031</v>
      </c>
      <c r="N9" s="1156" t="s">
        <v>1584</v>
      </c>
      <c r="O9" s="1121" t="s">
        <v>824</v>
      </c>
      <c r="P9" s="1122" t="s">
        <v>174</v>
      </c>
      <c r="Q9" s="1123" t="s">
        <v>700</v>
      </c>
      <c r="R9" s="1124" t="s">
        <v>1056</v>
      </c>
      <c r="S9" s="1125"/>
      <c r="T9" s="1125"/>
      <c r="U9" s="1125"/>
      <c r="V9" s="1125"/>
      <c r="W9" s="1125"/>
      <c r="X9" s="1125"/>
      <c r="Y9" s="1125"/>
      <c r="Z9" s="1126" t="s">
        <v>827</v>
      </c>
      <c r="AA9" s="1138" t="s">
        <v>718</v>
      </c>
      <c r="AB9" s="1140" t="s">
        <v>1061</v>
      </c>
      <c r="AC9" s="1138" t="s">
        <v>828</v>
      </c>
      <c r="AD9" s="1138" t="s">
        <v>829</v>
      </c>
      <c r="AE9" s="1138" t="s">
        <v>830</v>
      </c>
      <c r="AF9" s="1113" t="s">
        <v>717</v>
      </c>
      <c r="AG9" s="1113"/>
      <c r="AH9" s="1113"/>
      <c r="AI9" s="1113"/>
      <c r="AJ9" s="1113"/>
      <c r="AK9" s="1144" t="s">
        <v>1091</v>
      </c>
      <c r="AL9" s="1144"/>
      <c r="AM9" s="1145" t="s">
        <v>1108</v>
      </c>
      <c r="AN9" s="1146"/>
      <c r="AO9" s="1136" t="s">
        <v>678</v>
      </c>
      <c r="AP9" s="1147" t="s">
        <v>523</v>
      </c>
      <c r="AQ9" s="1136" t="s">
        <v>1092</v>
      </c>
      <c r="AR9" s="1137" t="s">
        <v>546</v>
      </c>
      <c r="AS9" s="1128" t="s">
        <v>644</v>
      </c>
      <c r="AT9" s="1129" t="s">
        <v>1032</v>
      </c>
      <c r="AU9" s="1131" t="s">
        <v>1057</v>
      </c>
      <c r="AV9" s="1131"/>
      <c r="AW9" s="85"/>
    </row>
    <row r="10" spans="1:59" s="14" customFormat="1" ht="36" x14ac:dyDescent="0.25">
      <c r="A10" s="1113"/>
      <c r="B10" s="59"/>
      <c r="C10" s="1163"/>
      <c r="D10" s="1113"/>
      <c r="E10" s="1116"/>
      <c r="F10" s="59"/>
      <c r="G10" s="1117"/>
      <c r="H10" s="141"/>
      <c r="I10" s="141" t="s">
        <v>286</v>
      </c>
      <c r="J10" s="1117"/>
      <c r="K10" s="1119"/>
      <c r="L10" s="274" t="s">
        <v>131</v>
      </c>
      <c r="M10" s="1120"/>
      <c r="N10" s="1157"/>
      <c r="O10" s="1121"/>
      <c r="P10" s="1122"/>
      <c r="Q10" s="1123"/>
      <c r="R10" s="299" t="s">
        <v>825</v>
      </c>
      <c r="S10" s="329" t="s">
        <v>1062</v>
      </c>
      <c r="T10" s="379" t="s">
        <v>1033</v>
      </c>
      <c r="U10" s="301" t="s">
        <v>1055</v>
      </c>
      <c r="V10" s="300"/>
      <c r="W10" s="302" t="s">
        <v>1123</v>
      </c>
      <c r="X10" s="270" t="s">
        <v>1077</v>
      </c>
      <c r="Y10" s="303" t="s">
        <v>826</v>
      </c>
      <c r="Z10" s="1127"/>
      <c r="AA10" s="1139"/>
      <c r="AB10" s="1141"/>
      <c r="AC10" s="1139"/>
      <c r="AD10" s="1139"/>
      <c r="AE10" s="1139"/>
      <c r="AF10" s="60" t="s">
        <v>747</v>
      </c>
      <c r="AG10" s="60" t="s">
        <v>564</v>
      </c>
      <c r="AH10" s="57" t="s">
        <v>521</v>
      </c>
      <c r="AI10" s="57" t="s">
        <v>831</v>
      </c>
      <c r="AJ10" s="57" t="s">
        <v>716</v>
      </c>
      <c r="AK10" s="60" t="s">
        <v>719</v>
      </c>
      <c r="AL10" s="60" t="s">
        <v>718</v>
      </c>
      <c r="AM10" s="60" t="s">
        <v>719</v>
      </c>
      <c r="AN10" s="60" t="s">
        <v>718</v>
      </c>
      <c r="AO10" s="1136"/>
      <c r="AP10" s="1147"/>
      <c r="AQ10" s="1136"/>
      <c r="AR10" s="1137"/>
      <c r="AS10" s="1128"/>
      <c r="AT10" s="1130"/>
      <c r="AU10" s="1131"/>
      <c r="AV10" s="1131"/>
      <c r="AW10" s="86"/>
    </row>
    <row r="11" spans="1:59" s="14" customFormat="1" ht="24" x14ac:dyDescent="0.25">
      <c r="A11" s="275">
        <v>1</v>
      </c>
      <c r="B11" s="275"/>
      <c r="C11" s="861">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1630</v>
      </c>
      <c r="AB11" s="407" t="s">
        <v>1138</v>
      </c>
      <c r="AC11" s="279">
        <v>12</v>
      </c>
      <c r="AD11" s="279">
        <v>13</v>
      </c>
      <c r="AE11" s="279" t="s">
        <v>1100</v>
      </c>
      <c r="AF11" s="279">
        <v>15</v>
      </c>
      <c r="AG11" s="279">
        <v>16</v>
      </c>
      <c r="AH11" s="279">
        <v>17</v>
      </c>
      <c r="AI11" s="279">
        <v>18</v>
      </c>
      <c r="AJ11" s="382" t="s">
        <v>1101</v>
      </c>
      <c r="AK11" s="279">
        <v>20</v>
      </c>
      <c r="AL11" s="382" t="s">
        <v>1631</v>
      </c>
      <c r="AM11" s="382">
        <v>22</v>
      </c>
      <c r="AN11" s="382" t="s">
        <v>1632</v>
      </c>
      <c r="AO11" s="493" t="s">
        <v>1138</v>
      </c>
      <c r="AP11" s="330" t="s">
        <v>1138</v>
      </c>
      <c r="AQ11" s="383" t="s">
        <v>1113</v>
      </c>
      <c r="AR11" s="382" t="s">
        <v>1633</v>
      </c>
      <c r="AS11" s="330" t="s">
        <v>1138</v>
      </c>
      <c r="AT11" s="279" t="s">
        <v>1109</v>
      </c>
      <c r="AU11" s="1132">
        <v>27</v>
      </c>
      <c r="AV11" s="1132"/>
      <c r="AW11" s="87"/>
    </row>
    <row r="12" spans="1:59" s="166" customFormat="1" ht="40.5" hidden="1" customHeight="1" x14ac:dyDescent="0.25">
      <c r="A12" s="157"/>
      <c r="B12" s="157"/>
      <c r="C12" s="862"/>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4"/>
      <c r="AP12" s="162"/>
      <c r="AQ12" s="653"/>
      <c r="AR12" s="247" t="s">
        <v>738</v>
      </c>
      <c r="AS12" s="161"/>
      <c r="AT12" s="161"/>
      <c r="AU12" s="272"/>
      <c r="AV12" s="273"/>
      <c r="AW12" s="164"/>
    </row>
    <row r="13" spans="1:59" s="101" customFormat="1" ht="17.25" customHeight="1" x14ac:dyDescent="0.25">
      <c r="A13" s="280"/>
      <c r="B13" s="280"/>
      <c r="C13" s="863" t="s">
        <v>720</v>
      </c>
      <c r="D13" s="281"/>
      <c r="E13" s="282"/>
      <c r="F13" s="281"/>
      <c r="G13" s="283"/>
      <c r="H13" s="283"/>
      <c r="I13" s="283"/>
      <c r="J13" s="284"/>
      <c r="K13" s="283"/>
      <c r="L13" s="284"/>
      <c r="M13" s="284"/>
      <c r="N13" s="833"/>
      <c r="O13" s="422"/>
      <c r="P13" s="285"/>
      <c r="Q13" s="286"/>
      <c r="R13" s="287"/>
      <c r="S13" s="332"/>
      <c r="T13" s="348"/>
      <c r="U13" s="376"/>
      <c r="V13" s="288"/>
      <c r="W13" s="289"/>
      <c r="X13" s="291"/>
      <c r="Y13" s="290"/>
      <c r="Z13" s="290"/>
      <c r="AA13" s="290"/>
      <c r="AB13" s="290"/>
      <c r="AC13" s="290"/>
      <c r="AD13" s="290"/>
      <c r="AE13" s="290"/>
      <c r="AF13" s="290"/>
      <c r="AG13" s="290"/>
      <c r="AH13" s="670"/>
      <c r="AI13" s="290"/>
      <c r="AJ13" s="290"/>
      <c r="AK13" s="292"/>
      <c r="AL13" s="290"/>
      <c r="AM13" s="290"/>
      <c r="AN13" s="290"/>
      <c r="AO13" s="495"/>
      <c r="AP13" s="646"/>
      <c r="AQ13" s="293"/>
      <c r="AR13" s="290"/>
      <c r="AS13" s="290"/>
      <c r="AT13" s="290"/>
      <c r="AU13" s="294"/>
      <c r="AV13" s="295"/>
      <c r="AW13" s="823"/>
      <c r="AX13" s="2"/>
      <c r="AY13" s="2"/>
      <c r="AZ13" s="2"/>
      <c r="BA13" s="2"/>
      <c r="BB13" s="2"/>
      <c r="BC13" s="2"/>
      <c r="BD13" s="2"/>
      <c r="BE13" s="2"/>
      <c r="BF13" s="2"/>
      <c r="BG13" s="2"/>
    </row>
    <row r="14" spans="1:59" s="191" customFormat="1" ht="30" customHeight="1" x14ac:dyDescent="0.25">
      <c r="A14" s="444" t="s">
        <v>5</v>
      </c>
      <c r="B14" s="444" t="str">
        <f>VLOOKUP(D14,[1]LuongBC_T01!$B$9:$C$292,2,FALSE)</f>
        <v>0016100006544007</v>
      </c>
      <c r="C14" s="864" t="s">
        <v>1034</v>
      </c>
      <c r="D14" s="448" t="s">
        <v>772</v>
      </c>
      <c r="E14" s="459" t="s">
        <v>1241</v>
      </c>
      <c r="F14" s="448"/>
      <c r="G14" s="456"/>
      <c r="H14" s="456"/>
      <c r="I14" s="456"/>
      <c r="J14" s="448"/>
      <c r="K14" s="456" t="str">
        <f>VLOOKUP(D14,[2]T3!$B$2:$D$328,3,FALSE)</f>
        <v>022874945</v>
      </c>
      <c r="L14" s="444" t="s">
        <v>789</v>
      </c>
      <c r="M14" s="458" t="s">
        <v>1034</v>
      </c>
      <c r="N14" s="834" t="s">
        <v>1605</v>
      </c>
      <c r="O14" s="460" t="s">
        <v>1604</v>
      </c>
      <c r="P14" s="461" t="s">
        <v>692</v>
      </c>
      <c r="Q14" s="462">
        <v>9</v>
      </c>
      <c r="R14" s="449">
        <v>5.76</v>
      </c>
      <c r="S14" s="450">
        <f t="shared" ref="S14:S41" si="0">U14+W14+Y14</f>
        <v>3.2976000000000001</v>
      </c>
      <c r="T14" s="451"/>
      <c r="U14" s="463">
        <f t="shared" ref="U14:U41" si="1">ROUND(R14*T14/100,4)</f>
        <v>0</v>
      </c>
      <c r="V14" s="452">
        <f t="shared" ref="V14:V41" si="2">R14*T14*$D$8/100</f>
        <v>0</v>
      </c>
      <c r="W14" s="453">
        <v>0.9</v>
      </c>
      <c r="X14" s="454">
        <v>0.36</v>
      </c>
      <c r="Y14" s="455">
        <f t="shared" ref="Y14:Y41" si="3">ROUND((R14+U14+W14)*X14,4)</f>
        <v>2.3976000000000002</v>
      </c>
      <c r="Z14" s="455">
        <f t="shared" ref="Z14:Z41" si="4">ROUND(R14+U14+W14+Y14,4)</f>
        <v>9.0576000000000008</v>
      </c>
      <c r="AA14" s="464">
        <f t="shared" ref="AA14:AA41" si="5">ROUND(Z14*$D$8,0)</f>
        <v>16303680</v>
      </c>
      <c r="AB14" s="464"/>
      <c r="AC14" s="464">
        <f t="shared" ref="AC14:AC41" si="6">AA14/24*AB14</f>
        <v>0</v>
      </c>
      <c r="AD14" s="464">
        <f t="shared" ref="AD14:AD19" si="7">AA14/24*AB14*75%</f>
        <v>0</v>
      </c>
      <c r="AE14" s="464">
        <f t="shared" ref="AE14:AE41" si="8">ROUND(AA14-AC14+AD14,0)</f>
        <v>16303680</v>
      </c>
      <c r="AF14" s="465">
        <f t="shared" ref="AF14:AF41" si="9">AA14*8%</f>
        <v>1304294.4000000001</v>
      </c>
      <c r="AG14" s="465">
        <f t="shared" ref="AG14:AG41" si="10">AA14*1.5%</f>
        <v>244555.19999999998</v>
      </c>
      <c r="AH14" s="534">
        <f t="shared" ref="AH14:AH41" si="11">AA14*1%</f>
        <v>163036.80000000002</v>
      </c>
      <c r="AI14" s="465"/>
      <c r="AJ14" s="465">
        <f t="shared" ref="AJ14:AJ41" si="12">SUM(AF14:AI14)</f>
        <v>1711886.4000000001</v>
      </c>
      <c r="AK14" s="466"/>
      <c r="AL14" s="467">
        <f t="shared" ref="AL14:AL41" si="13">AK14*$D$8</f>
        <v>0</v>
      </c>
      <c r="AM14" s="467"/>
      <c r="AN14" s="467"/>
      <c r="AO14" s="506">
        <f t="shared" ref="AO14:AO29" si="14">R14+U14+W14</f>
        <v>6.66</v>
      </c>
      <c r="AP14" s="636">
        <v>0.25</v>
      </c>
      <c r="AQ14" s="654">
        <f t="shared" ref="AQ14:AQ41" si="15">ROUND(AO14*AP14,4)</f>
        <v>1.665</v>
      </c>
      <c r="AR14" s="465">
        <f t="shared" ref="AR14:AR41" si="16">ROUND(AQ14*$D$8,0)</f>
        <v>2997000</v>
      </c>
      <c r="AS14" s="465"/>
      <c r="AT14" s="465">
        <f t="shared" ref="AT14:AT41" si="17">ROUND(AE14-AJ14+AL14+AN14+AR14,0)</f>
        <v>17588794</v>
      </c>
      <c r="AU14" s="408" t="str">
        <f t="shared" ref="AU14:AU41" si="18">A14</f>
        <v>01</v>
      </c>
      <c r="AV14" s="468"/>
      <c r="AW14" s="52"/>
      <c r="AX14" s="553"/>
      <c r="AY14" s="553"/>
      <c r="AZ14" s="553"/>
      <c r="BA14" s="553"/>
      <c r="BB14" s="553"/>
      <c r="BC14" s="553"/>
      <c r="BD14" s="553"/>
      <c r="BE14" s="553"/>
      <c r="BF14" s="553"/>
      <c r="BG14" s="553"/>
    </row>
    <row r="15" spans="1:59"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VLOOKUP(D15,'[5]Bao cao So GDDT'!$D$14:$S$282,11,FALSE)</f>
        <v>Giảng viên GDNN LT (hạng III)</v>
      </c>
      <c r="O15" s="390" t="s">
        <v>1438</v>
      </c>
      <c r="P15" s="172" t="s">
        <v>692</v>
      </c>
      <c r="Q15" s="173">
        <v>8</v>
      </c>
      <c r="R15" s="174">
        <v>4.9800000000000004</v>
      </c>
      <c r="S15" s="176">
        <f t="shared" si="0"/>
        <v>2.2542999999999997</v>
      </c>
      <c r="T15" s="370">
        <v>6</v>
      </c>
      <c r="U15" s="176">
        <f t="shared" si="1"/>
        <v>0.29880000000000001</v>
      </c>
      <c r="V15" s="175">
        <f t="shared" si="2"/>
        <v>537840.00000000012</v>
      </c>
      <c r="W15" s="177">
        <v>0.7</v>
      </c>
      <c r="X15" s="179">
        <v>0.21</v>
      </c>
      <c r="Y15" s="216">
        <f t="shared" si="3"/>
        <v>1.2555000000000001</v>
      </c>
      <c r="Z15" s="216">
        <f t="shared" si="4"/>
        <v>7.2343000000000002</v>
      </c>
      <c r="AA15" s="180">
        <f t="shared" si="5"/>
        <v>13021740</v>
      </c>
      <c r="AB15" s="180"/>
      <c r="AC15" s="180">
        <f t="shared" si="6"/>
        <v>0</v>
      </c>
      <c r="AD15" s="180">
        <f t="shared" si="7"/>
        <v>0</v>
      </c>
      <c r="AE15" s="180">
        <f t="shared" si="8"/>
        <v>13021740</v>
      </c>
      <c r="AF15" s="178">
        <f t="shared" si="9"/>
        <v>1041739.2000000001</v>
      </c>
      <c r="AG15" s="178">
        <f t="shared" si="10"/>
        <v>195326.1</v>
      </c>
      <c r="AH15" s="178">
        <f t="shared" si="11"/>
        <v>130217.40000000001</v>
      </c>
      <c r="AI15" s="178"/>
      <c r="AJ15" s="178">
        <f t="shared" si="12"/>
        <v>1367282.7</v>
      </c>
      <c r="AK15" s="181"/>
      <c r="AL15" s="182">
        <f t="shared" si="13"/>
        <v>0</v>
      </c>
      <c r="AM15" s="182"/>
      <c r="AN15" s="182"/>
      <c r="AO15" s="183">
        <f t="shared" si="14"/>
        <v>5.9788000000000006</v>
      </c>
      <c r="AP15" s="443">
        <v>0.25</v>
      </c>
      <c r="AQ15" s="185">
        <f t="shared" si="15"/>
        <v>1.4946999999999999</v>
      </c>
      <c r="AR15" s="178">
        <f t="shared" si="16"/>
        <v>2690460</v>
      </c>
      <c r="AS15" s="178"/>
      <c r="AT15" s="178">
        <f t="shared" si="17"/>
        <v>14344917</v>
      </c>
      <c r="AU15" s="469" t="str">
        <f t="shared" si="18"/>
        <v>02</v>
      </c>
      <c r="AV15" s="195"/>
      <c r="AW15" s="195" t="s">
        <v>794</v>
      </c>
      <c r="AX15" s="29"/>
      <c r="AY15" s="29"/>
      <c r="AZ15" s="29"/>
      <c r="BA15" s="29"/>
      <c r="BB15" s="29"/>
      <c r="BC15" s="29"/>
      <c r="BD15" s="29"/>
      <c r="BE15" s="29"/>
      <c r="BF15" s="29"/>
      <c r="BG15" s="29"/>
    </row>
    <row r="16" spans="1:59"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VLOOKUP(D16,'[5]Bao cao So GDDT'!$D$14:$S$282,11,FALSE)</f>
        <v>Giảng viên GDNN LT (hạng III)</v>
      </c>
      <c r="O16" s="391" t="s">
        <v>39</v>
      </c>
      <c r="P16" s="172" t="s">
        <v>692</v>
      </c>
      <c r="Q16" s="173">
        <v>8</v>
      </c>
      <c r="R16" s="174">
        <v>4.9800000000000004</v>
      </c>
      <c r="S16" s="176">
        <f t="shared" si="0"/>
        <v>1.0486</v>
      </c>
      <c r="T16" s="370">
        <v>7</v>
      </c>
      <c r="U16" s="176">
        <f t="shared" si="1"/>
        <v>0.34860000000000002</v>
      </c>
      <c r="V16" s="175">
        <f t="shared" si="2"/>
        <v>627480</v>
      </c>
      <c r="W16" s="177">
        <v>0.7</v>
      </c>
      <c r="X16" s="179">
        <f>VLOOKUP(D16,PCTN!D16:W283,20,FALSE)</f>
        <v>0</v>
      </c>
      <c r="Y16" s="216">
        <f t="shared" si="3"/>
        <v>0</v>
      </c>
      <c r="Z16" s="216">
        <f t="shared" si="4"/>
        <v>6.0286</v>
      </c>
      <c r="AA16" s="180">
        <f t="shared" si="5"/>
        <v>10851480</v>
      </c>
      <c r="AB16" s="180"/>
      <c r="AC16" s="180">
        <f t="shared" si="6"/>
        <v>0</v>
      </c>
      <c r="AD16" s="180">
        <f t="shared" si="7"/>
        <v>0</v>
      </c>
      <c r="AE16" s="180">
        <f t="shared" si="8"/>
        <v>10851480</v>
      </c>
      <c r="AF16" s="178">
        <f t="shared" si="9"/>
        <v>868118.4</v>
      </c>
      <c r="AG16" s="178">
        <f t="shared" si="10"/>
        <v>162772.19999999998</v>
      </c>
      <c r="AH16" s="178">
        <f t="shared" si="11"/>
        <v>108514.8</v>
      </c>
      <c r="AI16" s="178"/>
      <c r="AJ16" s="178">
        <f t="shared" si="12"/>
        <v>1139405.3999999999</v>
      </c>
      <c r="AK16" s="181"/>
      <c r="AL16" s="182">
        <f t="shared" si="13"/>
        <v>0</v>
      </c>
      <c r="AM16" s="182"/>
      <c r="AN16" s="182"/>
      <c r="AO16" s="183">
        <f t="shared" si="14"/>
        <v>6.0286000000000008</v>
      </c>
      <c r="AP16" s="179"/>
      <c r="AQ16" s="185">
        <f t="shared" si="15"/>
        <v>0</v>
      </c>
      <c r="AR16" s="178">
        <f t="shared" si="16"/>
        <v>0</v>
      </c>
      <c r="AS16" s="178"/>
      <c r="AT16" s="178">
        <f t="shared" si="17"/>
        <v>9712075</v>
      </c>
      <c r="AU16" s="469" t="str">
        <f t="shared" si="18"/>
        <v>03</v>
      </c>
      <c r="AV16" s="195"/>
      <c r="AW16" s="187"/>
      <c r="AX16" s="553"/>
      <c r="AY16" s="553"/>
      <c r="AZ16" s="553"/>
      <c r="BA16" s="553"/>
      <c r="BB16" s="553"/>
      <c r="BC16" s="553"/>
      <c r="BD16" s="553"/>
      <c r="BE16" s="553"/>
      <c r="BF16" s="553"/>
      <c r="BG16" s="553"/>
    </row>
    <row r="17" spans="1:59"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VLOOKUP(D17,'[5]Bao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t="str">
        <f t="shared" si="18"/>
        <v>04</v>
      </c>
      <c r="AV17" s="195"/>
      <c r="AW17" s="195" t="s">
        <v>1368</v>
      </c>
      <c r="AY17" s="671"/>
      <c r="AZ17" s="671"/>
    </row>
    <row r="18" spans="1:59" s="189" customFormat="1" ht="42.75" customHeight="1" x14ac:dyDescent="0.25">
      <c r="A18" s="168" t="s">
        <v>177</v>
      </c>
      <c r="B18" s="168" t="s">
        <v>1553</v>
      </c>
      <c r="C18" s="361" t="s">
        <v>839</v>
      </c>
      <c r="D18" s="169" t="s">
        <v>799</v>
      </c>
      <c r="E18" s="263" t="s">
        <v>1303</v>
      </c>
      <c r="F18" s="169"/>
      <c r="G18" s="170"/>
      <c r="H18" s="170"/>
      <c r="I18" s="170"/>
      <c r="J18" s="169"/>
      <c r="K18" s="168" t="s">
        <v>1352</v>
      </c>
      <c r="L18" s="201"/>
      <c r="M18" s="201" t="s">
        <v>839</v>
      </c>
      <c r="N18" s="263" t="str">
        <f>VLOOKUP(D18,'[5]Bao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t="str">
        <f t="shared" si="18"/>
        <v>05</v>
      </c>
      <c r="AV18" s="195"/>
      <c r="AW18" s="198"/>
      <c r="AY18" s="671"/>
      <c r="AZ18" s="671"/>
    </row>
    <row r="19" spans="1:59" s="189" customFormat="1" ht="32.25" customHeight="1" x14ac:dyDescent="0.25">
      <c r="A19" s="168" t="s">
        <v>9</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VLOOKUP(D19,'[5]Bao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t="str">
        <f t="shared" si="18"/>
        <v>06</v>
      </c>
      <c r="AV19" s="195"/>
      <c r="AW19" s="198"/>
      <c r="AY19" s="671"/>
      <c r="AZ19" s="671"/>
    </row>
    <row r="20" spans="1:59" s="191" customFormat="1" ht="39" customHeight="1" x14ac:dyDescent="0.25">
      <c r="A20" s="168" t="s">
        <v>10</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VLOOKUP(D20,'[5]Bao cao So GDDT'!$D$14:$S$282,11,FALSE)</f>
        <v>Giảng viên GDNN LT (hạng III)</v>
      </c>
      <c r="O20" s="390" t="s">
        <v>1438</v>
      </c>
      <c r="P20" s="172" t="s">
        <v>692</v>
      </c>
      <c r="Q20" s="173">
        <v>8</v>
      </c>
      <c r="R20" s="174">
        <v>4.9800000000000004</v>
      </c>
      <c r="S20" s="176">
        <f t="shared" si="0"/>
        <v>1.8308</v>
      </c>
      <c r="T20" s="370">
        <v>6</v>
      </c>
      <c r="U20" s="176">
        <f t="shared" si="1"/>
        <v>0.29880000000000001</v>
      </c>
      <c r="V20" s="175">
        <f t="shared" si="2"/>
        <v>537840.00000000012</v>
      </c>
      <c r="W20" s="170">
        <v>0.35</v>
      </c>
      <c r="X20" s="179">
        <v>0.21</v>
      </c>
      <c r="Y20" s="216">
        <f t="shared" si="3"/>
        <v>1.1819999999999999</v>
      </c>
      <c r="Z20" s="216">
        <f t="shared" si="4"/>
        <v>6.8108000000000004</v>
      </c>
      <c r="AA20" s="180">
        <f t="shared" si="5"/>
        <v>12259440</v>
      </c>
      <c r="AB20" s="180"/>
      <c r="AC20" s="180">
        <f t="shared" si="6"/>
        <v>0</v>
      </c>
      <c r="AD20" s="180">
        <v>0</v>
      </c>
      <c r="AE20" s="180">
        <f t="shared" si="8"/>
        <v>12259440</v>
      </c>
      <c r="AF20" s="178">
        <f t="shared" si="9"/>
        <v>980755.20000000007</v>
      </c>
      <c r="AG20" s="178">
        <f t="shared" si="10"/>
        <v>183891.6</v>
      </c>
      <c r="AH20" s="178">
        <f t="shared" si="11"/>
        <v>122594.40000000001</v>
      </c>
      <c r="AI20" s="178"/>
      <c r="AJ20" s="178">
        <f t="shared" si="12"/>
        <v>1287241.2</v>
      </c>
      <c r="AK20" s="192"/>
      <c r="AL20" s="182">
        <f t="shared" si="13"/>
        <v>0</v>
      </c>
      <c r="AM20" s="182"/>
      <c r="AN20" s="182"/>
      <c r="AO20" s="183">
        <f t="shared" si="14"/>
        <v>5.6288</v>
      </c>
      <c r="AP20" s="443">
        <v>0.25</v>
      </c>
      <c r="AQ20" s="185">
        <f t="shared" si="15"/>
        <v>1.4072</v>
      </c>
      <c r="AR20" s="178">
        <f t="shared" si="16"/>
        <v>2532960</v>
      </c>
      <c r="AS20" s="178"/>
      <c r="AT20" s="178">
        <f t="shared" si="17"/>
        <v>13505159</v>
      </c>
      <c r="AU20" s="469" t="str">
        <f t="shared" si="18"/>
        <v>07</v>
      </c>
      <c r="AV20" s="195"/>
      <c r="AW20" s="218" t="s">
        <v>730</v>
      </c>
      <c r="AY20" s="894"/>
      <c r="AZ20" s="894"/>
    </row>
    <row r="21" spans="1:59" s="189" customFormat="1" ht="33.75" customHeight="1" x14ac:dyDescent="0.25">
      <c r="A21" s="168" t="s">
        <v>11</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VLOOKUP(D21,'[5]Bao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t="str">
        <f t="shared" si="18"/>
        <v>08</v>
      </c>
      <c r="AV21" s="195"/>
      <c r="AW21" s="198" t="s">
        <v>729</v>
      </c>
      <c r="AY21" s="671"/>
      <c r="AZ21" s="671"/>
    </row>
    <row r="22" spans="1:59" s="189" customFormat="1" ht="33.75" customHeight="1" x14ac:dyDescent="0.25">
      <c r="A22" s="1057" t="s">
        <v>12</v>
      </c>
      <c r="B22" s="1057"/>
      <c r="C22" s="1058"/>
      <c r="D22" s="1098" t="s">
        <v>1626</v>
      </c>
      <c r="E22" s="1060" t="s">
        <v>1247</v>
      </c>
      <c r="F22" s="1059"/>
      <c r="G22" s="1061"/>
      <c r="H22" s="1061"/>
      <c r="I22" s="1061"/>
      <c r="J22" s="1059"/>
      <c r="K22" s="1061"/>
      <c r="L22" s="1099"/>
      <c r="M22" s="1099"/>
      <c r="N22" s="1060"/>
      <c r="O22" s="1063" t="s">
        <v>1627</v>
      </c>
      <c r="P22" s="1065"/>
      <c r="Q22" s="1100"/>
      <c r="R22" s="1066">
        <v>4.0599999999999996</v>
      </c>
      <c r="S22" s="1067">
        <f t="shared" si="0"/>
        <v>0.75600000000000001</v>
      </c>
      <c r="T22" s="1068">
        <v>10</v>
      </c>
      <c r="U22" s="1067">
        <f t="shared" si="1"/>
        <v>0.40600000000000003</v>
      </c>
      <c r="V22" s="1069">
        <f t="shared" si="2"/>
        <v>730799.99999999988</v>
      </c>
      <c r="W22" s="1061">
        <v>0.35</v>
      </c>
      <c r="X22" s="1070"/>
      <c r="Y22" s="1071">
        <f t="shared" si="3"/>
        <v>0</v>
      </c>
      <c r="Z22" s="1071">
        <f t="shared" si="4"/>
        <v>4.8159999999999998</v>
      </c>
      <c r="AA22" s="1072">
        <f t="shared" si="5"/>
        <v>8668800</v>
      </c>
      <c r="AB22" s="1072"/>
      <c r="AC22" s="1072">
        <f t="shared" si="6"/>
        <v>0</v>
      </c>
      <c r="AD22" s="1072">
        <v>0</v>
      </c>
      <c r="AE22" s="1072">
        <f t="shared" si="8"/>
        <v>8668800</v>
      </c>
      <c r="AF22" s="1073">
        <f t="shared" si="9"/>
        <v>693504</v>
      </c>
      <c r="AG22" s="1073">
        <f t="shared" si="10"/>
        <v>130032</v>
      </c>
      <c r="AH22" s="1073">
        <f t="shared" si="11"/>
        <v>86688</v>
      </c>
      <c r="AI22" s="1073"/>
      <c r="AJ22" s="1073">
        <f t="shared" si="12"/>
        <v>910224</v>
      </c>
      <c r="AK22" s="1074"/>
      <c r="AL22" s="1075">
        <f t="shared" si="13"/>
        <v>0</v>
      </c>
      <c r="AM22" s="1075"/>
      <c r="AN22" s="1075"/>
      <c r="AO22" s="1101">
        <f t="shared" si="14"/>
        <v>4.8159999999999989</v>
      </c>
      <c r="AP22" s="1102"/>
      <c r="AQ22" s="1096">
        <f t="shared" si="15"/>
        <v>0</v>
      </c>
      <c r="AR22" s="1073">
        <f t="shared" si="16"/>
        <v>0</v>
      </c>
      <c r="AS22" s="1073"/>
      <c r="AT22" s="1073">
        <f t="shared" si="17"/>
        <v>7758576</v>
      </c>
      <c r="AU22" s="1079" t="str">
        <f t="shared" si="18"/>
        <v>09</v>
      </c>
      <c r="AV22" s="1097"/>
      <c r="AW22" s="198"/>
      <c r="AY22" s="671"/>
      <c r="AZ22" s="671"/>
    </row>
    <row r="23" spans="1:59" s="189" customFormat="1" ht="35.25" customHeight="1" x14ac:dyDescent="0.25">
      <c r="A23" s="900" t="s">
        <v>13</v>
      </c>
      <c r="B23" s="168" t="str">
        <f>VLOOKUP(D23,[1]LuongBC_T01!$B$9:$C$292,2,FALSE)</f>
        <v>0016100006567007</v>
      </c>
      <c r="C23" s="865" t="s">
        <v>843</v>
      </c>
      <c r="D23" s="169" t="s">
        <v>1145</v>
      </c>
      <c r="E23" s="263" t="s">
        <v>1246</v>
      </c>
      <c r="F23" s="169" t="s">
        <v>550</v>
      </c>
      <c r="G23" s="170" t="s">
        <v>25</v>
      </c>
      <c r="H23" s="170"/>
      <c r="I23" s="170" t="s">
        <v>280</v>
      </c>
      <c r="J23" s="169" t="s">
        <v>184</v>
      </c>
      <c r="K23" s="168" t="s">
        <v>1354</v>
      </c>
      <c r="L23" s="171" t="s">
        <v>160</v>
      </c>
      <c r="M23" s="171" t="s">
        <v>843</v>
      </c>
      <c r="N23" s="835" t="str">
        <f>VLOOKUP(D23,'[5]Bao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t="str">
        <f t="shared" si="18"/>
        <v>10</v>
      </c>
      <c r="AV23" s="195" t="s">
        <v>795</v>
      </c>
      <c r="AW23" s="219" t="s">
        <v>713</v>
      </c>
      <c r="AX23" s="29"/>
      <c r="AY23" s="892"/>
      <c r="AZ23" s="892"/>
      <c r="BA23" s="29"/>
      <c r="BB23" s="29"/>
      <c r="BC23" s="29"/>
      <c r="BD23" s="29"/>
      <c r="BE23" s="29"/>
      <c r="BF23" s="29"/>
      <c r="BG23" s="29"/>
    </row>
    <row r="24" spans="1:59" s="191" customFormat="1" ht="31.5" customHeight="1" x14ac:dyDescent="0.25">
      <c r="A24" s="727">
        <f>A23+1</f>
        <v>11</v>
      </c>
      <c r="B24" s="727" t="str">
        <f>VLOOKUP(D24,[1]LuongBC_T01!$B$9:$C$292,2,FALSE)</f>
        <v>0016100006705008</v>
      </c>
      <c r="C24" s="728" t="s">
        <v>834</v>
      </c>
      <c r="D24" s="729" t="s">
        <v>803</v>
      </c>
      <c r="E24" s="730" t="s">
        <v>1242</v>
      </c>
      <c r="F24" s="729"/>
      <c r="G24" s="731"/>
      <c r="H24" s="731"/>
      <c r="I24" s="731"/>
      <c r="J24" s="729"/>
      <c r="K24" s="731" t="str">
        <f>VLOOKUP(D24,[2]T3!$B$2:$D$328,3,FALSE)</f>
        <v>023147526</v>
      </c>
      <c r="L24" s="732"/>
      <c r="M24" s="732" t="s">
        <v>834</v>
      </c>
      <c r="N24" s="730" t="str">
        <f>VLOOKUP(D24,'[5]Bao cao So GDDT'!$D$14:$S$282,11,FALSE)</f>
        <v>Kế toán viên</v>
      </c>
      <c r="O24" s="1050" t="s">
        <v>38</v>
      </c>
      <c r="P24" s="734" t="s">
        <v>692</v>
      </c>
      <c r="Q24" s="735">
        <v>9</v>
      </c>
      <c r="R24" s="736">
        <v>4.9800000000000004</v>
      </c>
      <c r="S24" s="737">
        <f t="shared" si="0"/>
        <v>2.2926000000000002</v>
      </c>
      <c r="T24" s="738">
        <v>37</v>
      </c>
      <c r="U24" s="737">
        <f t="shared" si="1"/>
        <v>1.8426</v>
      </c>
      <c r="V24" s="739">
        <f t="shared" si="2"/>
        <v>3316680.0000000005</v>
      </c>
      <c r="W24" s="1051">
        <v>0.45</v>
      </c>
      <c r="X24" s="740">
        <v>0</v>
      </c>
      <c r="Y24" s="741">
        <f t="shared" si="3"/>
        <v>0</v>
      </c>
      <c r="Z24" s="741">
        <f t="shared" si="4"/>
        <v>7.2725999999999997</v>
      </c>
      <c r="AA24" s="742">
        <f t="shared" si="5"/>
        <v>13090680</v>
      </c>
      <c r="AB24" s="742"/>
      <c r="AC24" s="742">
        <f t="shared" si="6"/>
        <v>0</v>
      </c>
      <c r="AD24" s="742">
        <f>AA24/24*AB24*75%</f>
        <v>0</v>
      </c>
      <c r="AE24" s="742">
        <f t="shared" si="8"/>
        <v>13090680</v>
      </c>
      <c r="AF24" s="743">
        <f t="shared" si="9"/>
        <v>1047254.4</v>
      </c>
      <c r="AG24" s="743">
        <f t="shared" si="10"/>
        <v>196360.19999999998</v>
      </c>
      <c r="AH24" s="743">
        <f t="shared" si="11"/>
        <v>130906.8</v>
      </c>
      <c r="AI24" s="743"/>
      <c r="AJ24" s="743">
        <f t="shared" si="12"/>
        <v>1374521.4000000001</v>
      </c>
      <c r="AK24" s="1052">
        <v>0.2</v>
      </c>
      <c r="AL24" s="745">
        <f t="shared" si="13"/>
        <v>360000</v>
      </c>
      <c r="AM24" s="745"/>
      <c r="AN24" s="745"/>
      <c r="AO24" s="746">
        <f t="shared" si="14"/>
        <v>7.2726000000000006</v>
      </c>
      <c r="AP24" s="758">
        <v>0</v>
      </c>
      <c r="AQ24" s="748">
        <f t="shared" si="15"/>
        <v>0</v>
      </c>
      <c r="AR24" s="743">
        <f t="shared" si="16"/>
        <v>0</v>
      </c>
      <c r="AS24" s="743"/>
      <c r="AT24" s="743">
        <f t="shared" si="17"/>
        <v>12076159</v>
      </c>
      <c r="AU24" s="749">
        <f t="shared" si="18"/>
        <v>11</v>
      </c>
      <c r="AV24" s="750" t="s">
        <v>1270</v>
      </c>
      <c r="AW24" s="187"/>
      <c r="AX24" s="553"/>
      <c r="AY24" s="553"/>
      <c r="AZ24" s="553"/>
      <c r="BA24" s="553"/>
      <c r="BB24" s="553"/>
      <c r="BC24" s="553"/>
      <c r="BD24" s="553"/>
      <c r="BE24" s="553"/>
      <c r="BF24" s="553"/>
      <c r="BG24" s="553"/>
    </row>
    <row r="25" spans="1:59" s="191" customFormat="1" ht="47.25" customHeight="1" x14ac:dyDescent="0.25">
      <c r="A25" s="168">
        <f t="shared" ref="A25:A75" si="19">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VLOOKUP(D25,'[5]Bao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6"/>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3"/>
      <c r="AY25" s="553"/>
      <c r="AZ25" s="553"/>
      <c r="BA25" s="553"/>
      <c r="BB25" s="553"/>
      <c r="BC25" s="553"/>
      <c r="BD25" s="553"/>
      <c r="BE25" s="553"/>
      <c r="BF25" s="553"/>
      <c r="BG25" s="553"/>
    </row>
    <row r="26" spans="1:59" s="191" customFormat="1" ht="42.75" customHeight="1" x14ac:dyDescent="0.25">
      <c r="A26" s="168">
        <f t="shared" si="19"/>
        <v>13</v>
      </c>
      <c r="B26" s="168" t="str">
        <f>VLOOKUP(D26,[1]LuongBC_T01!$B$9:$C$292,2,FALSE)</f>
        <v>0016100006783001</v>
      </c>
      <c r="C26" s="361" t="s">
        <v>872</v>
      </c>
      <c r="D26" s="169" t="s">
        <v>1173</v>
      </c>
      <c r="E26" s="263" t="s">
        <v>1434</v>
      </c>
      <c r="F26" s="169" t="s">
        <v>549</v>
      </c>
      <c r="G26" s="170"/>
      <c r="H26" s="170"/>
      <c r="I26" s="170" t="s">
        <v>283</v>
      </c>
      <c r="J26" s="169" t="s">
        <v>210</v>
      </c>
      <c r="K26" s="170" t="str">
        <f>VLOOKUP(D26,[2]T3!$B$2:$D$328,3,FALSE)</f>
        <v>022776286</v>
      </c>
      <c r="L26" s="171" t="s">
        <v>92</v>
      </c>
      <c r="M26" s="171" t="s">
        <v>872</v>
      </c>
      <c r="N26" s="263" t="str">
        <f>VLOOKUP(D26,'[5]Bao cao So GDDT'!$D$14:$S$282,11,FALSE)</f>
        <v>Giảng viên GDNN LT (hạng III)</v>
      </c>
      <c r="O26" s="390" t="s">
        <v>1438</v>
      </c>
      <c r="P26" s="172" t="s">
        <v>692</v>
      </c>
      <c r="Q26" s="173">
        <v>8</v>
      </c>
      <c r="R26" s="174">
        <v>4.9800000000000004</v>
      </c>
      <c r="S26" s="176">
        <f t="shared" si="0"/>
        <v>1.9434</v>
      </c>
      <c r="T26" s="370">
        <v>6</v>
      </c>
      <c r="U26" s="176">
        <f t="shared" si="1"/>
        <v>0.29880000000000001</v>
      </c>
      <c r="V26" s="175">
        <f t="shared" si="2"/>
        <v>537840.00000000012</v>
      </c>
      <c r="W26" s="170">
        <v>0.35</v>
      </c>
      <c r="X26" s="179">
        <v>0.23</v>
      </c>
      <c r="Y26" s="216">
        <f t="shared" si="3"/>
        <v>1.2946</v>
      </c>
      <c r="Z26" s="216">
        <f t="shared" si="4"/>
        <v>6.9234</v>
      </c>
      <c r="AA26" s="180">
        <f t="shared" si="5"/>
        <v>12462120</v>
      </c>
      <c r="AB26" s="180"/>
      <c r="AC26" s="180">
        <f t="shared" si="6"/>
        <v>0</v>
      </c>
      <c r="AD26" s="180">
        <f>AA26/24*AB26*75%</f>
        <v>0</v>
      </c>
      <c r="AE26" s="180">
        <f t="shared" si="8"/>
        <v>12462120</v>
      </c>
      <c r="AF26" s="178">
        <f t="shared" si="9"/>
        <v>996969.6</v>
      </c>
      <c r="AG26" s="178">
        <f t="shared" si="10"/>
        <v>186931.8</v>
      </c>
      <c r="AH26" s="178">
        <f t="shared" si="11"/>
        <v>124621.2</v>
      </c>
      <c r="AI26" s="178"/>
      <c r="AJ26" s="178">
        <f t="shared" si="12"/>
        <v>1308522.5999999999</v>
      </c>
      <c r="AK26" s="192"/>
      <c r="AL26" s="182">
        <f t="shared" si="13"/>
        <v>0</v>
      </c>
      <c r="AM26" s="182"/>
      <c r="AN26" s="182"/>
      <c r="AO26" s="183">
        <f t="shared" si="14"/>
        <v>5.6288</v>
      </c>
      <c r="AP26" s="443">
        <v>0.25</v>
      </c>
      <c r="AQ26" s="185">
        <f t="shared" si="15"/>
        <v>1.4072</v>
      </c>
      <c r="AR26" s="178">
        <f t="shared" si="16"/>
        <v>2532960</v>
      </c>
      <c r="AS26" s="178"/>
      <c r="AT26" s="178">
        <f t="shared" si="17"/>
        <v>13686557</v>
      </c>
      <c r="AU26" s="469">
        <f t="shared" si="18"/>
        <v>13</v>
      </c>
      <c r="AV26" s="195"/>
      <c r="AW26" s="244" t="s">
        <v>729</v>
      </c>
    </row>
    <row r="27" spans="1:59" s="191" customFormat="1" ht="44.25" customHeight="1" x14ac:dyDescent="0.25">
      <c r="A27" s="168">
        <f t="shared" si="19"/>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VLOOKUP(D27,'[5]Bao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3"/>
      <c r="AY27" s="553"/>
      <c r="AZ27" s="553"/>
      <c r="BA27" s="553"/>
      <c r="BB27" s="553"/>
      <c r="BC27" s="553"/>
      <c r="BD27" s="553"/>
      <c r="BE27" s="553"/>
      <c r="BF27" s="553"/>
      <c r="BG27" s="553"/>
    </row>
    <row r="28" spans="1:59" s="189" customFormat="1" ht="44.25" customHeight="1" x14ac:dyDescent="0.25">
      <c r="A28" s="168">
        <f t="shared" si="19"/>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VLOOKUP(D28,'[5]Bao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20">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 t="shared" si="19"/>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VLOOKUP(D29,'[5]Bao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20"/>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727">
        <f t="shared" si="19"/>
        <v>17</v>
      </c>
      <c r="B30" s="727" t="str">
        <f>VLOOKUP(D30,[1]LuongBC_T01!$B$9:$C$292,2,FALSE)</f>
        <v>0016100006721006</v>
      </c>
      <c r="C30" s="728" t="s">
        <v>1084</v>
      </c>
      <c r="D30" s="729" t="s">
        <v>1195</v>
      </c>
      <c r="E30" s="730" t="s">
        <v>1470</v>
      </c>
      <c r="F30" s="729" t="s">
        <v>549</v>
      </c>
      <c r="G30" s="731"/>
      <c r="H30" s="731"/>
      <c r="I30" s="731"/>
      <c r="J30" s="729"/>
      <c r="K30" s="731" t="str">
        <f>VLOOKUP(D30,[2]T3!$B$2:$D$328,3,FALSE)</f>
        <v>020933341</v>
      </c>
      <c r="L30" s="753" t="s">
        <v>685</v>
      </c>
      <c r="M30" s="753" t="s">
        <v>1084</v>
      </c>
      <c r="N30" s="730" t="str">
        <f>VLOOKUP(D30,'[5]Bao cao So GDDT'!$D$14:$S$282,11,FALSE)</f>
        <v>Chuyên viên</v>
      </c>
      <c r="O30" s="733" t="s">
        <v>39</v>
      </c>
      <c r="P30" s="734" t="s">
        <v>692</v>
      </c>
      <c r="Q30" s="735">
        <v>9</v>
      </c>
      <c r="R30" s="736">
        <v>4.9800000000000004</v>
      </c>
      <c r="S30" s="737">
        <f t="shared" si="0"/>
        <v>0.996</v>
      </c>
      <c r="T30" s="738">
        <v>20</v>
      </c>
      <c r="U30" s="737">
        <f t="shared" si="1"/>
        <v>0.996</v>
      </c>
      <c r="V30" s="739">
        <f t="shared" si="2"/>
        <v>1792800.0000000002</v>
      </c>
      <c r="W30" s="731"/>
      <c r="X30" s="740">
        <f>VLOOKUP(D30,PCTN!D84:W351,20,FALSE)</f>
        <v>0</v>
      </c>
      <c r="Y30" s="741">
        <f t="shared" si="3"/>
        <v>0</v>
      </c>
      <c r="Z30" s="741">
        <f t="shared" si="4"/>
        <v>5.976</v>
      </c>
      <c r="AA30" s="742">
        <f t="shared" si="5"/>
        <v>10756800</v>
      </c>
      <c r="AB30" s="742"/>
      <c r="AC30" s="742">
        <f t="shared" si="6"/>
        <v>0</v>
      </c>
      <c r="AD30" s="742">
        <v>0</v>
      </c>
      <c r="AE30" s="742">
        <f t="shared" si="8"/>
        <v>10756800</v>
      </c>
      <c r="AF30" s="743">
        <f t="shared" si="9"/>
        <v>860544</v>
      </c>
      <c r="AG30" s="743">
        <f t="shared" si="10"/>
        <v>161352</v>
      </c>
      <c r="AH30" s="743">
        <f t="shared" si="11"/>
        <v>107568</v>
      </c>
      <c r="AI30" s="743"/>
      <c r="AJ30" s="743">
        <f t="shared" si="12"/>
        <v>1129464</v>
      </c>
      <c r="AK30" s="744"/>
      <c r="AL30" s="745">
        <f t="shared" si="13"/>
        <v>0</v>
      </c>
      <c r="AM30" s="745"/>
      <c r="AN30" s="745"/>
      <c r="AO30" s="746"/>
      <c r="AP30" s="1049"/>
      <c r="AQ30" s="748">
        <f t="shared" si="15"/>
        <v>0</v>
      </c>
      <c r="AR30" s="743">
        <f t="shared" si="16"/>
        <v>0</v>
      </c>
      <c r="AS30" s="743"/>
      <c r="AT30" s="743">
        <f t="shared" si="17"/>
        <v>9627336</v>
      </c>
      <c r="AU30" s="749">
        <f t="shared" si="18"/>
        <v>17</v>
      </c>
      <c r="AV30" s="750"/>
      <c r="AW30" s="187" t="s">
        <v>702</v>
      </c>
      <c r="AX30" s="553"/>
      <c r="AY30" s="553"/>
      <c r="AZ30" s="553"/>
      <c r="BA30" s="553"/>
      <c r="BB30" s="553"/>
      <c r="BC30" s="553"/>
      <c r="BD30" s="553"/>
      <c r="BE30" s="553"/>
      <c r="BF30" s="553"/>
      <c r="BG30" s="553"/>
    </row>
    <row r="31" spans="1:59" s="191" customFormat="1" ht="32.25" customHeight="1" x14ac:dyDescent="0.25">
      <c r="A31" s="168">
        <f t="shared" si="19"/>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VLOOKUP(D31,'[5]Bao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20"/>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1">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683">
        <f t="shared" si="19"/>
        <v>19</v>
      </c>
      <c r="B32" s="683" t="str">
        <f>VLOOKUP(D32,[1]LuongBC_T01!$B$9:$C$292,2,FALSE)</f>
        <v>0016100006639008</v>
      </c>
      <c r="C32" s="764" t="s">
        <v>840</v>
      </c>
      <c r="D32" s="684" t="s">
        <v>800</v>
      </c>
      <c r="E32" s="685" t="s">
        <v>1536</v>
      </c>
      <c r="F32" s="684"/>
      <c r="G32" s="686"/>
      <c r="H32" s="686"/>
      <c r="I32" s="686"/>
      <c r="J32" s="684"/>
      <c r="K32" s="683" t="s">
        <v>1349</v>
      </c>
      <c r="L32" s="701"/>
      <c r="M32" s="701" t="s">
        <v>840</v>
      </c>
      <c r="N32" s="685" t="str">
        <f>VLOOKUP(D32,'[5]Bao cao So GDDT'!$D$14:$S$282,11,FALSE)</f>
        <v>Giảng viên GDNN LT (hạng III)</v>
      </c>
      <c r="O32" s="687" t="s">
        <v>1438</v>
      </c>
      <c r="P32" s="688" t="s">
        <v>692</v>
      </c>
      <c r="Q32" s="689">
        <v>7</v>
      </c>
      <c r="R32" s="690">
        <v>4.9800000000000004</v>
      </c>
      <c r="S32" s="691">
        <f t="shared" si="0"/>
        <v>1.3731</v>
      </c>
      <c r="T32" s="762"/>
      <c r="U32" s="691">
        <f t="shared" si="1"/>
        <v>0</v>
      </c>
      <c r="V32" s="693">
        <f t="shared" si="2"/>
        <v>0</v>
      </c>
      <c r="W32" s="686">
        <v>0.45</v>
      </c>
      <c r="X32" s="694">
        <v>0.17</v>
      </c>
      <c r="Y32" s="695">
        <f t="shared" si="3"/>
        <v>0.92310000000000003</v>
      </c>
      <c r="Z32" s="695">
        <f t="shared" si="4"/>
        <v>6.3531000000000004</v>
      </c>
      <c r="AA32" s="696">
        <f t="shared" si="5"/>
        <v>11435580</v>
      </c>
      <c r="AB32" s="696"/>
      <c r="AC32" s="696">
        <f t="shared" si="6"/>
        <v>0</v>
      </c>
      <c r="AD32" s="696">
        <f t="shared" si="20"/>
        <v>0</v>
      </c>
      <c r="AE32" s="696">
        <f t="shared" si="8"/>
        <v>11435580</v>
      </c>
      <c r="AF32" s="697">
        <f t="shared" si="9"/>
        <v>914846.4</v>
      </c>
      <c r="AG32" s="697">
        <f t="shared" si="10"/>
        <v>171533.69999999998</v>
      </c>
      <c r="AH32" s="697">
        <f t="shared" si="11"/>
        <v>114355.8</v>
      </c>
      <c r="AI32" s="697"/>
      <c r="AJ32" s="697">
        <f t="shared" si="12"/>
        <v>1200735.9000000001</v>
      </c>
      <c r="AK32" s="763"/>
      <c r="AL32" s="698">
        <f t="shared" si="13"/>
        <v>0</v>
      </c>
      <c r="AM32" s="698"/>
      <c r="AN32" s="698"/>
      <c r="AO32" s="765">
        <f t="shared" si="21"/>
        <v>5.4300000000000006</v>
      </c>
      <c r="AP32" s="766">
        <v>0.25</v>
      </c>
      <c r="AQ32" s="767">
        <f t="shared" si="15"/>
        <v>1.3574999999999999</v>
      </c>
      <c r="AR32" s="697">
        <f t="shared" si="16"/>
        <v>2443500</v>
      </c>
      <c r="AS32" s="697"/>
      <c r="AT32" s="697">
        <f t="shared" si="17"/>
        <v>12678344</v>
      </c>
      <c r="AU32" s="699">
        <f t="shared" si="18"/>
        <v>19</v>
      </c>
      <c r="AV32" s="700"/>
      <c r="AW32" s="198"/>
    </row>
    <row r="33" spans="1:52" s="191" customFormat="1" ht="33" customHeight="1" x14ac:dyDescent="0.25">
      <c r="A33" s="168">
        <f t="shared" si="19"/>
        <v>20</v>
      </c>
      <c r="B33" s="168" t="str">
        <f>VLOOKUP(D33,[1]LuongBC_T01!$B$9:$C$292,2,FALSE)</f>
        <v>0016100006574003</v>
      </c>
      <c r="C33" s="361" t="s">
        <v>1087</v>
      </c>
      <c r="D33" s="169" t="s">
        <v>767</v>
      </c>
      <c r="E33" s="263" t="s">
        <v>1252</v>
      </c>
      <c r="F33" s="169"/>
      <c r="G33" s="170" t="s">
        <v>25</v>
      </c>
      <c r="H33" s="170"/>
      <c r="I33" s="170"/>
      <c r="J33" s="169"/>
      <c r="K33" s="170" t="str">
        <f>VLOOKUP(D33,[2]T3!$B$2:$D$328,3,FALSE)</f>
        <v>022931960</v>
      </c>
      <c r="L33" s="893" t="s">
        <v>790</v>
      </c>
      <c r="M33" s="893" t="s">
        <v>1087</v>
      </c>
      <c r="N33" s="263" t="str">
        <f>VLOOKUP(D33,'[5]Bao cao So GDDT'!$D$14:$S$282,11,FALSE)</f>
        <v>Giảng viên GDNN LT (hạng III)</v>
      </c>
      <c r="O33" s="390" t="s">
        <v>1438</v>
      </c>
      <c r="P33" s="172" t="s">
        <v>692</v>
      </c>
      <c r="Q33" s="173">
        <v>7</v>
      </c>
      <c r="R33" s="174">
        <v>4.9800000000000004</v>
      </c>
      <c r="S33" s="176">
        <f t="shared" si="0"/>
        <v>1.0458000000000001</v>
      </c>
      <c r="T33" s="370"/>
      <c r="U33" s="176">
        <f t="shared" si="1"/>
        <v>0</v>
      </c>
      <c r="V33" s="175">
        <f t="shared" si="2"/>
        <v>0</v>
      </c>
      <c r="W33" s="200"/>
      <c r="X33" s="179">
        <v>0.21</v>
      </c>
      <c r="Y33" s="216">
        <f t="shared" si="3"/>
        <v>1.0458000000000001</v>
      </c>
      <c r="Z33" s="216">
        <f t="shared" si="4"/>
        <v>6.0258000000000003</v>
      </c>
      <c r="AA33" s="180">
        <f t="shared" si="5"/>
        <v>10846440</v>
      </c>
      <c r="AB33" s="180"/>
      <c r="AC33" s="180">
        <f t="shared" si="6"/>
        <v>0</v>
      </c>
      <c r="AD33" s="180">
        <f t="shared" si="20"/>
        <v>0</v>
      </c>
      <c r="AE33" s="180">
        <f t="shared" si="8"/>
        <v>10846440</v>
      </c>
      <c r="AF33" s="178">
        <f t="shared" si="9"/>
        <v>867715.20000000007</v>
      </c>
      <c r="AG33" s="178">
        <f t="shared" si="10"/>
        <v>162696.6</v>
      </c>
      <c r="AH33" s="178">
        <f t="shared" si="11"/>
        <v>108464.40000000001</v>
      </c>
      <c r="AI33" s="178"/>
      <c r="AJ33" s="178">
        <f t="shared" si="12"/>
        <v>1138876.2</v>
      </c>
      <c r="AK33" s="181"/>
      <c r="AL33" s="182">
        <f t="shared" si="13"/>
        <v>0</v>
      </c>
      <c r="AM33" s="182"/>
      <c r="AN33" s="182"/>
      <c r="AO33" s="183">
        <f t="shared" si="21"/>
        <v>4.9800000000000004</v>
      </c>
      <c r="AP33" s="443">
        <v>0.25</v>
      </c>
      <c r="AQ33" s="185">
        <f t="shared" si="15"/>
        <v>1.2450000000000001</v>
      </c>
      <c r="AR33" s="178">
        <f t="shared" si="16"/>
        <v>2241000</v>
      </c>
      <c r="AS33" s="178"/>
      <c r="AT33" s="178">
        <f t="shared" si="17"/>
        <v>11948564</v>
      </c>
      <c r="AU33" s="469">
        <f t="shared" si="18"/>
        <v>20</v>
      </c>
      <c r="AV33" s="195"/>
      <c r="AW33" s="195" t="s">
        <v>768</v>
      </c>
    </row>
    <row r="34" spans="1:52" s="189" customFormat="1" ht="30.75" customHeight="1" x14ac:dyDescent="0.25">
      <c r="A34" s="168">
        <f t="shared" si="19"/>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VLOOKUP(D34,'[5]Bao cao So GDDT'!$D$14:$S$282,11,FALSE)</f>
        <v>Giảng viên GDNN LT (hạng III)</v>
      </c>
      <c r="O34" s="667"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20"/>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1"/>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 t="shared" si="19"/>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VLOOKUP(D35,'[5]Bao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20"/>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1"/>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 t="shared" si="19"/>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VLOOKUP(D36,'[5]Bao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20"/>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1"/>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 t="shared" si="19"/>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VLOOKUP(D37,'[5]Bao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20"/>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1"/>
        <v>5.3784000000000001</v>
      </c>
      <c r="AP37" s="443">
        <v>0.25</v>
      </c>
      <c r="AQ37" s="185">
        <f t="shared" si="15"/>
        <v>1.3446</v>
      </c>
      <c r="AR37" s="178">
        <f t="shared" si="16"/>
        <v>2420280</v>
      </c>
      <c r="AS37" s="178"/>
      <c r="AT37" s="178">
        <f t="shared" si="17"/>
        <v>13164361</v>
      </c>
      <c r="AU37" s="469">
        <f t="shared" si="18"/>
        <v>24</v>
      </c>
      <c r="AV37" s="195"/>
      <c r="AW37" s="198" t="s">
        <v>710</v>
      </c>
      <c r="AY37" s="671">
        <f>185*500000</f>
        <v>92500000</v>
      </c>
    </row>
    <row r="38" spans="1:52" s="191" customFormat="1" ht="30.75" customHeight="1" x14ac:dyDescent="0.25">
      <c r="A38" s="168">
        <f t="shared" si="19"/>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VLOOKUP(D38,'[5]Bao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1"/>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 t="shared" si="19"/>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VLOOKUP(D39,'[5]Bao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1"/>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168">
        <f t="shared" si="19"/>
        <v>27</v>
      </c>
      <c r="B40" s="168" t="str">
        <f>VLOOKUP(D40,[1]LuongBC_T01!$B$9:$C$292,2,FALSE)</f>
        <v>0016100006735007</v>
      </c>
      <c r="C40" s="361" t="s">
        <v>880</v>
      </c>
      <c r="D40" s="169" t="s">
        <v>47</v>
      </c>
      <c r="E40" s="263" t="s">
        <v>1628</v>
      </c>
      <c r="F40" s="169" t="s">
        <v>550</v>
      </c>
      <c r="G40" s="170" t="s">
        <v>25</v>
      </c>
      <c r="H40" s="170" t="s">
        <v>283</v>
      </c>
      <c r="I40" s="170" t="s">
        <v>282</v>
      </c>
      <c r="J40" s="169" t="s">
        <v>202</v>
      </c>
      <c r="K40" s="168" t="s">
        <v>1367</v>
      </c>
      <c r="L40" s="171" t="s">
        <v>86</v>
      </c>
      <c r="M40" s="171" t="s">
        <v>880</v>
      </c>
      <c r="N40" s="263" t="str">
        <f>VLOOKUP(D40,'[5]Bao cao So GDDT'!$D$14:$S$282,11,FALSE)</f>
        <v>Giảng viên GDNN LT (hạng III)</v>
      </c>
      <c r="O40" s="390" t="s">
        <v>1438</v>
      </c>
      <c r="P40" s="172" t="s">
        <v>692</v>
      </c>
      <c r="Q40" s="173">
        <v>6</v>
      </c>
      <c r="R40" s="174">
        <v>4.32</v>
      </c>
      <c r="S40" s="176">
        <f t="shared" si="0"/>
        <v>0.86399999999999999</v>
      </c>
      <c r="T40" s="370"/>
      <c r="U40" s="176">
        <f t="shared" si="1"/>
        <v>0</v>
      </c>
      <c r="V40" s="175">
        <f t="shared" si="2"/>
        <v>0</v>
      </c>
      <c r="W40" s="510"/>
      <c r="X40" s="179">
        <v>0.2</v>
      </c>
      <c r="Y40" s="216">
        <f t="shared" si="3"/>
        <v>0.86399999999999999</v>
      </c>
      <c r="Z40" s="216">
        <f t="shared" si="4"/>
        <v>5.1840000000000002</v>
      </c>
      <c r="AA40" s="180">
        <f t="shared" si="5"/>
        <v>9331200</v>
      </c>
      <c r="AB40" s="180"/>
      <c r="AC40" s="180">
        <f t="shared" si="6"/>
        <v>0</v>
      </c>
      <c r="AD40" s="180">
        <f t="shared" ref="AD40:AD75" si="22">AA40/24*AB40*75%</f>
        <v>0</v>
      </c>
      <c r="AE40" s="180">
        <f t="shared" si="8"/>
        <v>9331200</v>
      </c>
      <c r="AF40" s="178">
        <f t="shared" si="9"/>
        <v>746496</v>
      </c>
      <c r="AG40" s="178">
        <f t="shared" si="10"/>
        <v>139968</v>
      </c>
      <c r="AH40" s="178">
        <f t="shared" si="11"/>
        <v>93312</v>
      </c>
      <c r="AI40" s="178"/>
      <c r="AJ40" s="178">
        <f t="shared" si="12"/>
        <v>979776</v>
      </c>
      <c r="AK40" s="192"/>
      <c r="AL40" s="182">
        <f t="shared" si="13"/>
        <v>0</v>
      </c>
      <c r="AM40" s="182"/>
      <c r="AN40" s="182"/>
      <c r="AO40" s="183">
        <f t="shared" si="21"/>
        <v>4.32</v>
      </c>
      <c r="AP40" s="443">
        <v>0.25</v>
      </c>
      <c r="AQ40" s="185">
        <f t="shared" si="15"/>
        <v>1.08</v>
      </c>
      <c r="AR40" s="178">
        <f t="shared" si="16"/>
        <v>1944000</v>
      </c>
      <c r="AS40" s="178"/>
      <c r="AT40" s="178">
        <f t="shared" si="17"/>
        <v>10295424</v>
      </c>
      <c r="AU40" s="469">
        <f t="shared" si="18"/>
        <v>27</v>
      </c>
      <c r="AV40" s="195"/>
      <c r="AW40" s="187" t="s">
        <v>710</v>
      </c>
    </row>
    <row r="41" spans="1:52" s="191" customFormat="1" ht="30.75" customHeight="1" x14ac:dyDescent="0.25">
      <c r="A41" s="168">
        <f t="shared" si="19"/>
        <v>28</v>
      </c>
      <c r="B41" s="168" t="str">
        <f>VLOOKUP(D41,[1]LuongBC_T01!$B$9:$C$292,2,FALSE)</f>
        <v>0016100006801007</v>
      </c>
      <c r="C41" s="361" t="s">
        <v>885</v>
      </c>
      <c r="D41" s="169" t="s">
        <v>1182</v>
      </c>
      <c r="E41" s="263" t="s">
        <v>1628</v>
      </c>
      <c r="F41" s="169" t="s">
        <v>550</v>
      </c>
      <c r="G41" s="170" t="s">
        <v>25</v>
      </c>
      <c r="H41" s="170" t="s">
        <v>283</v>
      </c>
      <c r="I41" s="170" t="s">
        <v>283</v>
      </c>
      <c r="J41" s="169" t="s">
        <v>221</v>
      </c>
      <c r="K41" s="170" t="str">
        <f>VLOOKUP(D41,[2]T3!$B$2:$D$328,3,FALSE)</f>
        <v>023334538</v>
      </c>
      <c r="L41" s="171" t="s">
        <v>101</v>
      </c>
      <c r="M41" s="171" t="s">
        <v>885</v>
      </c>
      <c r="N41" s="263" t="str">
        <f>VLOOKUP(D41,'[5]Bao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2"/>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1"/>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 t="shared" si="19"/>
        <v>29</v>
      </c>
      <c r="B42" s="168" t="str">
        <f>VLOOKUP(D42,[1]LuongBC_T01!$B$9:$C$292,2,FALSE)</f>
        <v>0016100006618008</v>
      </c>
      <c r="C42" s="361" t="s">
        <v>883</v>
      </c>
      <c r="D42" s="169" t="s">
        <v>1181</v>
      </c>
      <c r="E42" s="263" t="s">
        <v>1628</v>
      </c>
      <c r="F42" s="169" t="s">
        <v>549</v>
      </c>
      <c r="G42" s="170" t="s">
        <v>25</v>
      </c>
      <c r="H42" s="170" t="s">
        <v>283</v>
      </c>
      <c r="I42" s="170" t="s">
        <v>283</v>
      </c>
      <c r="J42" s="169" t="s">
        <v>220</v>
      </c>
      <c r="K42" s="170" t="str">
        <f>VLOOKUP(D42,[2]T3!$B$2:$D$328,3,FALSE)</f>
        <v>022848142</v>
      </c>
      <c r="L42" s="171" t="s">
        <v>100</v>
      </c>
      <c r="M42" s="171" t="s">
        <v>883</v>
      </c>
      <c r="N42" s="263" t="str">
        <f>VLOOKUP(D42,'[5]Bao cao So GDDT'!$D$14:$S$282,11,FALSE)</f>
        <v>Giảng viên GDNN LT (hạng III)</v>
      </c>
      <c r="O42" s="390" t="s">
        <v>1438</v>
      </c>
      <c r="P42" s="172" t="s">
        <v>692</v>
      </c>
      <c r="Q42" s="173">
        <v>6</v>
      </c>
      <c r="R42" s="174">
        <v>4.6500000000000004</v>
      </c>
      <c r="S42" s="176">
        <f t="shared" ref="S42:S69" si="23">U42+W42+Y42</f>
        <v>0.97650000000000003</v>
      </c>
      <c r="T42" s="370"/>
      <c r="U42" s="176">
        <f t="shared" ref="U42:U69" si="24">ROUND(R42*T42/100,4)</f>
        <v>0</v>
      </c>
      <c r="V42" s="175">
        <f t="shared" ref="V42:V69" si="25">R42*T42*$D$8/100</f>
        <v>0</v>
      </c>
      <c r="W42" s="170"/>
      <c r="X42" s="179">
        <v>0.21</v>
      </c>
      <c r="Y42" s="216">
        <f t="shared" ref="Y42:Y69" si="26">ROUND((R42+U42+W42)*X42,4)</f>
        <v>0.97650000000000003</v>
      </c>
      <c r="Z42" s="216">
        <f t="shared" ref="Z42:Z69" si="27">ROUND(R42+U42+W42+Y42,4)</f>
        <v>5.6265000000000001</v>
      </c>
      <c r="AA42" s="180">
        <f t="shared" ref="AA42:AA69" si="28">ROUND(Z42*$D$8,0)</f>
        <v>10127700</v>
      </c>
      <c r="AB42" s="180"/>
      <c r="AC42" s="180">
        <f t="shared" ref="AC42:AC69" si="29">AA42/24*AB42</f>
        <v>0</v>
      </c>
      <c r="AD42" s="180">
        <f t="shared" si="22"/>
        <v>0</v>
      </c>
      <c r="AE42" s="180">
        <f t="shared" ref="AE42:AE69" si="30">ROUND(AA42-AC42+AD42,0)</f>
        <v>10127700</v>
      </c>
      <c r="AF42" s="178">
        <f t="shared" ref="AF42:AF69" si="31">AA42*8%</f>
        <v>810216</v>
      </c>
      <c r="AG42" s="178">
        <f t="shared" ref="AG42:AG69" si="32">AA42*1.5%</f>
        <v>151915.5</v>
      </c>
      <c r="AH42" s="178">
        <f t="shared" ref="AH42:AH69" si="33">AA42*1%</f>
        <v>101277</v>
      </c>
      <c r="AI42" s="178"/>
      <c r="AJ42" s="178">
        <f t="shared" ref="AJ42:AJ69" si="34">SUM(AF42:AI42)</f>
        <v>1063408.5</v>
      </c>
      <c r="AK42" s="192"/>
      <c r="AL42" s="182">
        <f t="shared" ref="AL42:AL69" si="35">AK42*$D$8</f>
        <v>0</v>
      </c>
      <c r="AM42" s="182"/>
      <c r="AN42" s="182"/>
      <c r="AO42" s="183">
        <f t="shared" si="21"/>
        <v>4.6500000000000004</v>
      </c>
      <c r="AP42" s="443">
        <v>0.25</v>
      </c>
      <c r="AQ42" s="185">
        <f t="shared" ref="AQ42:AQ69" si="36">ROUND(AO42*AP42,4)</f>
        <v>1.1625000000000001</v>
      </c>
      <c r="AR42" s="178">
        <f t="shared" ref="AR42:AR69" si="37">ROUND(AQ42*$D$8,0)</f>
        <v>2092500</v>
      </c>
      <c r="AS42" s="178"/>
      <c r="AT42" s="178">
        <f t="shared" ref="AT42:AT69" si="38">ROUND(AE42-AJ42+AL42+AN42+AR42,0)</f>
        <v>11156792</v>
      </c>
      <c r="AU42" s="469">
        <f t="shared" ref="AU42:AU69" si="39">A42</f>
        <v>29</v>
      </c>
      <c r="AV42" s="186"/>
      <c r="AW42" s="198" t="s">
        <v>710</v>
      </c>
    </row>
    <row r="43" spans="1:52" s="189" customFormat="1" ht="30.75" customHeight="1" x14ac:dyDescent="0.25">
      <c r="A43" s="168">
        <f t="shared" si="19"/>
        <v>30</v>
      </c>
      <c r="B43" s="168" t="str">
        <f>VLOOKUP(D43,[1]LuongBC_T01!$B$9:$C$292,2,FALSE)</f>
        <v>0016100006704004</v>
      </c>
      <c r="C43" s="361" t="s">
        <v>876</v>
      </c>
      <c r="D43" s="169" t="s">
        <v>287</v>
      </c>
      <c r="E43" s="263" t="s">
        <v>1628</v>
      </c>
      <c r="F43" s="169" t="s">
        <v>549</v>
      </c>
      <c r="G43" s="170" t="s">
        <v>25</v>
      </c>
      <c r="H43" s="170" t="s">
        <v>283</v>
      </c>
      <c r="I43" s="170" t="s">
        <v>283</v>
      </c>
      <c r="J43" s="169" t="s">
        <v>288</v>
      </c>
      <c r="K43" s="170" t="str">
        <f>VLOOKUP(D43,[2]T3!$B$2:$D$328,3,FALSE)</f>
        <v>024917765</v>
      </c>
      <c r="L43" s="171" t="s">
        <v>289</v>
      </c>
      <c r="M43" s="171" t="s">
        <v>876</v>
      </c>
      <c r="N43" s="263" t="str">
        <f>VLOOKUP(D43,'[5]Bao cao So GDDT'!$D$14:$S$282,11,FALSE)</f>
        <v>Giảng viên GDNN LT (hạng III)</v>
      </c>
      <c r="O43" s="390" t="s">
        <v>1438</v>
      </c>
      <c r="P43" s="172" t="s">
        <v>692</v>
      </c>
      <c r="Q43" s="173">
        <v>7</v>
      </c>
      <c r="R43" s="174">
        <v>4.9800000000000004</v>
      </c>
      <c r="S43" s="176">
        <f t="shared" si="23"/>
        <v>1.1952</v>
      </c>
      <c r="T43" s="377"/>
      <c r="U43" s="176">
        <f t="shared" si="24"/>
        <v>0</v>
      </c>
      <c r="V43" s="175">
        <f t="shared" si="25"/>
        <v>0</v>
      </c>
      <c r="W43" s="200"/>
      <c r="X43" s="179">
        <v>0.24</v>
      </c>
      <c r="Y43" s="216">
        <f t="shared" si="26"/>
        <v>1.1952</v>
      </c>
      <c r="Z43" s="216">
        <f t="shared" si="27"/>
        <v>6.1752000000000002</v>
      </c>
      <c r="AA43" s="180">
        <f t="shared" si="28"/>
        <v>11115360</v>
      </c>
      <c r="AB43" s="180"/>
      <c r="AC43" s="180">
        <f t="shared" si="29"/>
        <v>0</v>
      </c>
      <c r="AD43" s="180">
        <f t="shared" si="22"/>
        <v>0</v>
      </c>
      <c r="AE43" s="180">
        <f t="shared" si="30"/>
        <v>11115360</v>
      </c>
      <c r="AF43" s="178">
        <f t="shared" si="31"/>
        <v>889228.80000000005</v>
      </c>
      <c r="AG43" s="178">
        <f t="shared" si="32"/>
        <v>166730.4</v>
      </c>
      <c r="AH43" s="178">
        <f t="shared" si="33"/>
        <v>111153.60000000001</v>
      </c>
      <c r="AI43" s="178"/>
      <c r="AJ43" s="178">
        <f t="shared" si="34"/>
        <v>1167112.8</v>
      </c>
      <c r="AK43" s="181"/>
      <c r="AL43" s="182">
        <f t="shared" si="35"/>
        <v>0</v>
      </c>
      <c r="AM43" s="182"/>
      <c r="AN43" s="182"/>
      <c r="AO43" s="183">
        <f t="shared" si="21"/>
        <v>4.9800000000000004</v>
      </c>
      <c r="AP43" s="443">
        <v>0.25</v>
      </c>
      <c r="AQ43" s="185">
        <f t="shared" si="36"/>
        <v>1.2450000000000001</v>
      </c>
      <c r="AR43" s="178">
        <f t="shared" si="37"/>
        <v>2241000</v>
      </c>
      <c r="AS43" s="178"/>
      <c r="AT43" s="178">
        <f t="shared" si="38"/>
        <v>12189247</v>
      </c>
      <c r="AU43" s="469">
        <f t="shared" si="39"/>
        <v>30</v>
      </c>
      <c r="AV43" s="186"/>
      <c r="AW43" s="198" t="s">
        <v>710</v>
      </c>
      <c r="AZ43" s="991"/>
    </row>
    <row r="44" spans="1:52" s="191" customFormat="1" ht="33" customHeight="1" x14ac:dyDescent="0.25">
      <c r="A44" s="168">
        <f t="shared" si="19"/>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VLOOKUP(D44,'[5]Bao cao So GDDT'!$D$14:$S$282,11,FALSE)</f>
        <v>Giảng viên GDNN LT (hạng III)</v>
      </c>
      <c r="O44" s="390" t="s">
        <v>1438</v>
      </c>
      <c r="P44" s="172" t="s">
        <v>692</v>
      </c>
      <c r="Q44" s="173">
        <v>6</v>
      </c>
      <c r="R44" s="174">
        <v>4.6500000000000004</v>
      </c>
      <c r="S44" s="176">
        <f t="shared" si="23"/>
        <v>0.97650000000000003</v>
      </c>
      <c r="T44" s="377"/>
      <c r="U44" s="176">
        <f t="shared" si="24"/>
        <v>0</v>
      </c>
      <c r="V44" s="175">
        <f t="shared" si="25"/>
        <v>0</v>
      </c>
      <c r="W44" s="200"/>
      <c r="X44" s="179">
        <v>0.21</v>
      </c>
      <c r="Y44" s="216">
        <f t="shared" si="26"/>
        <v>0.97650000000000003</v>
      </c>
      <c r="Z44" s="216">
        <f t="shared" si="27"/>
        <v>5.6265000000000001</v>
      </c>
      <c r="AA44" s="180">
        <f t="shared" si="28"/>
        <v>10127700</v>
      </c>
      <c r="AB44" s="180"/>
      <c r="AC44" s="180">
        <f t="shared" si="29"/>
        <v>0</v>
      </c>
      <c r="AD44" s="180">
        <f t="shared" si="22"/>
        <v>0</v>
      </c>
      <c r="AE44" s="180">
        <f t="shared" si="30"/>
        <v>10127700</v>
      </c>
      <c r="AF44" s="178">
        <f t="shared" si="31"/>
        <v>810216</v>
      </c>
      <c r="AG44" s="178">
        <f t="shared" si="32"/>
        <v>151915.5</v>
      </c>
      <c r="AH44" s="178">
        <f t="shared" si="33"/>
        <v>101277</v>
      </c>
      <c r="AI44" s="178"/>
      <c r="AJ44" s="178">
        <f t="shared" si="34"/>
        <v>1063408.5</v>
      </c>
      <c r="AK44" s="181"/>
      <c r="AL44" s="182">
        <f t="shared" si="35"/>
        <v>0</v>
      </c>
      <c r="AM44" s="182"/>
      <c r="AN44" s="182"/>
      <c r="AO44" s="183">
        <f t="shared" si="21"/>
        <v>4.6500000000000004</v>
      </c>
      <c r="AP44" s="443">
        <v>0.45</v>
      </c>
      <c r="AQ44" s="185">
        <f t="shared" si="36"/>
        <v>2.0924999999999998</v>
      </c>
      <c r="AR44" s="178">
        <f t="shared" si="37"/>
        <v>3766500</v>
      </c>
      <c r="AS44" s="178"/>
      <c r="AT44" s="178">
        <f t="shared" si="38"/>
        <v>12830792</v>
      </c>
      <c r="AU44" s="469">
        <f t="shared" si="39"/>
        <v>31</v>
      </c>
      <c r="AV44" s="186"/>
      <c r="AW44" s="186" t="s">
        <v>710</v>
      </c>
    </row>
    <row r="45" spans="1:52" s="189" customFormat="1" ht="33" customHeight="1" x14ac:dyDescent="0.25">
      <c r="A45" s="168">
        <f t="shared" si="19"/>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VLOOKUP(D45,'[5]Bao cao So GDDT'!$D$14:$S$282,11,FALSE)</f>
        <v>Giảng viên GDNN LT (hạng III)</v>
      </c>
      <c r="O45" s="390" t="s">
        <v>1438</v>
      </c>
      <c r="P45" s="172" t="s">
        <v>692</v>
      </c>
      <c r="Q45" s="173">
        <v>5</v>
      </c>
      <c r="R45" s="174">
        <v>4.32</v>
      </c>
      <c r="S45" s="176">
        <f t="shared" si="23"/>
        <v>0.82079999999999997</v>
      </c>
      <c r="T45" s="370"/>
      <c r="U45" s="176">
        <f t="shared" si="24"/>
        <v>0</v>
      </c>
      <c r="V45" s="175">
        <f t="shared" si="25"/>
        <v>0</v>
      </c>
      <c r="W45" s="170"/>
      <c r="X45" s="179">
        <v>0.19</v>
      </c>
      <c r="Y45" s="216">
        <f t="shared" si="26"/>
        <v>0.82079999999999997</v>
      </c>
      <c r="Z45" s="216">
        <f t="shared" si="27"/>
        <v>5.1407999999999996</v>
      </c>
      <c r="AA45" s="180">
        <f t="shared" si="28"/>
        <v>9253440</v>
      </c>
      <c r="AB45" s="180"/>
      <c r="AC45" s="180">
        <f t="shared" si="29"/>
        <v>0</v>
      </c>
      <c r="AD45" s="180">
        <f t="shared" si="22"/>
        <v>0</v>
      </c>
      <c r="AE45" s="180">
        <f t="shared" si="30"/>
        <v>9253440</v>
      </c>
      <c r="AF45" s="178">
        <f t="shared" si="31"/>
        <v>740275.20000000007</v>
      </c>
      <c r="AG45" s="178">
        <f t="shared" si="32"/>
        <v>138801.60000000001</v>
      </c>
      <c r="AH45" s="178">
        <f t="shared" si="33"/>
        <v>92534.400000000009</v>
      </c>
      <c r="AI45" s="178"/>
      <c r="AJ45" s="178">
        <f t="shared" si="34"/>
        <v>971611.20000000007</v>
      </c>
      <c r="AK45" s="181"/>
      <c r="AL45" s="182">
        <f t="shared" si="35"/>
        <v>0</v>
      </c>
      <c r="AM45" s="182"/>
      <c r="AN45" s="182"/>
      <c r="AO45" s="183">
        <f t="shared" si="21"/>
        <v>4.32</v>
      </c>
      <c r="AP45" s="443">
        <v>0.45</v>
      </c>
      <c r="AQ45" s="185">
        <f t="shared" si="36"/>
        <v>1.944</v>
      </c>
      <c r="AR45" s="178">
        <f t="shared" si="37"/>
        <v>3499200</v>
      </c>
      <c r="AS45" s="178"/>
      <c r="AT45" s="178">
        <f t="shared" si="38"/>
        <v>11781029</v>
      </c>
      <c r="AU45" s="469">
        <f t="shared" si="39"/>
        <v>32</v>
      </c>
      <c r="AV45" s="195"/>
      <c r="AW45" s="187" t="s">
        <v>710</v>
      </c>
    </row>
    <row r="46" spans="1:52" s="189" customFormat="1" ht="29.25" customHeight="1" x14ac:dyDescent="0.25">
      <c r="A46" s="168">
        <f t="shared" si="19"/>
        <v>33</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VLOOKUP(D46,'[5]Bao cao So GDDT'!$D$14:$S$282,11,FALSE)</f>
        <v>Giảng viên GDNN LT (hạng III)</v>
      </c>
      <c r="O46" s="390" t="s">
        <v>1438</v>
      </c>
      <c r="P46" s="172" t="s">
        <v>692</v>
      </c>
      <c r="Q46" s="173">
        <v>8</v>
      </c>
      <c r="R46" s="174">
        <v>4.9800000000000004</v>
      </c>
      <c r="S46" s="176">
        <f t="shared" si="23"/>
        <v>1.5128999999999999</v>
      </c>
      <c r="T46" s="370">
        <v>6</v>
      </c>
      <c r="U46" s="176">
        <f t="shared" si="24"/>
        <v>0.29880000000000001</v>
      </c>
      <c r="V46" s="175">
        <f t="shared" si="25"/>
        <v>537840.00000000012</v>
      </c>
      <c r="W46" s="170"/>
      <c r="X46" s="179">
        <v>0.23</v>
      </c>
      <c r="Y46" s="216">
        <f t="shared" si="26"/>
        <v>1.2141</v>
      </c>
      <c r="Z46" s="216">
        <f t="shared" si="27"/>
        <v>6.4928999999999997</v>
      </c>
      <c r="AA46" s="180">
        <f t="shared" si="28"/>
        <v>11687220</v>
      </c>
      <c r="AB46" s="180"/>
      <c r="AC46" s="180">
        <f t="shared" si="29"/>
        <v>0</v>
      </c>
      <c r="AD46" s="180">
        <f t="shared" si="22"/>
        <v>0</v>
      </c>
      <c r="AE46" s="180">
        <f t="shared" si="30"/>
        <v>11687220</v>
      </c>
      <c r="AF46" s="178">
        <f t="shared" si="31"/>
        <v>934977.6</v>
      </c>
      <c r="AG46" s="178">
        <f t="shared" si="32"/>
        <v>175308.3</v>
      </c>
      <c r="AH46" s="178">
        <f t="shared" si="33"/>
        <v>116872.2</v>
      </c>
      <c r="AI46" s="178"/>
      <c r="AJ46" s="178">
        <f t="shared" si="34"/>
        <v>1227158.0999999999</v>
      </c>
      <c r="AK46" s="181"/>
      <c r="AL46" s="182">
        <f t="shared" si="35"/>
        <v>0</v>
      </c>
      <c r="AM46" s="182"/>
      <c r="AN46" s="182"/>
      <c r="AO46" s="183">
        <f t="shared" si="21"/>
        <v>5.2788000000000004</v>
      </c>
      <c r="AP46" s="443">
        <v>0.25</v>
      </c>
      <c r="AQ46" s="185">
        <f t="shared" si="36"/>
        <v>1.3197000000000001</v>
      </c>
      <c r="AR46" s="178">
        <f t="shared" si="37"/>
        <v>2375460</v>
      </c>
      <c r="AS46" s="178"/>
      <c r="AT46" s="178">
        <f t="shared" si="38"/>
        <v>12835522</v>
      </c>
      <c r="AU46" s="469">
        <f t="shared" si="39"/>
        <v>33</v>
      </c>
      <c r="AV46" s="186"/>
      <c r="AW46" s="218" t="s">
        <v>709</v>
      </c>
      <c r="AY46" s="671">
        <f>22*50000</f>
        <v>1100000</v>
      </c>
    </row>
    <row r="47" spans="1:52" s="189" customFormat="1" ht="38.25" customHeight="1" x14ac:dyDescent="0.25">
      <c r="A47" s="168">
        <f t="shared" si="19"/>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VLOOKUP(D47,'[5]Bao cao So GDDT'!$D$14:$S$282,11,FALSE)</f>
        <v>Giảng viên GDNN LT (hạng III)</v>
      </c>
      <c r="O47" s="390" t="s">
        <v>1438</v>
      </c>
      <c r="P47" s="172" t="s">
        <v>692</v>
      </c>
      <c r="Q47" s="173">
        <v>8</v>
      </c>
      <c r="R47" s="174">
        <v>4.9800000000000004</v>
      </c>
      <c r="S47" s="176">
        <f t="shared" si="23"/>
        <v>1.5742</v>
      </c>
      <c r="T47" s="370">
        <v>7</v>
      </c>
      <c r="U47" s="176">
        <f t="shared" si="24"/>
        <v>0.34860000000000002</v>
      </c>
      <c r="V47" s="175">
        <f t="shared" si="25"/>
        <v>627480</v>
      </c>
      <c r="W47" s="170"/>
      <c r="X47" s="179">
        <v>0.23</v>
      </c>
      <c r="Y47" s="216">
        <f t="shared" si="26"/>
        <v>1.2256</v>
      </c>
      <c r="Z47" s="216">
        <f t="shared" si="27"/>
        <v>6.5541999999999998</v>
      </c>
      <c r="AA47" s="180">
        <f t="shared" si="28"/>
        <v>11797560</v>
      </c>
      <c r="AB47" s="180"/>
      <c r="AC47" s="180">
        <f t="shared" si="29"/>
        <v>0</v>
      </c>
      <c r="AD47" s="180">
        <f t="shared" si="22"/>
        <v>0</v>
      </c>
      <c r="AE47" s="180">
        <f t="shared" si="30"/>
        <v>11797560</v>
      </c>
      <c r="AF47" s="178">
        <f t="shared" si="31"/>
        <v>943804.8</v>
      </c>
      <c r="AG47" s="178">
        <f t="shared" si="32"/>
        <v>176963.4</v>
      </c>
      <c r="AH47" s="178">
        <f t="shared" si="33"/>
        <v>117975.6</v>
      </c>
      <c r="AI47" s="178"/>
      <c r="AJ47" s="178">
        <f t="shared" si="34"/>
        <v>1238743.8</v>
      </c>
      <c r="AK47" s="192"/>
      <c r="AL47" s="182">
        <f t="shared" si="35"/>
        <v>0</v>
      </c>
      <c r="AM47" s="182"/>
      <c r="AN47" s="182"/>
      <c r="AO47" s="183">
        <f t="shared" si="21"/>
        <v>5.3286000000000007</v>
      </c>
      <c r="AP47" s="443">
        <v>0.25</v>
      </c>
      <c r="AQ47" s="185">
        <f t="shared" si="36"/>
        <v>1.3322000000000001</v>
      </c>
      <c r="AR47" s="178">
        <f t="shared" si="37"/>
        <v>2397960</v>
      </c>
      <c r="AS47" s="178"/>
      <c r="AT47" s="178">
        <f t="shared" si="38"/>
        <v>12956776</v>
      </c>
      <c r="AU47" s="469">
        <f t="shared" si="39"/>
        <v>34</v>
      </c>
      <c r="AV47" s="186"/>
      <c r="AW47" s="198" t="s">
        <v>709</v>
      </c>
      <c r="AY47" s="671">
        <f>SUM(AY37:AY46)</f>
        <v>93600000</v>
      </c>
    </row>
    <row r="48" spans="1:52" s="189" customFormat="1" ht="31.5" customHeight="1" x14ac:dyDescent="0.25">
      <c r="A48" s="683">
        <f t="shared" si="19"/>
        <v>35</v>
      </c>
      <c r="B48" s="683" t="str">
        <f>VLOOKUP(D48,[1]LuongBC_T01!$B$9:$C$292,2,FALSE)</f>
        <v>0016100006815008</v>
      </c>
      <c r="C48" s="764" t="s">
        <v>858</v>
      </c>
      <c r="D48" s="684" t="s">
        <v>1160</v>
      </c>
      <c r="E48" s="685" t="s">
        <v>1374</v>
      </c>
      <c r="F48" s="684" t="s">
        <v>549</v>
      </c>
      <c r="G48" s="686"/>
      <c r="H48" s="686" t="s">
        <v>283</v>
      </c>
      <c r="I48" s="686" t="s">
        <v>283</v>
      </c>
      <c r="J48" s="684" t="s">
        <v>205</v>
      </c>
      <c r="K48" s="686" t="str">
        <f>VLOOKUP(D48,[2]T3!$B$2:$D$328,3,FALSE)</f>
        <v>021314535</v>
      </c>
      <c r="L48" s="701" t="s">
        <v>525</v>
      </c>
      <c r="M48" s="701" t="s">
        <v>858</v>
      </c>
      <c r="N48" s="685" t="str">
        <f>VLOOKUP(D48,'[5]Bao cao So GDDT'!$D$14:$S$282,11,FALSE)</f>
        <v>Giảng viên GDNN LT (hạng III)</v>
      </c>
      <c r="O48" s="687" t="s">
        <v>1438</v>
      </c>
      <c r="P48" s="688" t="s">
        <v>692</v>
      </c>
      <c r="Q48" s="689">
        <v>9</v>
      </c>
      <c r="R48" s="690">
        <v>4.9800000000000004</v>
      </c>
      <c r="S48" s="691">
        <f t="shared" si="23"/>
        <v>2.6941999999999999</v>
      </c>
      <c r="T48" s="692">
        <v>15</v>
      </c>
      <c r="U48" s="691">
        <f t="shared" si="24"/>
        <v>0.747</v>
      </c>
      <c r="V48" s="693">
        <f t="shared" si="25"/>
        <v>1344600</v>
      </c>
      <c r="W48" s="686"/>
      <c r="X48" s="694">
        <v>0.34</v>
      </c>
      <c r="Y48" s="695">
        <f t="shared" si="26"/>
        <v>1.9472</v>
      </c>
      <c r="Z48" s="695">
        <f t="shared" si="27"/>
        <v>7.6741999999999999</v>
      </c>
      <c r="AA48" s="696">
        <f t="shared" si="28"/>
        <v>13813560</v>
      </c>
      <c r="AB48" s="696"/>
      <c r="AC48" s="696">
        <f t="shared" si="29"/>
        <v>0</v>
      </c>
      <c r="AD48" s="696">
        <f t="shared" si="22"/>
        <v>0</v>
      </c>
      <c r="AE48" s="696">
        <f t="shared" si="30"/>
        <v>13813560</v>
      </c>
      <c r="AF48" s="697">
        <f t="shared" si="31"/>
        <v>1105084.8</v>
      </c>
      <c r="AG48" s="697">
        <f t="shared" si="32"/>
        <v>207203.4</v>
      </c>
      <c r="AH48" s="697">
        <f t="shared" si="33"/>
        <v>138135.6</v>
      </c>
      <c r="AI48" s="697"/>
      <c r="AJ48" s="697">
        <f t="shared" si="34"/>
        <v>1450423.8</v>
      </c>
      <c r="AK48" s="702"/>
      <c r="AL48" s="698">
        <f t="shared" si="35"/>
        <v>0</v>
      </c>
      <c r="AM48" s="698"/>
      <c r="AN48" s="698"/>
      <c r="AO48" s="765">
        <f t="shared" si="21"/>
        <v>5.7270000000000003</v>
      </c>
      <c r="AP48" s="766">
        <v>0.25</v>
      </c>
      <c r="AQ48" s="767">
        <f t="shared" si="36"/>
        <v>1.4318</v>
      </c>
      <c r="AR48" s="697">
        <f t="shared" si="37"/>
        <v>2577240</v>
      </c>
      <c r="AS48" s="697"/>
      <c r="AT48" s="697">
        <f t="shared" si="38"/>
        <v>14940376</v>
      </c>
      <c r="AU48" s="699">
        <f t="shared" si="39"/>
        <v>35</v>
      </c>
      <c r="AV48" s="700"/>
      <c r="AW48" s="187" t="s">
        <v>709</v>
      </c>
    </row>
    <row r="49" spans="1:51" s="189" customFormat="1" ht="31.5" customHeight="1" x14ac:dyDescent="0.25">
      <c r="A49" s="168">
        <f t="shared" si="19"/>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VLOOKUP(D49,'[5]Bao cao So GDDT'!$D$14:$S$282,11,FALSE)</f>
        <v>Giảng viên GDNN LT (hạng III)</v>
      </c>
      <c r="O49" s="390" t="s">
        <v>1438</v>
      </c>
      <c r="P49" s="172" t="s">
        <v>692</v>
      </c>
      <c r="Q49" s="173">
        <v>8</v>
      </c>
      <c r="R49" s="174">
        <v>4.9800000000000004</v>
      </c>
      <c r="S49" s="176">
        <f t="shared" si="23"/>
        <v>1.5656999999999999</v>
      </c>
      <c r="T49" s="370">
        <v>6</v>
      </c>
      <c r="U49" s="176">
        <f t="shared" si="24"/>
        <v>0.29880000000000001</v>
      </c>
      <c r="V49" s="175">
        <f t="shared" si="25"/>
        <v>537840.00000000012</v>
      </c>
      <c r="W49" s="170"/>
      <c r="X49" s="179">
        <v>0.24</v>
      </c>
      <c r="Y49" s="216">
        <f t="shared" si="26"/>
        <v>1.2668999999999999</v>
      </c>
      <c r="Z49" s="216">
        <f t="shared" si="27"/>
        <v>6.5457000000000001</v>
      </c>
      <c r="AA49" s="180">
        <f t="shared" si="28"/>
        <v>11782260</v>
      </c>
      <c r="AB49" s="180"/>
      <c r="AC49" s="180">
        <f t="shared" si="29"/>
        <v>0</v>
      </c>
      <c r="AD49" s="180">
        <f t="shared" si="22"/>
        <v>0</v>
      </c>
      <c r="AE49" s="180">
        <f t="shared" si="30"/>
        <v>11782260</v>
      </c>
      <c r="AF49" s="178">
        <f t="shared" si="31"/>
        <v>942580.8</v>
      </c>
      <c r="AG49" s="178">
        <f t="shared" si="32"/>
        <v>176733.9</v>
      </c>
      <c r="AH49" s="178">
        <f t="shared" si="33"/>
        <v>117822.6</v>
      </c>
      <c r="AI49" s="178"/>
      <c r="AJ49" s="178">
        <f t="shared" si="34"/>
        <v>1237137.3</v>
      </c>
      <c r="AK49" s="192"/>
      <c r="AL49" s="182">
        <f t="shared" si="35"/>
        <v>0</v>
      </c>
      <c r="AM49" s="182"/>
      <c r="AN49" s="182"/>
      <c r="AO49" s="183">
        <f t="shared" si="21"/>
        <v>5.2788000000000004</v>
      </c>
      <c r="AP49" s="443">
        <v>0.25</v>
      </c>
      <c r="AQ49" s="185">
        <f t="shared" si="36"/>
        <v>1.3197000000000001</v>
      </c>
      <c r="AR49" s="178">
        <f t="shared" si="37"/>
        <v>2375460</v>
      </c>
      <c r="AS49" s="178"/>
      <c r="AT49" s="178">
        <f t="shared" si="38"/>
        <v>12920583</v>
      </c>
      <c r="AU49" s="469">
        <f t="shared" si="39"/>
        <v>36</v>
      </c>
      <c r="AV49" s="186"/>
      <c r="AW49" s="219" t="s">
        <v>709</v>
      </c>
      <c r="AY49" s="671">
        <f>56*100000</f>
        <v>5600000</v>
      </c>
    </row>
    <row r="50" spans="1:51" s="191" customFormat="1" ht="29.25" customHeight="1" x14ac:dyDescent="0.25">
      <c r="A50" s="168">
        <f t="shared" si="19"/>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VLOOKUP(D50,'[5]Bao cao So GDDT'!$D$14:$S$282,11,FALSE)</f>
        <v>Giảng viên GDNN LT (hạng III)</v>
      </c>
      <c r="O50" s="390" t="s">
        <v>1438</v>
      </c>
      <c r="P50" s="172" t="s">
        <v>692</v>
      </c>
      <c r="Q50" s="173">
        <v>8</v>
      </c>
      <c r="R50" s="174">
        <v>4.9800000000000004</v>
      </c>
      <c r="S50" s="176">
        <f t="shared" si="23"/>
        <v>1.4517000000000002</v>
      </c>
      <c r="T50" s="370">
        <v>5</v>
      </c>
      <c r="U50" s="176">
        <f t="shared" si="24"/>
        <v>0.249</v>
      </c>
      <c r="V50" s="175">
        <f t="shared" si="25"/>
        <v>448200.00000000006</v>
      </c>
      <c r="W50" s="200"/>
      <c r="X50" s="179">
        <v>0.23</v>
      </c>
      <c r="Y50" s="216">
        <f t="shared" si="26"/>
        <v>1.2027000000000001</v>
      </c>
      <c r="Z50" s="216">
        <f t="shared" si="27"/>
        <v>6.4317000000000002</v>
      </c>
      <c r="AA50" s="180">
        <f t="shared" si="28"/>
        <v>11577060</v>
      </c>
      <c r="AB50" s="180"/>
      <c r="AC50" s="180">
        <f t="shared" si="29"/>
        <v>0</v>
      </c>
      <c r="AD50" s="180">
        <f t="shared" si="22"/>
        <v>0</v>
      </c>
      <c r="AE50" s="180">
        <f t="shared" si="30"/>
        <v>11577060</v>
      </c>
      <c r="AF50" s="178">
        <f t="shared" si="31"/>
        <v>926164.8</v>
      </c>
      <c r="AG50" s="178">
        <f t="shared" si="32"/>
        <v>173655.9</v>
      </c>
      <c r="AH50" s="178">
        <f t="shared" si="33"/>
        <v>115770.6</v>
      </c>
      <c r="AI50" s="178"/>
      <c r="AJ50" s="178">
        <f t="shared" si="34"/>
        <v>1215591.3</v>
      </c>
      <c r="AK50" s="181"/>
      <c r="AL50" s="182">
        <f t="shared" si="35"/>
        <v>0</v>
      </c>
      <c r="AM50" s="182"/>
      <c r="AN50" s="182"/>
      <c r="AO50" s="183">
        <f t="shared" si="21"/>
        <v>5.2290000000000001</v>
      </c>
      <c r="AP50" s="443">
        <v>0.25</v>
      </c>
      <c r="AQ50" s="185">
        <f t="shared" si="36"/>
        <v>1.3072999999999999</v>
      </c>
      <c r="AR50" s="178">
        <f t="shared" si="37"/>
        <v>2353140</v>
      </c>
      <c r="AS50" s="178"/>
      <c r="AT50" s="178">
        <f t="shared" si="38"/>
        <v>12714609</v>
      </c>
      <c r="AU50" s="469">
        <f t="shared" si="39"/>
        <v>37</v>
      </c>
      <c r="AV50" s="186"/>
      <c r="AW50" s="187" t="s">
        <v>709</v>
      </c>
    </row>
    <row r="51" spans="1:51" s="191" customFormat="1" ht="31.5" customHeight="1" x14ac:dyDescent="0.25">
      <c r="A51" s="168">
        <f t="shared" si="19"/>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VLOOKUP(D51,'[5]Bao cao So GDDT'!$D$14:$S$282,11,FALSE)</f>
        <v>Giảng viên GDNN LT (hạng III)</v>
      </c>
      <c r="O51" s="667" t="s">
        <v>1438</v>
      </c>
      <c r="P51" s="172" t="s">
        <v>697</v>
      </c>
      <c r="Q51" s="173">
        <v>10</v>
      </c>
      <c r="R51" s="174">
        <v>4.9800000000000004</v>
      </c>
      <c r="S51" s="176">
        <f t="shared" si="23"/>
        <v>2.0865999999999998</v>
      </c>
      <c r="T51" s="370">
        <v>10</v>
      </c>
      <c r="U51" s="176">
        <f t="shared" si="24"/>
        <v>0.498</v>
      </c>
      <c r="V51" s="175">
        <f t="shared" si="25"/>
        <v>896400.00000000012</v>
      </c>
      <c r="W51" s="170"/>
      <c r="X51" s="179">
        <v>0.28999999999999998</v>
      </c>
      <c r="Y51" s="216">
        <f t="shared" si="26"/>
        <v>1.5886</v>
      </c>
      <c r="Z51" s="216">
        <f t="shared" si="27"/>
        <v>7.0666000000000002</v>
      </c>
      <c r="AA51" s="180">
        <f t="shared" si="28"/>
        <v>12719880</v>
      </c>
      <c r="AB51" s="180"/>
      <c r="AC51" s="180">
        <f t="shared" si="29"/>
        <v>0</v>
      </c>
      <c r="AD51" s="180">
        <f t="shared" si="22"/>
        <v>0</v>
      </c>
      <c r="AE51" s="180">
        <f t="shared" si="30"/>
        <v>12719880</v>
      </c>
      <c r="AF51" s="178">
        <f t="shared" si="31"/>
        <v>1017590.4</v>
      </c>
      <c r="AG51" s="178">
        <f t="shared" si="32"/>
        <v>190798.19999999998</v>
      </c>
      <c r="AH51" s="178">
        <f t="shared" si="33"/>
        <v>127198.8</v>
      </c>
      <c r="AI51" s="178"/>
      <c r="AJ51" s="178">
        <f t="shared" si="34"/>
        <v>1335587.4000000001</v>
      </c>
      <c r="AK51" s="181"/>
      <c r="AL51" s="182">
        <f t="shared" si="35"/>
        <v>0</v>
      </c>
      <c r="AM51" s="182"/>
      <c r="AN51" s="182"/>
      <c r="AO51" s="183">
        <f t="shared" si="21"/>
        <v>5.4780000000000006</v>
      </c>
      <c r="AP51" s="443">
        <v>0.25</v>
      </c>
      <c r="AQ51" s="185">
        <f t="shared" si="36"/>
        <v>1.3694999999999999</v>
      </c>
      <c r="AR51" s="178">
        <f t="shared" si="37"/>
        <v>2465100</v>
      </c>
      <c r="AS51" s="178"/>
      <c r="AT51" s="178">
        <f t="shared" si="38"/>
        <v>13849393</v>
      </c>
      <c r="AU51" s="469">
        <f t="shared" si="39"/>
        <v>38</v>
      </c>
      <c r="AV51" s="195"/>
      <c r="AW51" s="244" t="s">
        <v>730</v>
      </c>
    </row>
    <row r="52" spans="1:51" s="191" customFormat="1" ht="37.5" customHeight="1" x14ac:dyDescent="0.25">
      <c r="A52" s="168">
        <f t="shared" si="19"/>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VLOOKUP(D52,'[5]Bao cao So GDDT'!$D$14:$S$282,11,FALSE)</f>
        <v>Giảng viên GDNN LT (hạng III)</v>
      </c>
      <c r="O52" s="390" t="s">
        <v>1438</v>
      </c>
      <c r="P52" s="172" t="s">
        <v>692</v>
      </c>
      <c r="Q52" s="173">
        <v>8</v>
      </c>
      <c r="R52" s="174">
        <v>4.9800000000000004</v>
      </c>
      <c r="S52" s="176">
        <f t="shared" si="23"/>
        <v>1.2545000000000002</v>
      </c>
      <c r="T52" s="370">
        <v>7</v>
      </c>
      <c r="U52" s="176">
        <f t="shared" si="24"/>
        <v>0.34860000000000002</v>
      </c>
      <c r="V52" s="175">
        <f t="shared" si="25"/>
        <v>627480</v>
      </c>
      <c r="W52" s="200"/>
      <c r="X52" s="179">
        <v>0.17</v>
      </c>
      <c r="Y52" s="216">
        <f t="shared" si="26"/>
        <v>0.90590000000000004</v>
      </c>
      <c r="Z52" s="216">
        <f t="shared" si="27"/>
        <v>6.2344999999999997</v>
      </c>
      <c r="AA52" s="180">
        <f t="shared" si="28"/>
        <v>11222100</v>
      </c>
      <c r="AB52" s="180"/>
      <c r="AC52" s="180">
        <f t="shared" si="29"/>
        <v>0</v>
      </c>
      <c r="AD52" s="180">
        <f t="shared" si="22"/>
        <v>0</v>
      </c>
      <c r="AE52" s="180">
        <f t="shared" si="30"/>
        <v>11222100</v>
      </c>
      <c r="AF52" s="178">
        <f t="shared" si="31"/>
        <v>897768</v>
      </c>
      <c r="AG52" s="178">
        <f t="shared" si="32"/>
        <v>168331.5</v>
      </c>
      <c r="AH52" s="178">
        <f t="shared" si="33"/>
        <v>112221</v>
      </c>
      <c r="AI52" s="178"/>
      <c r="AJ52" s="178">
        <f t="shared" si="34"/>
        <v>1178320.5</v>
      </c>
      <c r="AK52" s="181"/>
      <c r="AL52" s="182">
        <f t="shared" si="35"/>
        <v>0</v>
      </c>
      <c r="AM52" s="182"/>
      <c r="AN52" s="182"/>
      <c r="AO52" s="183">
        <f t="shared" si="21"/>
        <v>5.3286000000000007</v>
      </c>
      <c r="AP52" s="246">
        <v>0.25</v>
      </c>
      <c r="AQ52" s="185">
        <f t="shared" si="36"/>
        <v>1.3322000000000001</v>
      </c>
      <c r="AR52" s="178">
        <f t="shared" si="37"/>
        <v>2397960</v>
      </c>
      <c r="AS52" s="178"/>
      <c r="AT52" s="178">
        <f t="shared" si="38"/>
        <v>12441740</v>
      </c>
      <c r="AU52" s="469">
        <f t="shared" si="39"/>
        <v>39</v>
      </c>
      <c r="AV52" s="186"/>
      <c r="AW52" s="198" t="s">
        <v>709</v>
      </c>
    </row>
    <row r="53" spans="1:51" s="189" customFormat="1" ht="33.75" customHeight="1" x14ac:dyDescent="0.25">
      <c r="A53" s="168">
        <f t="shared" si="19"/>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VLOOKUP(D53,'[5]Bao cao So GDDT'!$D$14:$S$282,11,FALSE)</f>
        <v>Giảng viên GDNN LT (hạng III)</v>
      </c>
      <c r="O53" s="667" t="s">
        <v>1438</v>
      </c>
      <c r="P53" s="172" t="s">
        <v>692</v>
      </c>
      <c r="Q53" s="173">
        <v>9</v>
      </c>
      <c r="R53" s="174">
        <v>4.9800000000000004</v>
      </c>
      <c r="S53" s="176">
        <f t="shared" si="23"/>
        <v>2.3167</v>
      </c>
      <c r="T53" s="370">
        <v>11</v>
      </c>
      <c r="U53" s="176">
        <f t="shared" si="24"/>
        <v>0.54779999999999995</v>
      </c>
      <c r="V53" s="175">
        <f t="shared" si="25"/>
        <v>986040</v>
      </c>
      <c r="W53" s="170"/>
      <c r="X53" s="179">
        <v>0.32</v>
      </c>
      <c r="Y53" s="216">
        <f t="shared" si="26"/>
        <v>1.7688999999999999</v>
      </c>
      <c r="Z53" s="216">
        <f t="shared" si="27"/>
        <v>7.2967000000000004</v>
      </c>
      <c r="AA53" s="180">
        <f t="shared" si="28"/>
        <v>13134060</v>
      </c>
      <c r="AB53" s="180"/>
      <c r="AC53" s="180">
        <f t="shared" si="29"/>
        <v>0</v>
      </c>
      <c r="AD53" s="180">
        <f t="shared" si="22"/>
        <v>0</v>
      </c>
      <c r="AE53" s="180">
        <f t="shared" si="30"/>
        <v>13134060</v>
      </c>
      <c r="AF53" s="178">
        <f t="shared" si="31"/>
        <v>1050724.8</v>
      </c>
      <c r="AG53" s="178">
        <f t="shared" si="32"/>
        <v>197010.9</v>
      </c>
      <c r="AH53" s="178">
        <f t="shared" si="33"/>
        <v>131340.6</v>
      </c>
      <c r="AI53" s="178"/>
      <c r="AJ53" s="178">
        <f t="shared" si="34"/>
        <v>1379076.3</v>
      </c>
      <c r="AK53" s="192"/>
      <c r="AL53" s="182">
        <f t="shared" si="35"/>
        <v>0</v>
      </c>
      <c r="AM53" s="182"/>
      <c r="AN53" s="182"/>
      <c r="AO53" s="183">
        <f t="shared" si="21"/>
        <v>5.5278</v>
      </c>
      <c r="AP53" s="246">
        <v>0.25</v>
      </c>
      <c r="AQ53" s="185">
        <f t="shared" si="36"/>
        <v>1.3819999999999999</v>
      </c>
      <c r="AR53" s="178">
        <f t="shared" si="37"/>
        <v>2487600</v>
      </c>
      <c r="AS53" s="178"/>
      <c r="AT53" s="178">
        <f t="shared" si="38"/>
        <v>14242584</v>
      </c>
      <c r="AU53" s="469">
        <f t="shared" si="39"/>
        <v>40</v>
      </c>
      <c r="AV53" s="195"/>
      <c r="AW53" s="198" t="s">
        <v>705</v>
      </c>
    </row>
    <row r="54" spans="1:51" s="189" customFormat="1" ht="33.75" customHeight="1" x14ac:dyDescent="0.25">
      <c r="A54" s="168">
        <f t="shared" si="19"/>
        <v>41</v>
      </c>
      <c r="B54" s="168" t="str">
        <f>VLOOKUP(D54,[1]LuongBC_T01!$B$9:$C$292,2,FALSE)</f>
        <v>0016100006592001</v>
      </c>
      <c r="C54" s="361" t="s">
        <v>849</v>
      </c>
      <c r="D54" s="169" t="s">
        <v>1151</v>
      </c>
      <c r="E54" s="263" t="s">
        <v>1603</v>
      </c>
      <c r="F54" s="169" t="s">
        <v>549</v>
      </c>
      <c r="G54" s="170"/>
      <c r="H54" s="170" t="s">
        <v>283</v>
      </c>
      <c r="I54" s="170" t="s">
        <v>282</v>
      </c>
      <c r="J54" s="169" t="s">
        <v>199</v>
      </c>
      <c r="K54" s="170" t="str">
        <f>VLOOKUP(D54,[2]T3!$B$2:$D$328,3,FALSE)</f>
        <v>024257826</v>
      </c>
      <c r="L54" s="171" t="s">
        <v>82</v>
      </c>
      <c r="M54" s="171" t="s">
        <v>849</v>
      </c>
      <c r="N54" s="263" t="str">
        <f>VLOOKUP(D54,'[5]Bao cao So GDDT'!$D$14:$S$282,11,FALSE)</f>
        <v>Giảng viên GDNN LT (hạng III)</v>
      </c>
      <c r="O54" s="390" t="s">
        <v>1438</v>
      </c>
      <c r="P54" s="172" t="s">
        <v>692</v>
      </c>
      <c r="Q54" s="173">
        <v>6</v>
      </c>
      <c r="R54" s="174">
        <v>4.6500000000000004</v>
      </c>
      <c r="S54" s="176">
        <f t="shared" si="23"/>
        <v>1.8779999999999999</v>
      </c>
      <c r="T54" s="370"/>
      <c r="U54" s="176">
        <f t="shared" si="24"/>
        <v>0</v>
      </c>
      <c r="V54" s="175">
        <f t="shared" si="25"/>
        <v>0</v>
      </c>
      <c r="W54" s="170">
        <v>0.45</v>
      </c>
      <c r="X54" s="179">
        <v>0.28000000000000003</v>
      </c>
      <c r="Y54" s="216">
        <f t="shared" si="26"/>
        <v>1.4279999999999999</v>
      </c>
      <c r="Z54" s="216">
        <f t="shared" si="27"/>
        <v>6.5279999999999996</v>
      </c>
      <c r="AA54" s="180">
        <f t="shared" si="28"/>
        <v>11750400</v>
      </c>
      <c r="AB54" s="180"/>
      <c r="AC54" s="180">
        <f t="shared" si="29"/>
        <v>0</v>
      </c>
      <c r="AD54" s="180">
        <f t="shared" si="22"/>
        <v>0</v>
      </c>
      <c r="AE54" s="180">
        <f t="shared" si="30"/>
        <v>11750400</v>
      </c>
      <c r="AF54" s="178">
        <f t="shared" si="31"/>
        <v>940032</v>
      </c>
      <c r="AG54" s="178">
        <f t="shared" si="32"/>
        <v>176256</v>
      </c>
      <c r="AH54" s="178">
        <f t="shared" si="33"/>
        <v>117504</v>
      </c>
      <c r="AI54" s="178"/>
      <c r="AJ54" s="178">
        <f t="shared" si="34"/>
        <v>1233792</v>
      </c>
      <c r="AK54" s="192"/>
      <c r="AL54" s="182">
        <f t="shared" si="35"/>
        <v>0</v>
      </c>
      <c r="AM54" s="182"/>
      <c r="AN54" s="182"/>
      <c r="AO54" s="183">
        <f t="shared" si="21"/>
        <v>5.1000000000000005</v>
      </c>
      <c r="AP54" s="443">
        <v>0.25</v>
      </c>
      <c r="AQ54" s="185">
        <f t="shared" si="36"/>
        <v>1.2749999999999999</v>
      </c>
      <c r="AR54" s="178">
        <f t="shared" si="37"/>
        <v>2295000</v>
      </c>
      <c r="AS54" s="178"/>
      <c r="AT54" s="178">
        <f t="shared" si="38"/>
        <v>12811608</v>
      </c>
      <c r="AU54" s="469">
        <f t="shared" si="39"/>
        <v>41</v>
      </c>
      <c r="AV54" s="195"/>
      <c r="AW54" s="198" t="s">
        <v>704</v>
      </c>
    </row>
    <row r="55" spans="1:51" s="191" customFormat="1" ht="33.75" customHeight="1" x14ac:dyDescent="0.25">
      <c r="A55" s="683">
        <f t="shared" si="19"/>
        <v>42</v>
      </c>
      <c r="B55" s="683" t="str">
        <f>VLOOKUP(D55,[1]LuongBC_T01!$B$9:$C$292,2,FALSE)</f>
        <v>0016100006660007</v>
      </c>
      <c r="C55" s="764" t="s">
        <v>844</v>
      </c>
      <c r="D55" s="684" t="s">
        <v>1146</v>
      </c>
      <c r="E55" s="685" t="s">
        <v>1396</v>
      </c>
      <c r="F55" s="684" t="s">
        <v>549</v>
      </c>
      <c r="G55" s="686"/>
      <c r="H55" s="686" t="s">
        <v>283</v>
      </c>
      <c r="I55" s="686" t="s">
        <v>281</v>
      </c>
      <c r="J55" s="684" t="s">
        <v>186</v>
      </c>
      <c r="K55" s="683" t="s">
        <v>1355</v>
      </c>
      <c r="L55" s="701" t="s">
        <v>73</v>
      </c>
      <c r="M55" s="701" t="s">
        <v>844</v>
      </c>
      <c r="N55" s="685" t="str">
        <f>VLOOKUP(D55,'[5]Bao cao So GDDT'!$D$14:$S$282,11,FALSE)</f>
        <v>Giảng viên GDNN LT (hạng III)</v>
      </c>
      <c r="O55" s="687" t="s">
        <v>1438</v>
      </c>
      <c r="P55" s="688" t="s">
        <v>692</v>
      </c>
      <c r="Q55" s="689">
        <v>9</v>
      </c>
      <c r="R55" s="690">
        <v>4.9800000000000004</v>
      </c>
      <c r="S55" s="691">
        <f t="shared" si="23"/>
        <v>3.2298999999999998</v>
      </c>
      <c r="T55" s="692">
        <v>16</v>
      </c>
      <c r="U55" s="691">
        <f t="shared" si="24"/>
        <v>0.79679999999999995</v>
      </c>
      <c r="V55" s="693">
        <f t="shared" si="25"/>
        <v>1434240</v>
      </c>
      <c r="W55" s="686">
        <v>0.35</v>
      </c>
      <c r="X55" s="694">
        <v>0.34</v>
      </c>
      <c r="Y55" s="695">
        <f t="shared" si="26"/>
        <v>2.0831</v>
      </c>
      <c r="Z55" s="695">
        <f t="shared" si="27"/>
        <v>8.2098999999999993</v>
      </c>
      <c r="AA55" s="696">
        <f t="shared" si="28"/>
        <v>14777820</v>
      </c>
      <c r="AB55" s="696"/>
      <c r="AC55" s="696">
        <f t="shared" si="29"/>
        <v>0</v>
      </c>
      <c r="AD55" s="696">
        <f t="shared" si="22"/>
        <v>0</v>
      </c>
      <c r="AE55" s="696">
        <f t="shared" si="30"/>
        <v>14777820</v>
      </c>
      <c r="AF55" s="697">
        <f t="shared" si="31"/>
        <v>1182225.6000000001</v>
      </c>
      <c r="AG55" s="697">
        <f t="shared" si="32"/>
        <v>221667.3</v>
      </c>
      <c r="AH55" s="697">
        <f t="shared" si="33"/>
        <v>147778.20000000001</v>
      </c>
      <c r="AI55" s="697"/>
      <c r="AJ55" s="697">
        <f t="shared" si="34"/>
        <v>1551671.1</v>
      </c>
      <c r="AK55" s="702"/>
      <c r="AL55" s="698">
        <f t="shared" si="35"/>
        <v>0</v>
      </c>
      <c r="AM55" s="698"/>
      <c r="AN55" s="698"/>
      <c r="AO55" s="765">
        <f t="shared" si="21"/>
        <v>6.1268000000000002</v>
      </c>
      <c r="AP55" s="766">
        <v>0.25</v>
      </c>
      <c r="AQ55" s="767">
        <f t="shared" si="36"/>
        <v>1.5317000000000001</v>
      </c>
      <c r="AR55" s="697">
        <f t="shared" si="37"/>
        <v>2757060</v>
      </c>
      <c r="AS55" s="697"/>
      <c r="AT55" s="697">
        <f t="shared" si="38"/>
        <v>15983209</v>
      </c>
      <c r="AU55" s="699">
        <f t="shared" si="39"/>
        <v>42</v>
      </c>
      <c r="AV55" s="700"/>
      <c r="AW55" s="198" t="s">
        <v>285</v>
      </c>
    </row>
    <row r="56" spans="1:51" s="189" customFormat="1" ht="34.5" customHeight="1" x14ac:dyDescent="0.25">
      <c r="A56" s="168">
        <f t="shared" si="19"/>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VLOOKUP(D56,'[5]Bao cao So GDDT'!$D$14:$S$282,11,FALSE)</f>
        <v>Giảng viên GDNN LT (hạng III)</v>
      </c>
      <c r="O56" s="390" t="s">
        <v>1438</v>
      </c>
      <c r="P56" s="172" t="s">
        <v>692</v>
      </c>
      <c r="Q56" s="173">
        <v>9</v>
      </c>
      <c r="R56" s="174">
        <v>4.9800000000000004</v>
      </c>
      <c r="S56" s="176">
        <f t="shared" si="23"/>
        <v>2.1804999999999999</v>
      </c>
      <c r="T56" s="370">
        <v>8</v>
      </c>
      <c r="U56" s="176">
        <f t="shared" si="24"/>
        <v>0.39839999999999998</v>
      </c>
      <c r="V56" s="175">
        <f t="shared" si="25"/>
        <v>717120</v>
      </c>
      <c r="W56" s="170">
        <v>0.35</v>
      </c>
      <c r="X56" s="179">
        <v>0.25</v>
      </c>
      <c r="Y56" s="216">
        <f t="shared" si="26"/>
        <v>1.4320999999999999</v>
      </c>
      <c r="Z56" s="216">
        <f t="shared" si="27"/>
        <v>7.1604999999999999</v>
      </c>
      <c r="AA56" s="180">
        <f t="shared" si="28"/>
        <v>12888900</v>
      </c>
      <c r="AB56" s="180"/>
      <c r="AC56" s="180">
        <f t="shared" si="29"/>
        <v>0</v>
      </c>
      <c r="AD56" s="180">
        <f t="shared" si="22"/>
        <v>0</v>
      </c>
      <c r="AE56" s="180">
        <f t="shared" si="30"/>
        <v>12888900</v>
      </c>
      <c r="AF56" s="178">
        <f t="shared" si="31"/>
        <v>1031112</v>
      </c>
      <c r="AG56" s="178">
        <f t="shared" si="32"/>
        <v>193333.5</v>
      </c>
      <c r="AH56" s="178">
        <f t="shared" si="33"/>
        <v>128889</v>
      </c>
      <c r="AI56" s="178"/>
      <c r="AJ56" s="178">
        <f t="shared" si="34"/>
        <v>1353334.5</v>
      </c>
      <c r="AK56" s="192"/>
      <c r="AL56" s="182">
        <f t="shared" si="35"/>
        <v>0</v>
      </c>
      <c r="AM56" s="182"/>
      <c r="AN56" s="182"/>
      <c r="AO56" s="183">
        <f t="shared" si="21"/>
        <v>5.7283999999999997</v>
      </c>
      <c r="AP56" s="443">
        <v>0.25</v>
      </c>
      <c r="AQ56" s="185">
        <f t="shared" si="36"/>
        <v>1.4320999999999999</v>
      </c>
      <c r="AR56" s="178">
        <f t="shared" si="37"/>
        <v>2577780</v>
      </c>
      <c r="AS56" s="178"/>
      <c r="AT56" s="178">
        <f t="shared" si="38"/>
        <v>14113346</v>
      </c>
      <c r="AU56" s="469">
        <f t="shared" si="39"/>
        <v>43</v>
      </c>
      <c r="AV56" s="195"/>
      <c r="AW56" s="198" t="s">
        <v>704</v>
      </c>
    </row>
    <row r="57" spans="1:51" s="189" customFormat="1" ht="29.25" customHeight="1" x14ac:dyDescent="0.25">
      <c r="A57" s="168">
        <f t="shared" si="19"/>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VLOOKUP(D57,'[5]Bao cao So GDDT'!$D$14:$S$282,11,FALSE)</f>
        <v>Giảng viên GDNN LT (hạng III)</v>
      </c>
      <c r="O57" s="390" t="s">
        <v>1438</v>
      </c>
      <c r="P57" s="172" t="s">
        <v>692</v>
      </c>
      <c r="Q57" s="173">
        <v>8</v>
      </c>
      <c r="R57" s="174">
        <v>4.9800000000000004</v>
      </c>
      <c r="S57" s="176">
        <f t="shared" si="23"/>
        <v>1.5128999999999999</v>
      </c>
      <c r="T57" s="370">
        <v>6</v>
      </c>
      <c r="U57" s="176">
        <f t="shared" si="24"/>
        <v>0.29880000000000001</v>
      </c>
      <c r="V57" s="175">
        <f t="shared" si="25"/>
        <v>537840.00000000012</v>
      </c>
      <c r="W57" s="170"/>
      <c r="X57" s="179">
        <v>0.23</v>
      </c>
      <c r="Y57" s="216">
        <f t="shared" si="26"/>
        <v>1.2141</v>
      </c>
      <c r="Z57" s="216">
        <f t="shared" si="27"/>
        <v>6.4928999999999997</v>
      </c>
      <c r="AA57" s="180">
        <f t="shared" si="28"/>
        <v>11687220</v>
      </c>
      <c r="AB57" s="180"/>
      <c r="AC57" s="180">
        <f t="shared" si="29"/>
        <v>0</v>
      </c>
      <c r="AD57" s="180">
        <f t="shared" si="22"/>
        <v>0</v>
      </c>
      <c r="AE57" s="180">
        <f t="shared" si="30"/>
        <v>11687220</v>
      </c>
      <c r="AF57" s="178">
        <f t="shared" si="31"/>
        <v>934977.6</v>
      </c>
      <c r="AG57" s="178">
        <f t="shared" si="32"/>
        <v>175308.3</v>
      </c>
      <c r="AH57" s="178">
        <f t="shared" si="33"/>
        <v>116872.2</v>
      </c>
      <c r="AI57" s="178"/>
      <c r="AJ57" s="178">
        <f t="shared" si="34"/>
        <v>1227158.0999999999</v>
      </c>
      <c r="AK57" s="181"/>
      <c r="AL57" s="182">
        <f t="shared" si="35"/>
        <v>0</v>
      </c>
      <c r="AM57" s="182"/>
      <c r="AN57" s="182"/>
      <c r="AO57" s="183">
        <f t="shared" si="21"/>
        <v>5.2788000000000004</v>
      </c>
      <c r="AP57" s="443">
        <v>0.25</v>
      </c>
      <c r="AQ57" s="185">
        <f t="shared" si="36"/>
        <v>1.3197000000000001</v>
      </c>
      <c r="AR57" s="178">
        <f t="shared" si="37"/>
        <v>2375460</v>
      </c>
      <c r="AS57" s="178"/>
      <c r="AT57" s="178">
        <f t="shared" si="38"/>
        <v>12835522</v>
      </c>
      <c r="AU57" s="469">
        <f t="shared" si="39"/>
        <v>44</v>
      </c>
      <c r="AV57" s="186"/>
      <c r="AW57" s="218" t="s">
        <v>704</v>
      </c>
      <c r="AY57" s="671">
        <f>44*200000</f>
        <v>8800000</v>
      </c>
    </row>
    <row r="58" spans="1:51" s="189" customFormat="1" ht="30" customHeight="1" x14ac:dyDescent="0.25">
      <c r="A58" s="683">
        <f t="shared" si="19"/>
        <v>45</v>
      </c>
      <c r="B58" s="683" t="s">
        <v>1263</v>
      </c>
      <c r="C58" s="764" t="s">
        <v>870</v>
      </c>
      <c r="D58" s="684" t="s">
        <v>1159</v>
      </c>
      <c r="E58" s="685" t="s">
        <v>1392</v>
      </c>
      <c r="F58" s="684" t="s">
        <v>549</v>
      </c>
      <c r="G58" s="686"/>
      <c r="H58" s="686" t="s">
        <v>283</v>
      </c>
      <c r="I58" s="686" t="s">
        <v>283</v>
      </c>
      <c r="J58" s="684" t="s">
        <v>209</v>
      </c>
      <c r="K58" s="686" t="str">
        <f>VLOOKUP(D58,[2]T3!$B$2:$D$328,3,FALSE)</f>
        <v>022209365</v>
      </c>
      <c r="L58" s="701" t="s">
        <v>76</v>
      </c>
      <c r="M58" s="701" t="s">
        <v>870</v>
      </c>
      <c r="N58" s="685" t="str">
        <f>VLOOKUP(D58,'[5]Bao cao So GDDT'!$D$14:$S$282,11,FALSE)</f>
        <v>Giảng viên GDNN LT (hạng III)</v>
      </c>
      <c r="O58" s="687" t="s">
        <v>1438</v>
      </c>
      <c r="P58" s="688" t="s">
        <v>692</v>
      </c>
      <c r="Q58" s="689">
        <v>8</v>
      </c>
      <c r="R58" s="690">
        <v>4.9800000000000004</v>
      </c>
      <c r="S58" s="691">
        <f t="shared" si="23"/>
        <v>1.5656999999999999</v>
      </c>
      <c r="T58" s="692">
        <v>6</v>
      </c>
      <c r="U58" s="691">
        <f t="shared" si="24"/>
        <v>0.29880000000000001</v>
      </c>
      <c r="V58" s="693">
        <f t="shared" si="25"/>
        <v>537840.00000000012</v>
      </c>
      <c r="W58" s="686"/>
      <c r="X58" s="694">
        <v>0.24</v>
      </c>
      <c r="Y58" s="695">
        <f t="shared" si="26"/>
        <v>1.2668999999999999</v>
      </c>
      <c r="Z58" s="695">
        <f t="shared" si="27"/>
        <v>6.5457000000000001</v>
      </c>
      <c r="AA58" s="696">
        <f t="shared" si="28"/>
        <v>11782260</v>
      </c>
      <c r="AB58" s="696"/>
      <c r="AC58" s="696">
        <f t="shared" si="29"/>
        <v>0</v>
      </c>
      <c r="AD58" s="696">
        <f t="shared" si="22"/>
        <v>0</v>
      </c>
      <c r="AE58" s="696">
        <f t="shared" si="30"/>
        <v>11782260</v>
      </c>
      <c r="AF58" s="697">
        <f t="shared" si="31"/>
        <v>942580.8</v>
      </c>
      <c r="AG58" s="697">
        <f t="shared" si="32"/>
        <v>176733.9</v>
      </c>
      <c r="AH58" s="697">
        <f t="shared" si="33"/>
        <v>117822.6</v>
      </c>
      <c r="AI58" s="697"/>
      <c r="AJ58" s="697">
        <f t="shared" si="34"/>
        <v>1237137.3</v>
      </c>
      <c r="AK58" s="702"/>
      <c r="AL58" s="698">
        <f t="shared" si="35"/>
        <v>0</v>
      </c>
      <c r="AM58" s="698"/>
      <c r="AN58" s="698"/>
      <c r="AO58" s="765">
        <f t="shared" si="21"/>
        <v>5.2788000000000004</v>
      </c>
      <c r="AP58" s="766">
        <v>0.25</v>
      </c>
      <c r="AQ58" s="767">
        <f t="shared" si="36"/>
        <v>1.3197000000000001</v>
      </c>
      <c r="AR58" s="697">
        <f t="shared" si="37"/>
        <v>2375460</v>
      </c>
      <c r="AS58" s="697"/>
      <c r="AT58" s="697">
        <f t="shared" si="38"/>
        <v>12920583</v>
      </c>
      <c r="AU58" s="699">
        <f t="shared" si="39"/>
        <v>45</v>
      </c>
      <c r="AV58" s="1034"/>
      <c r="AW58" s="187" t="s">
        <v>704</v>
      </c>
    </row>
    <row r="59" spans="1:51" s="189" customFormat="1" ht="30" customHeight="1" x14ac:dyDescent="0.25">
      <c r="A59" s="168">
        <f t="shared" si="19"/>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VLOOKUP(D59,'[5]Bao cao So GDDT'!$D$14:$S$282,11,FALSE)</f>
        <v>Giảng viên GDNN LT (hạng III)</v>
      </c>
      <c r="O59" s="390" t="s">
        <v>1438</v>
      </c>
      <c r="P59" s="172" t="s">
        <v>692</v>
      </c>
      <c r="Q59" s="173">
        <v>6</v>
      </c>
      <c r="R59" s="174">
        <v>4.6500000000000004</v>
      </c>
      <c r="S59" s="176">
        <f t="shared" si="23"/>
        <v>0.97650000000000003</v>
      </c>
      <c r="T59" s="370"/>
      <c r="U59" s="176">
        <f t="shared" si="24"/>
        <v>0</v>
      </c>
      <c r="V59" s="175">
        <f t="shared" si="25"/>
        <v>0</v>
      </c>
      <c r="W59" s="170"/>
      <c r="X59" s="179">
        <v>0.21</v>
      </c>
      <c r="Y59" s="216">
        <f t="shared" si="26"/>
        <v>0.97650000000000003</v>
      </c>
      <c r="Z59" s="216">
        <f t="shared" si="27"/>
        <v>5.6265000000000001</v>
      </c>
      <c r="AA59" s="180">
        <f t="shared" si="28"/>
        <v>10127700</v>
      </c>
      <c r="AB59" s="180"/>
      <c r="AC59" s="180">
        <f t="shared" si="29"/>
        <v>0</v>
      </c>
      <c r="AD59" s="180">
        <f t="shared" si="22"/>
        <v>0</v>
      </c>
      <c r="AE59" s="180">
        <f t="shared" si="30"/>
        <v>10127700</v>
      </c>
      <c r="AF59" s="178">
        <f t="shared" si="31"/>
        <v>810216</v>
      </c>
      <c r="AG59" s="178">
        <f t="shared" si="32"/>
        <v>151915.5</v>
      </c>
      <c r="AH59" s="178">
        <f t="shared" si="33"/>
        <v>101277</v>
      </c>
      <c r="AI59" s="178"/>
      <c r="AJ59" s="178">
        <f t="shared" si="34"/>
        <v>1063408.5</v>
      </c>
      <c r="AK59" s="192"/>
      <c r="AL59" s="182">
        <f t="shared" si="35"/>
        <v>0</v>
      </c>
      <c r="AM59" s="182"/>
      <c r="AN59" s="182"/>
      <c r="AO59" s="183">
        <f t="shared" si="21"/>
        <v>4.6500000000000004</v>
      </c>
      <c r="AP59" s="443">
        <v>0.25</v>
      </c>
      <c r="AQ59" s="185">
        <f t="shared" si="36"/>
        <v>1.1625000000000001</v>
      </c>
      <c r="AR59" s="178">
        <f t="shared" si="37"/>
        <v>2092500</v>
      </c>
      <c r="AS59" s="178"/>
      <c r="AT59" s="178">
        <f t="shared" si="38"/>
        <v>11156792</v>
      </c>
      <c r="AU59" s="469">
        <f t="shared" si="39"/>
        <v>46</v>
      </c>
      <c r="AV59" s="195"/>
      <c r="AW59" s="219" t="s">
        <v>704</v>
      </c>
    </row>
    <row r="60" spans="1:51" s="189" customFormat="1" ht="30" customHeight="1" x14ac:dyDescent="0.25">
      <c r="A60" s="168">
        <f t="shared" si="19"/>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VLOOKUP(D60,'[5]Bao cao So GDDT'!$D$14:$S$282,11,FALSE)</f>
        <v>Giảng viên GDNN LT (hạng III)</v>
      </c>
      <c r="O60" s="390" t="s">
        <v>1438</v>
      </c>
      <c r="P60" s="172" t="s">
        <v>692</v>
      </c>
      <c r="Q60" s="173">
        <v>5</v>
      </c>
      <c r="R60" s="174">
        <v>4.32</v>
      </c>
      <c r="S60" s="176">
        <f t="shared" si="23"/>
        <v>0.82079999999999997</v>
      </c>
      <c r="T60" s="370"/>
      <c r="U60" s="176">
        <f t="shared" si="24"/>
        <v>0</v>
      </c>
      <c r="V60" s="175">
        <f t="shared" si="25"/>
        <v>0</v>
      </c>
      <c r="W60" s="170"/>
      <c r="X60" s="179">
        <v>0.19</v>
      </c>
      <c r="Y60" s="216">
        <f t="shared" si="26"/>
        <v>0.82079999999999997</v>
      </c>
      <c r="Z60" s="216">
        <f t="shared" si="27"/>
        <v>5.1407999999999996</v>
      </c>
      <c r="AA60" s="180">
        <f t="shared" si="28"/>
        <v>9253440</v>
      </c>
      <c r="AB60" s="180"/>
      <c r="AC60" s="180">
        <f t="shared" si="29"/>
        <v>0</v>
      </c>
      <c r="AD60" s="180">
        <f t="shared" si="22"/>
        <v>0</v>
      </c>
      <c r="AE60" s="180">
        <f t="shared" si="30"/>
        <v>9253440</v>
      </c>
      <c r="AF60" s="178">
        <f t="shared" si="31"/>
        <v>740275.20000000007</v>
      </c>
      <c r="AG60" s="178">
        <f t="shared" si="32"/>
        <v>138801.60000000001</v>
      </c>
      <c r="AH60" s="178">
        <f t="shared" si="33"/>
        <v>92534.400000000009</v>
      </c>
      <c r="AI60" s="178"/>
      <c r="AJ60" s="178">
        <f t="shared" si="34"/>
        <v>971611.20000000007</v>
      </c>
      <c r="AK60" s="192"/>
      <c r="AL60" s="182">
        <f t="shared" si="35"/>
        <v>0</v>
      </c>
      <c r="AM60" s="182"/>
      <c r="AN60" s="182"/>
      <c r="AO60" s="183">
        <f t="shared" ref="AO60:AO75" si="40">R60+U60+W60</f>
        <v>4.32</v>
      </c>
      <c r="AP60" s="443">
        <v>0.25</v>
      </c>
      <c r="AQ60" s="185">
        <f t="shared" si="36"/>
        <v>1.08</v>
      </c>
      <c r="AR60" s="178">
        <f t="shared" si="37"/>
        <v>1944000</v>
      </c>
      <c r="AS60" s="178"/>
      <c r="AT60" s="178">
        <f t="shared" si="38"/>
        <v>10225829</v>
      </c>
      <c r="AU60" s="469">
        <f t="shared" si="39"/>
        <v>47</v>
      </c>
      <c r="AV60" s="195"/>
      <c r="AW60" s="198" t="s">
        <v>704</v>
      </c>
    </row>
    <row r="61" spans="1:51" s="189" customFormat="1" ht="30" customHeight="1" x14ac:dyDescent="0.25">
      <c r="A61" s="168">
        <f t="shared" si="19"/>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VLOOKUP(D61,'[5]Bao cao So GDDT'!$D$14:$S$282,11,FALSE)</f>
        <v>Giảng viên GDNN LT (hạng III)</v>
      </c>
      <c r="O61" s="390" t="s">
        <v>1438</v>
      </c>
      <c r="P61" s="172" t="s">
        <v>692</v>
      </c>
      <c r="Q61" s="173">
        <v>5</v>
      </c>
      <c r="R61" s="174">
        <v>4.32</v>
      </c>
      <c r="S61" s="176">
        <f t="shared" si="23"/>
        <v>0.86399999999999999</v>
      </c>
      <c r="T61" s="370"/>
      <c r="U61" s="176">
        <f t="shared" si="24"/>
        <v>0</v>
      </c>
      <c r="V61" s="175">
        <f t="shared" si="25"/>
        <v>0</v>
      </c>
      <c r="W61" s="170"/>
      <c r="X61" s="179">
        <v>0.2</v>
      </c>
      <c r="Y61" s="216">
        <f t="shared" si="26"/>
        <v>0.86399999999999999</v>
      </c>
      <c r="Z61" s="216">
        <f t="shared" si="27"/>
        <v>5.1840000000000002</v>
      </c>
      <c r="AA61" s="180">
        <f t="shared" si="28"/>
        <v>9331200</v>
      </c>
      <c r="AB61" s="180"/>
      <c r="AC61" s="180">
        <f t="shared" si="29"/>
        <v>0</v>
      </c>
      <c r="AD61" s="180">
        <f t="shared" si="22"/>
        <v>0</v>
      </c>
      <c r="AE61" s="180">
        <f t="shared" si="30"/>
        <v>9331200</v>
      </c>
      <c r="AF61" s="178">
        <f t="shared" si="31"/>
        <v>746496</v>
      </c>
      <c r="AG61" s="178">
        <f t="shared" si="32"/>
        <v>139968</v>
      </c>
      <c r="AH61" s="178">
        <f t="shared" si="33"/>
        <v>93312</v>
      </c>
      <c r="AI61" s="178"/>
      <c r="AJ61" s="178">
        <f t="shared" si="34"/>
        <v>979776</v>
      </c>
      <c r="AK61" s="192"/>
      <c r="AL61" s="182">
        <f t="shared" si="35"/>
        <v>0</v>
      </c>
      <c r="AM61" s="182"/>
      <c r="AN61" s="182"/>
      <c r="AO61" s="183">
        <f t="shared" si="40"/>
        <v>4.32</v>
      </c>
      <c r="AP61" s="443">
        <v>0.25</v>
      </c>
      <c r="AQ61" s="185">
        <f t="shared" si="36"/>
        <v>1.08</v>
      </c>
      <c r="AR61" s="178">
        <f t="shared" si="37"/>
        <v>1944000</v>
      </c>
      <c r="AS61" s="178"/>
      <c r="AT61" s="178">
        <f t="shared" si="38"/>
        <v>10295424</v>
      </c>
      <c r="AU61" s="469">
        <f t="shared" si="39"/>
        <v>48</v>
      </c>
      <c r="AV61" s="186"/>
      <c r="AW61" s="198" t="s">
        <v>704</v>
      </c>
    </row>
    <row r="62" spans="1:51" s="189" customFormat="1" ht="30" customHeight="1" x14ac:dyDescent="0.25">
      <c r="A62" s="168">
        <f t="shared" si="19"/>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VLOOKUP(D62,'[5]Bao cao So GDDT'!$D$14:$S$282,11,FALSE)</f>
        <v>Giảng viên GDNN LT (hạng III)</v>
      </c>
      <c r="O62" s="390" t="s">
        <v>1438</v>
      </c>
      <c r="P62" s="172" t="s">
        <v>692</v>
      </c>
      <c r="Q62" s="173">
        <v>5</v>
      </c>
      <c r="R62" s="174">
        <v>4.32</v>
      </c>
      <c r="S62" s="176">
        <f t="shared" si="23"/>
        <v>0.82079999999999997</v>
      </c>
      <c r="T62" s="370"/>
      <c r="U62" s="176">
        <f t="shared" si="24"/>
        <v>0</v>
      </c>
      <c r="V62" s="175">
        <f t="shared" si="25"/>
        <v>0</v>
      </c>
      <c r="W62" s="170"/>
      <c r="X62" s="179">
        <v>0.19</v>
      </c>
      <c r="Y62" s="216">
        <f t="shared" si="26"/>
        <v>0.82079999999999997</v>
      </c>
      <c r="Z62" s="216">
        <f t="shared" si="27"/>
        <v>5.1407999999999996</v>
      </c>
      <c r="AA62" s="180">
        <f t="shared" si="28"/>
        <v>9253440</v>
      </c>
      <c r="AB62" s="180"/>
      <c r="AC62" s="180">
        <f t="shared" si="29"/>
        <v>0</v>
      </c>
      <c r="AD62" s="180">
        <f t="shared" si="22"/>
        <v>0</v>
      </c>
      <c r="AE62" s="180">
        <f t="shared" si="30"/>
        <v>9253440</v>
      </c>
      <c r="AF62" s="178">
        <f t="shared" si="31"/>
        <v>740275.20000000007</v>
      </c>
      <c r="AG62" s="178">
        <f t="shared" si="32"/>
        <v>138801.60000000001</v>
      </c>
      <c r="AH62" s="178">
        <f t="shared" si="33"/>
        <v>92534.400000000009</v>
      </c>
      <c r="AI62" s="178"/>
      <c r="AJ62" s="178">
        <f t="shared" si="34"/>
        <v>971611.20000000007</v>
      </c>
      <c r="AK62" s="192"/>
      <c r="AL62" s="182">
        <f t="shared" si="35"/>
        <v>0</v>
      </c>
      <c r="AM62" s="182"/>
      <c r="AN62" s="182"/>
      <c r="AO62" s="183">
        <f t="shared" si="40"/>
        <v>4.32</v>
      </c>
      <c r="AP62" s="443">
        <v>0.25</v>
      </c>
      <c r="AQ62" s="185">
        <f t="shared" si="36"/>
        <v>1.08</v>
      </c>
      <c r="AR62" s="178">
        <f t="shared" si="37"/>
        <v>1944000</v>
      </c>
      <c r="AS62" s="178"/>
      <c r="AT62" s="178">
        <f t="shared" si="38"/>
        <v>10225829</v>
      </c>
      <c r="AU62" s="469">
        <f t="shared" si="39"/>
        <v>49</v>
      </c>
      <c r="AV62" s="186"/>
      <c r="AW62" s="198" t="s">
        <v>704</v>
      </c>
    </row>
    <row r="63" spans="1:51" s="189" customFormat="1" ht="30" customHeight="1" x14ac:dyDescent="0.25">
      <c r="A63" s="168">
        <f t="shared" si="19"/>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VLOOKUP(D63,'[5]Bao cao So GDDT'!$D$14:$S$282,11,FALSE)</f>
        <v>Giảng viên GDNN LT (hạng III)</v>
      </c>
      <c r="O63" s="390" t="s">
        <v>1438</v>
      </c>
      <c r="P63" s="172" t="s">
        <v>692</v>
      </c>
      <c r="Q63" s="173">
        <v>6</v>
      </c>
      <c r="R63" s="174">
        <v>4.6500000000000004</v>
      </c>
      <c r="S63" s="176">
        <f t="shared" si="23"/>
        <v>0.97650000000000003</v>
      </c>
      <c r="T63" s="370"/>
      <c r="U63" s="176">
        <f t="shared" si="24"/>
        <v>0</v>
      </c>
      <c r="V63" s="175">
        <f t="shared" si="25"/>
        <v>0</v>
      </c>
      <c r="W63" s="170"/>
      <c r="X63" s="179">
        <v>0.21</v>
      </c>
      <c r="Y63" s="216">
        <f t="shared" si="26"/>
        <v>0.97650000000000003</v>
      </c>
      <c r="Z63" s="216">
        <f t="shared" si="27"/>
        <v>5.6265000000000001</v>
      </c>
      <c r="AA63" s="180">
        <f t="shared" si="28"/>
        <v>10127700</v>
      </c>
      <c r="AB63" s="180"/>
      <c r="AC63" s="180">
        <f t="shared" si="29"/>
        <v>0</v>
      </c>
      <c r="AD63" s="180">
        <f t="shared" si="22"/>
        <v>0</v>
      </c>
      <c r="AE63" s="180">
        <f t="shared" si="30"/>
        <v>10127700</v>
      </c>
      <c r="AF63" s="178">
        <f t="shared" si="31"/>
        <v>810216</v>
      </c>
      <c r="AG63" s="178">
        <f t="shared" si="32"/>
        <v>151915.5</v>
      </c>
      <c r="AH63" s="178">
        <f t="shared" si="33"/>
        <v>101277</v>
      </c>
      <c r="AI63" s="178"/>
      <c r="AJ63" s="178">
        <f t="shared" si="34"/>
        <v>1063408.5</v>
      </c>
      <c r="AK63" s="192"/>
      <c r="AL63" s="182">
        <f t="shared" si="35"/>
        <v>0</v>
      </c>
      <c r="AM63" s="182"/>
      <c r="AN63" s="182"/>
      <c r="AO63" s="183">
        <f t="shared" si="40"/>
        <v>4.6500000000000004</v>
      </c>
      <c r="AP63" s="443">
        <v>0.25</v>
      </c>
      <c r="AQ63" s="185">
        <f t="shared" si="36"/>
        <v>1.1625000000000001</v>
      </c>
      <c r="AR63" s="178">
        <f t="shared" si="37"/>
        <v>2092500</v>
      </c>
      <c r="AS63" s="178"/>
      <c r="AT63" s="178">
        <f t="shared" si="38"/>
        <v>11156792</v>
      </c>
      <c r="AU63" s="469">
        <f t="shared" si="39"/>
        <v>50</v>
      </c>
      <c r="AV63" s="186"/>
      <c r="AW63" s="186" t="s">
        <v>704</v>
      </c>
    </row>
    <row r="64" spans="1:51" s="189" customFormat="1" ht="31.5" customHeight="1" x14ac:dyDescent="0.25">
      <c r="A64" s="683">
        <f t="shared" si="19"/>
        <v>51</v>
      </c>
      <c r="B64" s="683" t="str">
        <f>VLOOKUP(D64,[1]LuongBC_T01!$B$9:$C$292,2,FALSE)</f>
        <v>0016100006644001</v>
      </c>
      <c r="C64" s="764" t="s">
        <v>860</v>
      </c>
      <c r="D64" s="684" t="s">
        <v>1163</v>
      </c>
      <c r="E64" s="685" t="s">
        <v>1392</v>
      </c>
      <c r="F64" s="684" t="s">
        <v>549</v>
      </c>
      <c r="G64" s="686"/>
      <c r="H64" s="686" t="s">
        <v>283</v>
      </c>
      <c r="I64" s="686" t="s">
        <v>283</v>
      </c>
      <c r="J64" s="684" t="s">
        <v>224</v>
      </c>
      <c r="K64" s="686" t="str">
        <f>VLOOKUP(D64,[2]T3!$B$2:$D$328,3,FALSE)</f>
        <v>022228240</v>
      </c>
      <c r="L64" s="701" t="s">
        <v>89</v>
      </c>
      <c r="M64" s="701" t="s">
        <v>860</v>
      </c>
      <c r="N64" s="685" t="str">
        <f>VLOOKUP(D64,'[5]Bao cao So GDDT'!$D$14:$S$282,11,FALSE)</f>
        <v>Giảng viên GDNN LT (hạng III)</v>
      </c>
      <c r="O64" s="687" t="s">
        <v>1438</v>
      </c>
      <c r="P64" s="688" t="s">
        <v>692</v>
      </c>
      <c r="Q64" s="689">
        <v>9</v>
      </c>
      <c r="R64" s="690">
        <v>4.9800000000000004</v>
      </c>
      <c r="S64" s="691">
        <f t="shared" si="23"/>
        <v>2.3167</v>
      </c>
      <c r="T64" s="692">
        <v>11</v>
      </c>
      <c r="U64" s="691">
        <f t="shared" si="24"/>
        <v>0.54779999999999995</v>
      </c>
      <c r="V64" s="693">
        <f t="shared" si="25"/>
        <v>986040</v>
      </c>
      <c r="W64" s="686"/>
      <c r="X64" s="694">
        <v>0.32</v>
      </c>
      <c r="Y64" s="695">
        <f t="shared" si="26"/>
        <v>1.7688999999999999</v>
      </c>
      <c r="Z64" s="695">
        <f t="shared" si="27"/>
        <v>7.2967000000000004</v>
      </c>
      <c r="AA64" s="696">
        <f t="shared" si="28"/>
        <v>13134060</v>
      </c>
      <c r="AB64" s="696"/>
      <c r="AC64" s="696">
        <f t="shared" si="29"/>
        <v>0</v>
      </c>
      <c r="AD64" s="696">
        <f t="shared" si="22"/>
        <v>0</v>
      </c>
      <c r="AE64" s="696">
        <f t="shared" si="30"/>
        <v>13134060</v>
      </c>
      <c r="AF64" s="697">
        <f t="shared" si="31"/>
        <v>1050724.8</v>
      </c>
      <c r="AG64" s="697">
        <f t="shared" si="32"/>
        <v>197010.9</v>
      </c>
      <c r="AH64" s="697">
        <f t="shared" si="33"/>
        <v>131340.6</v>
      </c>
      <c r="AI64" s="697"/>
      <c r="AJ64" s="697">
        <f t="shared" si="34"/>
        <v>1379076.3</v>
      </c>
      <c r="AK64" s="702"/>
      <c r="AL64" s="698">
        <f t="shared" si="35"/>
        <v>0</v>
      </c>
      <c r="AM64" s="698"/>
      <c r="AN64" s="698"/>
      <c r="AO64" s="765">
        <f t="shared" si="40"/>
        <v>5.5278</v>
      </c>
      <c r="AP64" s="766">
        <v>0.25</v>
      </c>
      <c r="AQ64" s="767">
        <f t="shared" si="36"/>
        <v>1.3819999999999999</v>
      </c>
      <c r="AR64" s="697">
        <f t="shared" si="37"/>
        <v>2487600</v>
      </c>
      <c r="AS64" s="697"/>
      <c r="AT64" s="697">
        <f t="shared" si="38"/>
        <v>14242584</v>
      </c>
      <c r="AU64" s="699">
        <f t="shared" si="39"/>
        <v>51</v>
      </c>
      <c r="AV64" s="700"/>
      <c r="AW64" s="198" t="s">
        <v>704</v>
      </c>
    </row>
    <row r="65" spans="1:59" s="191" customFormat="1" ht="28.5" customHeight="1" x14ac:dyDescent="0.25">
      <c r="A65" s="168">
        <f t="shared" si="19"/>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VLOOKUP(D65,'[5]Bao cao So GDDT'!$D$14:$S$282,11,FALSE)</f>
        <v>Giảng viên GDNN LT (hạng III)</v>
      </c>
      <c r="O65" s="390" t="s">
        <v>1438</v>
      </c>
      <c r="P65" s="172" t="s">
        <v>692</v>
      </c>
      <c r="Q65" s="173">
        <v>9</v>
      </c>
      <c r="R65" s="174">
        <v>4.9800000000000004</v>
      </c>
      <c r="S65" s="176">
        <f t="shared" si="23"/>
        <v>1.7429999999999999</v>
      </c>
      <c r="T65" s="370">
        <v>8</v>
      </c>
      <c r="U65" s="176">
        <f t="shared" si="24"/>
        <v>0.39839999999999998</v>
      </c>
      <c r="V65" s="175">
        <f t="shared" si="25"/>
        <v>717120</v>
      </c>
      <c r="W65" s="170"/>
      <c r="X65" s="179">
        <v>0.25</v>
      </c>
      <c r="Y65" s="216">
        <f t="shared" si="26"/>
        <v>1.3446</v>
      </c>
      <c r="Z65" s="216">
        <f t="shared" si="27"/>
        <v>6.7229999999999999</v>
      </c>
      <c r="AA65" s="180">
        <f t="shared" si="28"/>
        <v>12101400</v>
      </c>
      <c r="AB65" s="180"/>
      <c r="AC65" s="180">
        <f t="shared" si="29"/>
        <v>0</v>
      </c>
      <c r="AD65" s="180">
        <f t="shared" si="22"/>
        <v>0</v>
      </c>
      <c r="AE65" s="180">
        <f t="shared" si="30"/>
        <v>12101400</v>
      </c>
      <c r="AF65" s="178">
        <f t="shared" si="31"/>
        <v>968112</v>
      </c>
      <c r="AG65" s="178">
        <f t="shared" si="32"/>
        <v>181521</v>
      </c>
      <c r="AH65" s="178">
        <f t="shared" si="33"/>
        <v>121014</v>
      </c>
      <c r="AI65" s="178"/>
      <c r="AJ65" s="178">
        <f t="shared" si="34"/>
        <v>1270647</v>
      </c>
      <c r="AK65" s="192"/>
      <c r="AL65" s="182">
        <f t="shared" si="35"/>
        <v>0</v>
      </c>
      <c r="AM65" s="182"/>
      <c r="AN65" s="182"/>
      <c r="AO65" s="183">
        <f t="shared" si="40"/>
        <v>5.3784000000000001</v>
      </c>
      <c r="AP65" s="443">
        <v>0.25</v>
      </c>
      <c r="AQ65" s="185">
        <f t="shared" si="36"/>
        <v>1.3446</v>
      </c>
      <c r="AR65" s="178">
        <f t="shared" si="37"/>
        <v>2420280</v>
      </c>
      <c r="AS65" s="178"/>
      <c r="AT65" s="178">
        <f t="shared" si="38"/>
        <v>13251033</v>
      </c>
      <c r="AU65" s="469">
        <f t="shared" si="39"/>
        <v>52</v>
      </c>
      <c r="AV65" s="195"/>
      <c r="AW65" s="187" t="s">
        <v>704</v>
      </c>
    </row>
    <row r="66" spans="1:59" s="189" customFormat="1" ht="33" customHeight="1" x14ac:dyDescent="0.25">
      <c r="A66" s="168">
        <f t="shared" si="19"/>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VLOOKUP(D66,'[5]Bao cao So GDDT'!$D$14:$S$282,11,FALSE)</f>
        <v>Giảng viên GDNN LT (hạng III)</v>
      </c>
      <c r="O66" s="390" t="s">
        <v>1438</v>
      </c>
      <c r="P66" s="172" t="s">
        <v>692</v>
      </c>
      <c r="Q66" s="173">
        <v>5</v>
      </c>
      <c r="R66" s="174">
        <v>4.32</v>
      </c>
      <c r="S66" s="176">
        <f t="shared" si="23"/>
        <v>0.86399999999999999</v>
      </c>
      <c r="T66" s="370"/>
      <c r="U66" s="176">
        <f t="shared" si="24"/>
        <v>0</v>
      </c>
      <c r="V66" s="175">
        <f t="shared" si="25"/>
        <v>0</v>
      </c>
      <c r="W66" s="170"/>
      <c r="X66" s="179">
        <v>0.2</v>
      </c>
      <c r="Y66" s="216">
        <f t="shared" si="26"/>
        <v>0.86399999999999999</v>
      </c>
      <c r="Z66" s="216">
        <f t="shared" si="27"/>
        <v>5.1840000000000002</v>
      </c>
      <c r="AA66" s="180">
        <f t="shared" si="28"/>
        <v>9331200</v>
      </c>
      <c r="AB66" s="180"/>
      <c r="AC66" s="180">
        <f t="shared" si="29"/>
        <v>0</v>
      </c>
      <c r="AD66" s="180">
        <f t="shared" si="22"/>
        <v>0</v>
      </c>
      <c r="AE66" s="180">
        <f t="shared" si="30"/>
        <v>9331200</v>
      </c>
      <c r="AF66" s="178">
        <f t="shared" si="31"/>
        <v>746496</v>
      </c>
      <c r="AG66" s="178">
        <f t="shared" si="32"/>
        <v>139968</v>
      </c>
      <c r="AH66" s="178">
        <f t="shared" si="33"/>
        <v>93312</v>
      </c>
      <c r="AI66" s="178"/>
      <c r="AJ66" s="178">
        <f t="shared" si="34"/>
        <v>979776</v>
      </c>
      <c r="AK66" s="192"/>
      <c r="AL66" s="182">
        <f t="shared" si="35"/>
        <v>0</v>
      </c>
      <c r="AM66" s="182"/>
      <c r="AN66" s="182"/>
      <c r="AO66" s="183">
        <f t="shared" si="40"/>
        <v>4.32</v>
      </c>
      <c r="AP66" s="443">
        <v>0.25</v>
      </c>
      <c r="AQ66" s="185">
        <f t="shared" si="36"/>
        <v>1.08</v>
      </c>
      <c r="AR66" s="178">
        <f t="shared" si="37"/>
        <v>1944000</v>
      </c>
      <c r="AS66" s="178"/>
      <c r="AT66" s="178">
        <f t="shared" si="38"/>
        <v>10295424</v>
      </c>
      <c r="AU66" s="469">
        <f t="shared" si="39"/>
        <v>53</v>
      </c>
      <c r="AV66" s="186"/>
      <c r="AW66" s="198" t="s">
        <v>704</v>
      </c>
    </row>
    <row r="67" spans="1:59" s="189" customFormat="1" ht="30" customHeight="1" x14ac:dyDescent="0.25">
      <c r="A67" s="168">
        <f t="shared" si="19"/>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VLOOKUP(D67,'[5]Bao cao So GDDT'!$D$14:$S$282,11,FALSE)</f>
        <v>Giảng viên GDNN LT (hạng III)</v>
      </c>
      <c r="O67" s="390" t="s">
        <v>1438</v>
      </c>
      <c r="P67" s="172" t="s">
        <v>692</v>
      </c>
      <c r="Q67" s="173">
        <v>5</v>
      </c>
      <c r="R67" s="174">
        <v>4.32</v>
      </c>
      <c r="S67" s="176">
        <f t="shared" si="23"/>
        <v>0.86399999999999999</v>
      </c>
      <c r="T67" s="370"/>
      <c r="U67" s="176">
        <f t="shared" si="24"/>
        <v>0</v>
      </c>
      <c r="V67" s="175">
        <f t="shared" si="25"/>
        <v>0</v>
      </c>
      <c r="W67" s="170"/>
      <c r="X67" s="179">
        <v>0.2</v>
      </c>
      <c r="Y67" s="216">
        <f t="shared" si="26"/>
        <v>0.86399999999999999</v>
      </c>
      <c r="Z67" s="216">
        <f t="shared" si="27"/>
        <v>5.1840000000000002</v>
      </c>
      <c r="AA67" s="180">
        <f t="shared" si="28"/>
        <v>9331200</v>
      </c>
      <c r="AB67" s="180"/>
      <c r="AC67" s="180">
        <f t="shared" si="29"/>
        <v>0</v>
      </c>
      <c r="AD67" s="180">
        <f t="shared" si="22"/>
        <v>0</v>
      </c>
      <c r="AE67" s="180">
        <f t="shared" si="30"/>
        <v>9331200</v>
      </c>
      <c r="AF67" s="178">
        <f t="shared" si="31"/>
        <v>746496</v>
      </c>
      <c r="AG67" s="178">
        <f t="shared" si="32"/>
        <v>139968</v>
      </c>
      <c r="AH67" s="178">
        <f t="shared" si="33"/>
        <v>93312</v>
      </c>
      <c r="AI67" s="178"/>
      <c r="AJ67" s="178">
        <f t="shared" si="34"/>
        <v>979776</v>
      </c>
      <c r="AK67" s="192"/>
      <c r="AL67" s="182">
        <f t="shared" si="35"/>
        <v>0</v>
      </c>
      <c r="AM67" s="182"/>
      <c r="AN67" s="182"/>
      <c r="AO67" s="183">
        <f t="shared" si="40"/>
        <v>4.32</v>
      </c>
      <c r="AP67" s="443">
        <v>0.25</v>
      </c>
      <c r="AQ67" s="185">
        <f t="shared" si="36"/>
        <v>1.08</v>
      </c>
      <c r="AR67" s="178">
        <f t="shared" si="37"/>
        <v>1944000</v>
      </c>
      <c r="AS67" s="178"/>
      <c r="AT67" s="178">
        <f t="shared" si="38"/>
        <v>10295424</v>
      </c>
      <c r="AU67" s="469">
        <f t="shared" si="39"/>
        <v>54</v>
      </c>
      <c r="AV67" s="186"/>
      <c r="AW67" s="187" t="s">
        <v>704</v>
      </c>
    </row>
    <row r="68" spans="1:59" s="191" customFormat="1" ht="30.75" customHeight="1" x14ac:dyDescent="0.25">
      <c r="A68" s="168">
        <f t="shared" si="19"/>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VLOOKUP(D68,'[5]Bao cao So GDDT'!$D$14:$S$282,11,FALSE)</f>
        <v>Giảng viên GDNN LT (hạng III)</v>
      </c>
      <c r="O68" s="390" t="s">
        <v>1438</v>
      </c>
      <c r="P68" s="172" t="s">
        <v>692</v>
      </c>
      <c r="Q68" s="173">
        <v>6</v>
      </c>
      <c r="R68" s="174">
        <v>4.6500000000000004</v>
      </c>
      <c r="S68" s="176">
        <f t="shared" si="23"/>
        <v>0.88349999999999995</v>
      </c>
      <c r="T68" s="370"/>
      <c r="U68" s="176">
        <f t="shared" si="24"/>
        <v>0</v>
      </c>
      <c r="V68" s="175">
        <f t="shared" si="25"/>
        <v>0</v>
      </c>
      <c r="W68" s="200"/>
      <c r="X68" s="179">
        <v>0.19</v>
      </c>
      <c r="Y68" s="216">
        <f t="shared" si="26"/>
        <v>0.88349999999999995</v>
      </c>
      <c r="Z68" s="216">
        <f t="shared" si="27"/>
        <v>5.5335000000000001</v>
      </c>
      <c r="AA68" s="180">
        <f t="shared" si="28"/>
        <v>9960300</v>
      </c>
      <c r="AB68" s="180"/>
      <c r="AC68" s="180">
        <f t="shared" si="29"/>
        <v>0</v>
      </c>
      <c r="AD68" s="180">
        <f t="shared" si="22"/>
        <v>0</v>
      </c>
      <c r="AE68" s="180">
        <f t="shared" si="30"/>
        <v>9960300</v>
      </c>
      <c r="AF68" s="178">
        <f t="shared" si="31"/>
        <v>796824</v>
      </c>
      <c r="AG68" s="178">
        <f t="shared" si="32"/>
        <v>149404.5</v>
      </c>
      <c r="AH68" s="178">
        <f t="shared" si="33"/>
        <v>99603</v>
      </c>
      <c r="AI68" s="178"/>
      <c r="AJ68" s="178">
        <f t="shared" si="34"/>
        <v>1045831.5</v>
      </c>
      <c r="AK68" s="181"/>
      <c r="AL68" s="182">
        <f t="shared" si="35"/>
        <v>0</v>
      </c>
      <c r="AM68" s="182"/>
      <c r="AN68" s="182"/>
      <c r="AO68" s="183">
        <f t="shared" si="40"/>
        <v>4.6500000000000004</v>
      </c>
      <c r="AP68" s="443">
        <v>0.25</v>
      </c>
      <c r="AQ68" s="185">
        <f t="shared" si="36"/>
        <v>1.1625000000000001</v>
      </c>
      <c r="AR68" s="178">
        <f t="shared" si="37"/>
        <v>2092500</v>
      </c>
      <c r="AS68" s="178"/>
      <c r="AT68" s="178">
        <f t="shared" si="38"/>
        <v>11006969</v>
      </c>
      <c r="AU68" s="469">
        <f t="shared" si="39"/>
        <v>55</v>
      </c>
      <c r="AV68" s="195"/>
      <c r="AW68" s="187" t="s">
        <v>704</v>
      </c>
    </row>
    <row r="69" spans="1:59" s="189" customFormat="1" ht="30" customHeight="1" x14ac:dyDescent="0.25">
      <c r="A69" s="168">
        <f t="shared" si="19"/>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VLOOKUP(D69,'[5]Bao cao So GDDT'!$D$14:$S$282,11,FALSE)</f>
        <v>Giảng viên GDNN LT (hạng III)</v>
      </c>
      <c r="O69" s="390" t="s">
        <v>1438</v>
      </c>
      <c r="P69" s="172" t="s">
        <v>692</v>
      </c>
      <c r="Q69" s="173">
        <v>5</v>
      </c>
      <c r="R69" s="174">
        <v>4.6500000000000004</v>
      </c>
      <c r="S69" s="176">
        <f t="shared" si="23"/>
        <v>0.88349999999999995</v>
      </c>
      <c r="T69" s="370"/>
      <c r="U69" s="176">
        <f t="shared" si="24"/>
        <v>0</v>
      </c>
      <c r="V69" s="175">
        <f t="shared" si="25"/>
        <v>0</v>
      </c>
      <c r="W69" s="170"/>
      <c r="X69" s="179">
        <v>0.19</v>
      </c>
      <c r="Y69" s="216">
        <f t="shared" si="26"/>
        <v>0.88349999999999995</v>
      </c>
      <c r="Z69" s="216">
        <f t="shared" si="27"/>
        <v>5.5335000000000001</v>
      </c>
      <c r="AA69" s="180">
        <f t="shared" si="28"/>
        <v>9960300</v>
      </c>
      <c r="AB69" s="180"/>
      <c r="AC69" s="180">
        <f t="shared" si="29"/>
        <v>0</v>
      </c>
      <c r="AD69" s="180">
        <f t="shared" si="22"/>
        <v>0</v>
      </c>
      <c r="AE69" s="180">
        <f t="shared" si="30"/>
        <v>9960300</v>
      </c>
      <c r="AF69" s="178">
        <f t="shared" si="31"/>
        <v>796824</v>
      </c>
      <c r="AG69" s="178">
        <f t="shared" si="32"/>
        <v>149404.5</v>
      </c>
      <c r="AH69" s="178">
        <f t="shared" si="33"/>
        <v>99603</v>
      </c>
      <c r="AI69" s="178"/>
      <c r="AJ69" s="178">
        <f t="shared" si="34"/>
        <v>1045831.5</v>
      </c>
      <c r="AK69" s="192"/>
      <c r="AL69" s="182">
        <f t="shared" si="35"/>
        <v>0</v>
      </c>
      <c r="AM69" s="182"/>
      <c r="AN69" s="182"/>
      <c r="AO69" s="183">
        <f t="shared" si="40"/>
        <v>4.6500000000000004</v>
      </c>
      <c r="AP69" s="443">
        <v>0.25</v>
      </c>
      <c r="AQ69" s="185">
        <f t="shared" si="36"/>
        <v>1.1625000000000001</v>
      </c>
      <c r="AR69" s="178">
        <f t="shared" si="37"/>
        <v>2092500</v>
      </c>
      <c r="AS69" s="178"/>
      <c r="AT69" s="178">
        <f t="shared" si="38"/>
        <v>11006969</v>
      </c>
      <c r="AU69" s="469">
        <f t="shared" si="39"/>
        <v>56</v>
      </c>
      <c r="AV69" s="186"/>
      <c r="AW69" s="198" t="s">
        <v>704</v>
      </c>
    </row>
    <row r="70" spans="1:59" s="189" customFormat="1" ht="30" customHeight="1" x14ac:dyDescent="0.25">
      <c r="A70" s="168">
        <f t="shared" si="19"/>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VLOOKUP(D70,'[5]Bao cao So GDDT'!$D$14:$S$282,11,FALSE)</f>
        <v>Giảng viên GDNN LT (hạng III)</v>
      </c>
      <c r="O70" s="390" t="s">
        <v>1438</v>
      </c>
      <c r="P70" s="172" t="s">
        <v>692</v>
      </c>
      <c r="Q70" s="173">
        <v>5</v>
      </c>
      <c r="R70" s="174">
        <v>4.6500000000000004</v>
      </c>
      <c r="S70" s="176">
        <f t="shared" ref="S70:S75" si="41">U70+W70+Y70</f>
        <v>0.88349999999999995</v>
      </c>
      <c r="T70" s="370"/>
      <c r="U70" s="176">
        <f t="shared" ref="U70:U75" si="42">ROUND(R70*T70/100,4)</f>
        <v>0</v>
      </c>
      <c r="V70" s="175">
        <f t="shared" ref="V70:V75" si="43">R70*T70*$D$8/100</f>
        <v>0</v>
      </c>
      <c r="W70" s="170"/>
      <c r="X70" s="179">
        <v>0.19</v>
      </c>
      <c r="Y70" s="216">
        <f t="shared" ref="Y70:Y75" si="44">ROUND((R70+U70+W70)*X70,4)</f>
        <v>0.88349999999999995</v>
      </c>
      <c r="Z70" s="216">
        <f t="shared" ref="Z70:Z75" si="45">ROUND(R70+U70+W70+Y70,4)</f>
        <v>5.5335000000000001</v>
      </c>
      <c r="AA70" s="180">
        <f t="shared" ref="AA70:AA75" si="46">ROUND(Z70*$D$8,0)</f>
        <v>9960300</v>
      </c>
      <c r="AB70" s="180"/>
      <c r="AC70" s="180">
        <f t="shared" ref="AC70:AC75" si="47">AA70/24*AB70</f>
        <v>0</v>
      </c>
      <c r="AD70" s="180">
        <f t="shared" si="22"/>
        <v>0</v>
      </c>
      <c r="AE70" s="180">
        <f t="shared" ref="AE70:AE75" si="48">ROUND(AA70-AC70+AD70,0)</f>
        <v>9960300</v>
      </c>
      <c r="AF70" s="178">
        <f t="shared" ref="AF70:AF75" si="49">AA70*8%</f>
        <v>796824</v>
      </c>
      <c r="AG70" s="178">
        <f t="shared" ref="AG70:AG75" si="50">AA70*1.5%</f>
        <v>149404.5</v>
      </c>
      <c r="AH70" s="178">
        <f t="shared" ref="AH70:AH75" si="51">AA70*1%</f>
        <v>99603</v>
      </c>
      <c r="AI70" s="178"/>
      <c r="AJ70" s="178">
        <f t="shared" ref="AJ70:AJ75" si="52">SUM(AF70:AI70)</f>
        <v>1045831.5</v>
      </c>
      <c r="AK70" s="192"/>
      <c r="AL70" s="182">
        <f t="shared" ref="AL70:AL75" si="53">AK70*$D$8</f>
        <v>0</v>
      </c>
      <c r="AM70" s="182"/>
      <c r="AN70" s="182"/>
      <c r="AO70" s="183">
        <f t="shared" si="40"/>
        <v>4.6500000000000004</v>
      </c>
      <c r="AP70" s="443">
        <v>0.25</v>
      </c>
      <c r="AQ70" s="185">
        <f t="shared" ref="AQ70:AQ75" si="54">ROUND(AO70*AP70,4)</f>
        <v>1.1625000000000001</v>
      </c>
      <c r="AR70" s="178">
        <f t="shared" ref="AR70:AR75" si="55">ROUND(AQ70*$D$8,0)</f>
        <v>2092500</v>
      </c>
      <c r="AS70" s="178"/>
      <c r="AT70" s="178">
        <f t="shared" ref="AT70:AT75" si="56">ROUND(AE70-AJ70+AL70+AN70+AR70,0)</f>
        <v>11006969</v>
      </c>
      <c r="AU70" s="469">
        <f t="shared" ref="AU70:AU75" si="57">A70</f>
        <v>57</v>
      </c>
      <c r="AV70" s="186"/>
      <c r="AW70" s="187" t="s">
        <v>704</v>
      </c>
    </row>
    <row r="71" spans="1:59" s="189" customFormat="1" ht="30" customHeight="1" x14ac:dyDescent="0.25">
      <c r="A71" s="168">
        <f t="shared" si="19"/>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VLOOKUP(D71,'[5]Bao cao So GDDT'!$D$14:$S$282,11,FALSE)</f>
        <v>Giảng viên GDNN LT (hạng III)</v>
      </c>
      <c r="O71" s="390" t="s">
        <v>1438</v>
      </c>
      <c r="P71" s="172" t="s">
        <v>692</v>
      </c>
      <c r="Q71" s="173">
        <v>5</v>
      </c>
      <c r="R71" s="174">
        <v>4.6500000000000004</v>
      </c>
      <c r="S71" s="176">
        <f t="shared" si="41"/>
        <v>0.88349999999999995</v>
      </c>
      <c r="T71" s="370"/>
      <c r="U71" s="176">
        <f t="shared" si="42"/>
        <v>0</v>
      </c>
      <c r="V71" s="175">
        <f t="shared" si="43"/>
        <v>0</v>
      </c>
      <c r="W71" s="170"/>
      <c r="X71" s="179">
        <v>0.19</v>
      </c>
      <c r="Y71" s="216">
        <f t="shared" si="44"/>
        <v>0.88349999999999995</v>
      </c>
      <c r="Z71" s="216">
        <f t="shared" si="45"/>
        <v>5.5335000000000001</v>
      </c>
      <c r="AA71" s="180">
        <f t="shared" si="46"/>
        <v>9960300</v>
      </c>
      <c r="AB71" s="180"/>
      <c r="AC71" s="180">
        <f t="shared" si="47"/>
        <v>0</v>
      </c>
      <c r="AD71" s="180">
        <f t="shared" si="22"/>
        <v>0</v>
      </c>
      <c r="AE71" s="180">
        <f t="shared" si="48"/>
        <v>9960300</v>
      </c>
      <c r="AF71" s="178">
        <f t="shared" si="49"/>
        <v>796824</v>
      </c>
      <c r="AG71" s="178">
        <f t="shared" si="50"/>
        <v>149404.5</v>
      </c>
      <c r="AH71" s="178">
        <f t="shared" si="51"/>
        <v>99603</v>
      </c>
      <c r="AI71" s="178"/>
      <c r="AJ71" s="178">
        <f t="shared" si="52"/>
        <v>1045831.5</v>
      </c>
      <c r="AK71" s="192"/>
      <c r="AL71" s="182">
        <f t="shared" si="53"/>
        <v>0</v>
      </c>
      <c r="AM71" s="182"/>
      <c r="AN71" s="182"/>
      <c r="AO71" s="183">
        <f t="shared" si="40"/>
        <v>4.6500000000000004</v>
      </c>
      <c r="AP71" s="443">
        <v>0.25</v>
      </c>
      <c r="AQ71" s="185">
        <f t="shared" si="54"/>
        <v>1.1625000000000001</v>
      </c>
      <c r="AR71" s="178">
        <f t="shared" si="55"/>
        <v>2092500</v>
      </c>
      <c r="AS71" s="178"/>
      <c r="AT71" s="178">
        <f t="shared" si="56"/>
        <v>11006969</v>
      </c>
      <c r="AU71" s="469">
        <f t="shared" si="57"/>
        <v>58</v>
      </c>
      <c r="AV71" s="186"/>
      <c r="AW71" s="198" t="s">
        <v>704</v>
      </c>
    </row>
    <row r="72" spans="1:59" s="189" customFormat="1" ht="29.25" customHeight="1" x14ac:dyDescent="0.25">
      <c r="A72" s="168">
        <f t="shared" si="19"/>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VLOOKUP(D72,'[5]Bao cao So GDDT'!$D$14:$S$282,11,FALSE)</f>
        <v>Giảng viên GDNN LT (hạng III)</v>
      </c>
      <c r="O72" s="390" t="s">
        <v>1438</v>
      </c>
      <c r="P72" s="172" t="s">
        <v>692</v>
      </c>
      <c r="Q72" s="173">
        <v>6</v>
      </c>
      <c r="R72" s="174">
        <v>4.6500000000000004</v>
      </c>
      <c r="S72" s="176">
        <f t="shared" si="41"/>
        <v>1.35</v>
      </c>
      <c r="T72" s="370"/>
      <c r="U72" s="176">
        <f t="shared" si="42"/>
        <v>0</v>
      </c>
      <c r="V72" s="175">
        <f t="shared" si="43"/>
        <v>0</v>
      </c>
      <c r="W72" s="170">
        <v>0.35</v>
      </c>
      <c r="X72" s="179">
        <v>0.2</v>
      </c>
      <c r="Y72" s="216">
        <f t="shared" si="44"/>
        <v>1</v>
      </c>
      <c r="Z72" s="216">
        <f t="shared" si="45"/>
        <v>6</v>
      </c>
      <c r="AA72" s="180">
        <f t="shared" si="46"/>
        <v>10800000</v>
      </c>
      <c r="AB72" s="180"/>
      <c r="AC72" s="180">
        <f t="shared" si="47"/>
        <v>0</v>
      </c>
      <c r="AD72" s="180">
        <f t="shared" si="22"/>
        <v>0</v>
      </c>
      <c r="AE72" s="180">
        <f t="shared" si="48"/>
        <v>10800000</v>
      </c>
      <c r="AF72" s="178">
        <f t="shared" si="49"/>
        <v>864000</v>
      </c>
      <c r="AG72" s="178">
        <f t="shared" si="50"/>
        <v>162000</v>
      </c>
      <c r="AH72" s="178">
        <f t="shared" si="51"/>
        <v>108000</v>
      </c>
      <c r="AI72" s="178"/>
      <c r="AJ72" s="178">
        <f t="shared" si="52"/>
        <v>1134000</v>
      </c>
      <c r="AK72" s="192"/>
      <c r="AL72" s="182">
        <f t="shared" si="53"/>
        <v>0</v>
      </c>
      <c r="AM72" s="182"/>
      <c r="AN72" s="182"/>
      <c r="AO72" s="183">
        <f t="shared" si="40"/>
        <v>5</v>
      </c>
      <c r="AP72" s="443">
        <v>0.25</v>
      </c>
      <c r="AQ72" s="185">
        <f t="shared" si="54"/>
        <v>1.25</v>
      </c>
      <c r="AR72" s="178">
        <f t="shared" si="55"/>
        <v>2250000</v>
      </c>
      <c r="AS72" s="178"/>
      <c r="AT72" s="178">
        <f t="shared" si="56"/>
        <v>11916000</v>
      </c>
      <c r="AU72" s="469">
        <f t="shared" si="57"/>
        <v>59</v>
      </c>
      <c r="AV72" s="186"/>
      <c r="AW72" s="187" t="s">
        <v>714</v>
      </c>
    </row>
    <row r="73" spans="1:59" s="189" customFormat="1" ht="27.75" customHeight="1" x14ac:dyDescent="0.25">
      <c r="A73" s="168">
        <f t="shared" si="19"/>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VLOOKUP(D73,'[5]Bao cao So GDDT'!$D$14:$S$282,11,FALSE)</f>
        <v>Giảng viên GDNN LT (hạng III)</v>
      </c>
      <c r="O73" s="390" t="s">
        <v>1438</v>
      </c>
      <c r="P73" s="172" t="s">
        <v>692</v>
      </c>
      <c r="Q73" s="173">
        <v>6</v>
      </c>
      <c r="R73" s="174">
        <v>4.6500000000000004</v>
      </c>
      <c r="S73" s="176">
        <f t="shared" si="41"/>
        <v>0.97650000000000003</v>
      </c>
      <c r="T73" s="370"/>
      <c r="U73" s="176">
        <f t="shared" si="42"/>
        <v>0</v>
      </c>
      <c r="V73" s="175">
        <f t="shared" si="43"/>
        <v>0</v>
      </c>
      <c r="W73" s="170"/>
      <c r="X73" s="179">
        <v>0.21</v>
      </c>
      <c r="Y73" s="216">
        <f t="shared" si="44"/>
        <v>0.97650000000000003</v>
      </c>
      <c r="Z73" s="216">
        <f t="shared" si="45"/>
        <v>5.6265000000000001</v>
      </c>
      <c r="AA73" s="180">
        <f t="shared" si="46"/>
        <v>10127700</v>
      </c>
      <c r="AB73" s="180"/>
      <c r="AC73" s="180">
        <f t="shared" si="47"/>
        <v>0</v>
      </c>
      <c r="AD73" s="180">
        <f t="shared" si="22"/>
        <v>0</v>
      </c>
      <c r="AE73" s="180">
        <f t="shared" si="48"/>
        <v>10127700</v>
      </c>
      <c r="AF73" s="178">
        <f t="shared" si="49"/>
        <v>810216</v>
      </c>
      <c r="AG73" s="178">
        <f t="shared" si="50"/>
        <v>151915.5</v>
      </c>
      <c r="AH73" s="178">
        <f t="shared" si="51"/>
        <v>101277</v>
      </c>
      <c r="AI73" s="178"/>
      <c r="AJ73" s="178">
        <f t="shared" si="52"/>
        <v>1063408.5</v>
      </c>
      <c r="AK73" s="192"/>
      <c r="AL73" s="182">
        <f t="shared" si="53"/>
        <v>0</v>
      </c>
      <c r="AM73" s="182"/>
      <c r="AN73" s="182"/>
      <c r="AO73" s="183">
        <f t="shared" si="40"/>
        <v>4.6500000000000004</v>
      </c>
      <c r="AP73" s="443">
        <v>0.25</v>
      </c>
      <c r="AQ73" s="185">
        <f t="shared" si="54"/>
        <v>1.1625000000000001</v>
      </c>
      <c r="AR73" s="178">
        <f t="shared" si="55"/>
        <v>2092500</v>
      </c>
      <c r="AS73" s="178"/>
      <c r="AT73" s="178">
        <f t="shared" si="56"/>
        <v>11156792</v>
      </c>
      <c r="AU73" s="469">
        <f t="shared" si="57"/>
        <v>60</v>
      </c>
      <c r="AV73" s="186"/>
      <c r="AW73" s="187" t="s">
        <v>703</v>
      </c>
    </row>
    <row r="74" spans="1:59" s="189" customFormat="1" ht="29.25" customHeight="1" x14ac:dyDescent="0.25">
      <c r="A74" s="168">
        <f t="shared" si="19"/>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VLOOKUP(D74,'[5]Bao cao So GDDT'!$D$14:$S$282,11,FALSE)</f>
        <v>Giảng viên GDNN LT (hạng III)</v>
      </c>
      <c r="O74" s="390" t="s">
        <v>1438</v>
      </c>
      <c r="P74" s="172" t="s">
        <v>692</v>
      </c>
      <c r="Q74" s="173">
        <v>6</v>
      </c>
      <c r="R74" s="174">
        <v>4.6500000000000004</v>
      </c>
      <c r="S74" s="176">
        <f t="shared" si="41"/>
        <v>0.93</v>
      </c>
      <c r="T74" s="370"/>
      <c r="U74" s="176">
        <f t="shared" si="42"/>
        <v>0</v>
      </c>
      <c r="V74" s="175">
        <f t="shared" si="43"/>
        <v>0</v>
      </c>
      <c r="W74" s="170"/>
      <c r="X74" s="179">
        <v>0.2</v>
      </c>
      <c r="Y74" s="216">
        <f t="shared" si="44"/>
        <v>0.93</v>
      </c>
      <c r="Z74" s="216">
        <f t="shared" si="45"/>
        <v>5.58</v>
      </c>
      <c r="AA74" s="180">
        <f t="shared" si="46"/>
        <v>10044000</v>
      </c>
      <c r="AB74" s="180"/>
      <c r="AC74" s="180">
        <f t="shared" si="47"/>
        <v>0</v>
      </c>
      <c r="AD74" s="180">
        <f t="shared" si="22"/>
        <v>0</v>
      </c>
      <c r="AE74" s="180">
        <f t="shared" si="48"/>
        <v>10044000</v>
      </c>
      <c r="AF74" s="178">
        <f t="shared" si="49"/>
        <v>803520</v>
      </c>
      <c r="AG74" s="178">
        <f t="shared" si="50"/>
        <v>150660</v>
      </c>
      <c r="AH74" s="178">
        <f t="shared" si="51"/>
        <v>100440</v>
      </c>
      <c r="AI74" s="178"/>
      <c r="AJ74" s="178">
        <f t="shared" si="52"/>
        <v>1054620</v>
      </c>
      <c r="AK74" s="192"/>
      <c r="AL74" s="182">
        <f t="shared" si="53"/>
        <v>0</v>
      </c>
      <c r="AM74" s="182"/>
      <c r="AN74" s="182"/>
      <c r="AO74" s="183">
        <f t="shared" si="40"/>
        <v>4.6500000000000004</v>
      </c>
      <c r="AP74" s="443">
        <v>0.25</v>
      </c>
      <c r="AQ74" s="185">
        <f t="shared" si="54"/>
        <v>1.1625000000000001</v>
      </c>
      <c r="AR74" s="178">
        <f t="shared" si="55"/>
        <v>2092500</v>
      </c>
      <c r="AS74" s="178"/>
      <c r="AT74" s="178">
        <f t="shared" si="56"/>
        <v>11081880</v>
      </c>
      <c r="AU74" s="469">
        <f t="shared" si="57"/>
        <v>61</v>
      </c>
      <c r="AV74" s="195"/>
      <c r="AW74" s="187" t="s">
        <v>703</v>
      </c>
    </row>
    <row r="75" spans="1:59" s="189" customFormat="1" ht="27.75" customHeight="1" x14ac:dyDescent="0.25">
      <c r="A75" s="683">
        <f t="shared" si="19"/>
        <v>62</v>
      </c>
      <c r="B75" s="683" t="str">
        <f>VLOOKUP(D75,[1]LuongBC_T01!$B$9:$C$292,2,FALSE)</f>
        <v>0016100006586001</v>
      </c>
      <c r="C75" s="764" t="s">
        <v>874</v>
      </c>
      <c r="D75" s="684" t="s">
        <v>682</v>
      </c>
      <c r="E75" s="685" t="s">
        <v>1381</v>
      </c>
      <c r="F75" s="684" t="s">
        <v>549</v>
      </c>
      <c r="G75" s="686"/>
      <c r="H75" s="686" t="s">
        <v>283</v>
      </c>
      <c r="I75" s="686" t="s">
        <v>283</v>
      </c>
      <c r="J75" s="684"/>
      <c r="K75" s="686" t="str">
        <f>VLOOKUP(D75,[2]T3!$B$2:$D$328,3,FALSE)</f>
        <v>079071003963</v>
      </c>
      <c r="L75" s="1036" t="s">
        <v>684</v>
      </c>
      <c r="M75" s="1036" t="s">
        <v>874</v>
      </c>
      <c r="N75" s="685" t="str">
        <f>VLOOKUP(D75,'[5]Bao cao So GDDT'!$D$14:$S$282,11,FALSE)</f>
        <v>Giảng viên GDNN LT (hạng III)</v>
      </c>
      <c r="O75" s="687" t="s">
        <v>1438</v>
      </c>
      <c r="P75" s="688" t="s">
        <v>692</v>
      </c>
      <c r="Q75" s="689">
        <v>7</v>
      </c>
      <c r="R75" s="690">
        <v>4.9800000000000004</v>
      </c>
      <c r="S75" s="691">
        <f t="shared" si="41"/>
        <v>1.0955999999999999</v>
      </c>
      <c r="T75" s="692"/>
      <c r="U75" s="691">
        <f t="shared" si="42"/>
        <v>0</v>
      </c>
      <c r="V75" s="693">
        <f t="shared" si="43"/>
        <v>0</v>
      </c>
      <c r="W75" s="686"/>
      <c r="X75" s="694">
        <v>0.22</v>
      </c>
      <c r="Y75" s="695">
        <f t="shared" si="44"/>
        <v>1.0955999999999999</v>
      </c>
      <c r="Z75" s="695">
        <f t="shared" si="45"/>
        <v>6.0755999999999997</v>
      </c>
      <c r="AA75" s="696">
        <f t="shared" si="46"/>
        <v>10936080</v>
      </c>
      <c r="AB75" s="696"/>
      <c r="AC75" s="696">
        <f t="shared" si="47"/>
        <v>0</v>
      </c>
      <c r="AD75" s="696">
        <f t="shared" si="22"/>
        <v>0</v>
      </c>
      <c r="AE75" s="696">
        <f t="shared" si="48"/>
        <v>10936080</v>
      </c>
      <c r="AF75" s="697">
        <f t="shared" si="49"/>
        <v>874886.4</v>
      </c>
      <c r="AG75" s="697">
        <f t="shared" si="50"/>
        <v>164041.19999999998</v>
      </c>
      <c r="AH75" s="697">
        <f t="shared" si="51"/>
        <v>109360.8</v>
      </c>
      <c r="AI75" s="697"/>
      <c r="AJ75" s="697">
        <f t="shared" si="52"/>
        <v>1148288.3999999999</v>
      </c>
      <c r="AK75" s="702"/>
      <c r="AL75" s="698">
        <f t="shared" si="53"/>
        <v>0</v>
      </c>
      <c r="AM75" s="698"/>
      <c r="AN75" s="698"/>
      <c r="AO75" s="765">
        <f t="shared" si="40"/>
        <v>4.9800000000000004</v>
      </c>
      <c r="AP75" s="703">
        <v>0.25</v>
      </c>
      <c r="AQ75" s="767">
        <f t="shared" si="54"/>
        <v>1.2450000000000001</v>
      </c>
      <c r="AR75" s="697">
        <f t="shared" si="55"/>
        <v>2241000</v>
      </c>
      <c r="AS75" s="697"/>
      <c r="AT75" s="697">
        <f t="shared" si="56"/>
        <v>12028792</v>
      </c>
      <c r="AU75" s="699">
        <f t="shared" si="57"/>
        <v>62</v>
      </c>
      <c r="AV75" s="1034"/>
      <c r="AW75" s="187" t="s">
        <v>703</v>
      </c>
    </row>
    <row r="76" spans="1:59" s="109" customFormat="1" ht="24" customHeight="1" x14ac:dyDescent="0.25">
      <c r="A76" s="250"/>
      <c r="B76" s="168" t="e">
        <f>VLOOKUP(D76,[1]LuongBC_T01!$B$9:$C$292,2,FALSE)</f>
        <v>#N/A</v>
      </c>
      <c r="C76" s="866"/>
      <c r="D76" s="102" t="s">
        <v>56</v>
      </c>
      <c r="E76" s="264"/>
      <c r="F76" s="102"/>
      <c r="G76" s="103">
        <f>COUNTIF(G13:G75,"x")</f>
        <v>21</v>
      </c>
      <c r="H76" s="103">
        <f>COUNTIF(H15:H75,"GV")</f>
        <v>39</v>
      </c>
      <c r="I76" s="103"/>
      <c r="J76" s="102"/>
      <c r="K76" s="103"/>
      <c r="L76" s="102"/>
      <c r="M76" s="102"/>
      <c r="N76" s="102"/>
      <c r="O76" s="423"/>
      <c r="P76" s="104"/>
      <c r="Q76" s="104"/>
      <c r="R76" s="257">
        <f>SUM(R14:R75)</f>
        <v>297.39999999999981</v>
      </c>
      <c r="S76" s="334">
        <f>SUM(S14:S75)</f>
        <v>84.529200000000017</v>
      </c>
      <c r="T76" s="349">
        <f>U76</f>
        <v>12.856</v>
      </c>
      <c r="U76" s="258">
        <f>SUM(U14:U75)</f>
        <v>12.856</v>
      </c>
      <c r="V76" s="234">
        <f>SUM(V14:V75)</f>
        <v>23140800</v>
      </c>
      <c r="W76" s="418">
        <f>SUM(W14:W75)</f>
        <v>9.7499999999999982</v>
      </c>
      <c r="X76" s="105"/>
      <c r="Y76" s="364">
        <f>SUM(Y14:Y75)</f>
        <v>61.923199999999987</v>
      </c>
      <c r="Z76" s="364">
        <f>SUM(Z14:Z75)</f>
        <v>381.92920000000021</v>
      </c>
      <c r="AA76" s="234">
        <f>SUM(AA14:AA75)</f>
        <v>687472560</v>
      </c>
      <c r="AB76" s="105"/>
      <c r="AC76" s="234">
        <f t="shared" ref="AC76:AL76" si="58">SUM(AC14:AC75)</f>
        <v>0</v>
      </c>
      <c r="AD76" s="304">
        <f t="shared" si="58"/>
        <v>0</v>
      </c>
      <c r="AE76" s="234">
        <f t="shared" si="58"/>
        <v>687472560</v>
      </c>
      <c r="AF76" s="106">
        <f t="shared" si="58"/>
        <v>54997804.800000004</v>
      </c>
      <c r="AG76" s="106">
        <f t="shared" si="58"/>
        <v>10312088.4</v>
      </c>
      <c r="AH76" s="106">
        <f t="shared" si="58"/>
        <v>6874725.6000000006</v>
      </c>
      <c r="AI76" s="304">
        <f t="shared" si="58"/>
        <v>0</v>
      </c>
      <c r="AJ76" s="234">
        <f t="shared" si="58"/>
        <v>72184618.799999997</v>
      </c>
      <c r="AK76" s="419">
        <f t="shared" si="58"/>
        <v>0.2</v>
      </c>
      <c r="AL76" s="106">
        <f t="shared" si="58"/>
        <v>360000</v>
      </c>
      <c r="AM76" s="106"/>
      <c r="AN76" s="106"/>
      <c r="AO76" s="496">
        <f>SUM(AO15:AO75)</f>
        <v>307.36999999999989</v>
      </c>
      <c r="AP76" s="640"/>
      <c r="AQ76" s="107">
        <f>SUM(AQ14:AQ75)</f>
        <v>70.523299999999978</v>
      </c>
      <c r="AR76" s="542">
        <f>SUM(AR14:AR75)</f>
        <v>126941940</v>
      </c>
      <c r="AS76" s="106">
        <f>SUM(AS15:AS75)</f>
        <v>0</v>
      </c>
      <c r="AT76" s="106">
        <f>SUM(AT14:AT75)-9</f>
        <v>742589881</v>
      </c>
      <c r="AU76" s="518"/>
      <c r="AV76" s="519"/>
      <c r="AW76" s="828"/>
      <c r="AX76" s="553"/>
      <c r="AY76" s="553"/>
      <c r="AZ76" s="553"/>
      <c r="BA76" s="553"/>
      <c r="BB76" s="553"/>
      <c r="BC76" s="553"/>
      <c r="BD76" s="553"/>
      <c r="BE76" s="553"/>
      <c r="BF76" s="553"/>
      <c r="BG76" s="553"/>
    </row>
    <row r="77" spans="1:59" s="99" customFormat="1" ht="18.75" customHeight="1" x14ac:dyDescent="0.25">
      <c r="A77" s="250"/>
      <c r="B77" s="471" t="e">
        <f>VLOOKUP(D77,[1]LuongBC_T01!$B$9:$C$292,2,FALSE)</f>
        <v>#N/A</v>
      </c>
      <c r="C77" s="954"/>
      <c r="D77" s="1133" t="s">
        <v>23</v>
      </c>
      <c r="E77" s="1134"/>
      <c r="F77" s="1134"/>
      <c r="G77" s="1134"/>
      <c r="H77" s="1134"/>
      <c r="I77" s="1134"/>
      <c r="J77" s="1134"/>
      <c r="K77" s="1134"/>
      <c r="L77" s="1134"/>
      <c r="M77" s="1134"/>
      <c r="N77" s="1134"/>
      <c r="O77" s="1134"/>
      <c r="P77" s="1134"/>
      <c r="Q77" s="1135"/>
      <c r="R77" s="124"/>
      <c r="S77" s="335"/>
      <c r="T77" s="350"/>
      <c r="U77" s="939"/>
      <c r="V77" s="136"/>
      <c r="W77" s="126"/>
      <c r="X77" s="135"/>
      <c r="Y77" s="135"/>
      <c r="Z77" s="135"/>
      <c r="AA77" s="134"/>
      <c r="AB77" s="134"/>
      <c r="AC77" s="134"/>
      <c r="AD77" s="134"/>
      <c r="AE77" s="134"/>
      <c r="AF77" s="131"/>
      <c r="AG77" s="131"/>
      <c r="AH77" s="131"/>
      <c r="AI77" s="131"/>
      <c r="AJ77" s="131"/>
      <c r="AK77" s="137"/>
      <c r="AL77" s="131"/>
      <c r="AM77" s="131"/>
      <c r="AN77" s="131"/>
      <c r="AO77" s="497"/>
      <c r="AP77" s="135"/>
      <c r="AQ77" s="133"/>
      <c r="AR77" s="131"/>
      <c r="AS77" s="131"/>
      <c r="AT77" s="131"/>
      <c r="AU77" s="936"/>
      <c r="AV77" s="937"/>
      <c r="AW77" s="825"/>
      <c r="AX77" s="29"/>
      <c r="AY77" s="29"/>
      <c r="AZ77" s="29"/>
      <c r="BA77" s="29"/>
      <c r="BB77" s="29"/>
      <c r="BC77" s="29"/>
      <c r="BD77" s="29"/>
      <c r="BE77" s="29"/>
      <c r="BF77" s="29"/>
      <c r="BG77" s="29"/>
    </row>
    <row r="78" spans="1:59" s="29" customFormat="1" ht="42.75" customHeight="1" x14ac:dyDescent="0.25">
      <c r="A78" s="485">
        <f>A75+1</f>
        <v>63</v>
      </c>
      <c r="B78" s="942"/>
      <c r="C78" s="942"/>
      <c r="D78" s="943" t="s">
        <v>1595</v>
      </c>
      <c r="E78" s="944" t="s">
        <v>1376</v>
      </c>
      <c r="F78" s="945"/>
      <c r="G78" s="945"/>
      <c r="H78" s="945"/>
      <c r="I78" s="945"/>
      <c r="J78" s="945"/>
      <c r="K78" s="942"/>
      <c r="L78" s="946"/>
      <c r="M78" s="870"/>
      <c r="N78" s="944"/>
      <c r="O78" s="944" t="s">
        <v>1438</v>
      </c>
      <c r="P78" s="870"/>
      <c r="Q78" s="870"/>
      <c r="R78" s="870">
        <v>2.2690000000000001</v>
      </c>
      <c r="S78" s="947"/>
      <c r="T78" s="945"/>
      <c r="U78" s="947"/>
      <c r="V78" s="948"/>
      <c r="W78" s="870"/>
      <c r="X78" s="531">
        <v>0</v>
      </c>
      <c r="Y78" s="532">
        <f t="shared" ref="Y78:Y84" si="59">ROUND((R78+U78+W78)*X78,4)</f>
        <v>0</v>
      </c>
      <c r="Z78" s="532">
        <f t="shared" ref="Z78:Z84" si="60">R78+U78+W78+Y78</f>
        <v>2.2690000000000001</v>
      </c>
      <c r="AA78" s="533">
        <f t="shared" ref="AA78:AA84" si="61">ROUND(Z78*$D$8,0)</f>
        <v>4084200</v>
      </c>
      <c r="AB78" s="949"/>
      <c r="AC78" s="533">
        <f t="shared" ref="AC78:AC84" si="62">AA78/24*AB78</f>
        <v>0</v>
      </c>
      <c r="AD78" s="533">
        <v>0</v>
      </c>
      <c r="AE78" s="533">
        <f t="shared" ref="AE78:AE84" si="63">ROUND(AA78-AC78+AD78,0)</f>
        <v>4084200</v>
      </c>
      <c r="AF78" s="534">
        <f t="shared" ref="AF78:AF83" si="64">AA78*8%</f>
        <v>326736</v>
      </c>
      <c r="AG78" s="534">
        <f t="shared" ref="AG78:AG83" si="65">AA78*1.5%</f>
        <v>61263</v>
      </c>
      <c r="AH78" s="534">
        <f t="shared" ref="AH78:AH83" si="66">AA78*1%</f>
        <v>40842</v>
      </c>
      <c r="AI78" s="950"/>
      <c r="AJ78" s="534">
        <f t="shared" ref="AJ78:AJ84" si="67">SUM(AF78:AI78)</f>
        <v>428841</v>
      </c>
      <c r="AK78" s="951"/>
      <c r="AL78" s="952"/>
      <c r="AM78" s="952"/>
      <c r="AN78" s="952"/>
      <c r="AO78" s="537">
        <f t="shared" ref="AO78:AO84" si="68">R78+U78+W78</f>
        <v>2.2690000000000001</v>
      </c>
      <c r="AP78" s="878">
        <v>0.25</v>
      </c>
      <c r="AQ78" s="941">
        <f t="shared" ref="AQ78:AQ84" si="69">ROUND(AO78*AP78,4)</f>
        <v>0.56730000000000003</v>
      </c>
      <c r="AR78" s="534">
        <f t="shared" ref="AR78:AR84" si="70">ROUND(AQ78*$D$8,0)</f>
        <v>1021140</v>
      </c>
      <c r="AS78" s="950"/>
      <c r="AT78" s="534">
        <f t="shared" ref="AT78:AT84" si="71">ROUND(AE78-AJ78+AL78+AN78+AR78,0)</f>
        <v>4676499</v>
      </c>
      <c r="AU78" s="539">
        <f t="shared" ref="AU78:AU84" si="72">A78</f>
        <v>63</v>
      </c>
      <c r="AV78" s="953" t="s">
        <v>1593</v>
      </c>
      <c r="AW78" s="880"/>
    </row>
    <row r="79" spans="1:59" s="29" customFormat="1" ht="42.75" customHeight="1" x14ac:dyDescent="0.25">
      <c r="A79" s="168">
        <f t="shared" ref="A79:A84" si="73">A78+1</f>
        <v>64</v>
      </c>
      <c r="B79" s="474"/>
      <c r="C79" s="474"/>
      <c r="D79" s="881" t="s">
        <v>1598</v>
      </c>
      <c r="E79" s="882" t="s">
        <v>1376</v>
      </c>
      <c r="F79" s="883"/>
      <c r="G79" s="883"/>
      <c r="H79" s="883"/>
      <c r="I79" s="883"/>
      <c r="J79" s="883"/>
      <c r="K79" s="474"/>
      <c r="L79" s="884"/>
      <c r="M79" s="30"/>
      <c r="N79" s="882"/>
      <c r="O79" s="882" t="s">
        <v>1438</v>
      </c>
      <c r="P79" s="30"/>
      <c r="Q79" s="30"/>
      <c r="R79" s="30">
        <v>1.9890000000000001</v>
      </c>
      <c r="S79" s="885"/>
      <c r="T79" s="883"/>
      <c r="U79" s="885"/>
      <c r="V79" s="886"/>
      <c r="W79" s="30"/>
      <c r="X79" s="179">
        <v>0</v>
      </c>
      <c r="Y79" s="216">
        <f t="shared" si="59"/>
        <v>0</v>
      </c>
      <c r="Z79" s="216">
        <f t="shared" si="60"/>
        <v>1.9890000000000001</v>
      </c>
      <c r="AA79" s="180">
        <f t="shared" si="61"/>
        <v>3580200</v>
      </c>
      <c r="AB79" s="887"/>
      <c r="AC79" s="180">
        <f t="shared" si="62"/>
        <v>0</v>
      </c>
      <c r="AD79" s="180">
        <v>0</v>
      </c>
      <c r="AE79" s="180">
        <f t="shared" si="63"/>
        <v>3580200</v>
      </c>
      <c r="AF79" s="178">
        <f t="shared" si="64"/>
        <v>286416</v>
      </c>
      <c r="AG79" s="178">
        <f t="shared" si="65"/>
        <v>53703</v>
      </c>
      <c r="AH79" s="178">
        <f t="shared" si="66"/>
        <v>35802</v>
      </c>
      <c r="AI79" s="888"/>
      <c r="AJ79" s="178">
        <f t="shared" si="67"/>
        <v>375921</v>
      </c>
      <c r="AK79" s="889"/>
      <c r="AL79" s="890"/>
      <c r="AM79" s="890"/>
      <c r="AN79" s="890"/>
      <c r="AO79" s="891">
        <f t="shared" si="68"/>
        <v>1.9890000000000001</v>
      </c>
      <c r="AP79" s="246">
        <v>0.25</v>
      </c>
      <c r="AQ79" s="185">
        <f t="shared" si="69"/>
        <v>0.49730000000000002</v>
      </c>
      <c r="AR79" s="178">
        <f t="shared" si="70"/>
        <v>895140</v>
      </c>
      <c r="AS79" s="888"/>
      <c r="AT79" s="178">
        <f t="shared" si="71"/>
        <v>4099419</v>
      </c>
      <c r="AU79" s="469">
        <f t="shared" si="72"/>
        <v>64</v>
      </c>
      <c r="AV79" s="824" t="s">
        <v>1593</v>
      </c>
      <c r="AW79" s="880"/>
    </row>
    <row r="80" spans="1:59" s="189" customFormat="1" ht="42.75" customHeight="1" x14ac:dyDescent="0.25">
      <c r="A80" s="168">
        <f t="shared" si="73"/>
        <v>65</v>
      </c>
      <c r="B80" s="566"/>
      <c r="C80" s="566"/>
      <c r="D80" s="935" t="s">
        <v>1623</v>
      </c>
      <c r="E80" s="564" t="s">
        <v>1377</v>
      </c>
      <c r="F80" s="565"/>
      <c r="G80" s="565"/>
      <c r="H80" s="565"/>
      <c r="I80" s="565"/>
      <c r="J80" s="565"/>
      <c r="K80" s="566"/>
      <c r="L80" s="723"/>
      <c r="M80" s="546"/>
      <c r="N80" s="564"/>
      <c r="O80" s="263" t="s">
        <v>1438</v>
      </c>
      <c r="P80" s="546"/>
      <c r="Q80" s="546"/>
      <c r="R80" s="546">
        <v>1.9890000000000001</v>
      </c>
      <c r="S80" s="547"/>
      <c r="T80" s="565"/>
      <c r="U80" s="547"/>
      <c r="V80" s="548"/>
      <c r="W80" s="546"/>
      <c r="X80" s="179">
        <v>0</v>
      </c>
      <c r="Y80" s="216">
        <f t="shared" si="59"/>
        <v>0</v>
      </c>
      <c r="Z80" s="216">
        <f t="shared" si="60"/>
        <v>1.9890000000000001</v>
      </c>
      <c r="AA80" s="180">
        <f t="shared" si="61"/>
        <v>3580200</v>
      </c>
      <c r="AB80" s="550"/>
      <c r="AC80" s="180">
        <f t="shared" si="62"/>
        <v>0</v>
      </c>
      <c r="AD80" s="180">
        <v>0</v>
      </c>
      <c r="AE80" s="180">
        <f t="shared" si="63"/>
        <v>3580200</v>
      </c>
      <c r="AF80" s="178">
        <f t="shared" si="64"/>
        <v>286416</v>
      </c>
      <c r="AG80" s="178">
        <f t="shared" si="65"/>
        <v>53703</v>
      </c>
      <c r="AH80" s="178">
        <f t="shared" si="66"/>
        <v>35802</v>
      </c>
      <c r="AI80" s="551"/>
      <c r="AJ80" s="178">
        <f t="shared" si="67"/>
        <v>375921</v>
      </c>
      <c r="AK80" s="568"/>
      <c r="AL80" s="569"/>
      <c r="AM80" s="569"/>
      <c r="AN80" s="569"/>
      <c r="AO80" s="183">
        <f t="shared" si="68"/>
        <v>1.9890000000000001</v>
      </c>
      <c r="AP80" s="246">
        <v>0.25</v>
      </c>
      <c r="AQ80" s="185">
        <f t="shared" si="69"/>
        <v>0.49730000000000002</v>
      </c>
      <c r="AR80" s="178">
        <f t="shared" si="70"/>
        <v>895140</v>
      </c>
      <c r="AS80" s="551"/>
      <c r="AT80" s="178">
        <f t="shared" si="71"/>
        <v>4099419</v>
      </c>
      <c r="AU80" s="469">
        <f t="shared" si="72"/>
        <v>65</v>
      </c>
      <c r="AV80" s="195" t="s">
        <v>1624</v>
      </c>
      <c r="AW80" s="660"/>
    </row>
    <row r="81" spans="1:59" s="189" customFormat="1" ht="42.75" customHeight="1" x14ac:dyDescent="0.25">
      <c r="A81" s="168">
        <f t="shared" si="73"/>
        <v>66</v>
      </c>
      <c r="B81" s="566"/>
      <c r="C81" s="566"/>
      <c r="D81" s="935" t="s">
        <v>1625</v>
      </c>
      <c r="E81" s="564" t="s">
        <v>1451</v>
      </c>
      <c r="F81" s="565"/>
      <c r="G81" s="565"/>
      <c r="H81" s="565"/>
      <c r="I81" s="565"/>
      <c r="J81" s="565"/>
      <c r="K81" s="566"/>
      <c r="L81" s="723"/>
      <c r="M81" s="546"/>
      <c r="N81" s="564"/>
      <c r="O81" s="263" t="s">
        <v>1438</v>
      </c>
      <c r="P81" s="546"/>
      <c r="Q81" s="546"/>
      <c r="R81" s="546">
        <v>2.2690000000000001</v>
      </c>
      <c r="S81" s="547"/>
      <c r="T81" s="565"/>
      <c r="U81" s="547"/>
      <c r="V81" s="548"/>
      <c r="W81" s="546"/>
      <c r="X81" s="179">
        <v>0</v>
      </c>
      <c r="Y81" s="216">
        <f t="shared" si="59"/>
        <v>0</v>
      </c>
      <c r="Z81" s="216">
        <f t="shared" si="60"/>
        <v>2.2690000000000001</v>
      </c>
      <c r="AA81" s="180">
        <f t="shared" si="61"/>
        <v>4084200</v>
      </c>
      <c r="AB81" s="550"/>
      <c r="AC81" s="180">
        <f t="shared" si="62"/>
        <v>0</v>
      </c>
      <c r="AD81" s="180">
        <v>0</v>
      </c>
      <c r="AE81" s="180">
        <f t="shared" si="63"/>
        <v>4084200</v>
      </c>
      <c r="AF81" s="178">
        <f t="shared" si="64"/>
        <v>326736</v>
      </c>
      <c r="AG81" s="178">
        <f t="shared" si="65"/>
        <v>61263</v>
      </c>
      <c r="AH81" s="178">
        <f t="shared" si="66"/>
        <v>40842</v>
      </c>
      <c r="AI81" s="551"/>
      <c r="AJ81" s="178">
        <f t="shared" si="67"/>
        <v>428841</v>
      </c>
      <c r="AK81" s="568"/>
      <c r="AL81" s="569"/>
      <c r="AM81" s="569"/>
      <c r="AN81" s="569"/>
      <c r="AO81" s="183">
        <f t="shared" si="68"/>
        <v>2.2690000000000001</v>
      </c>
      <c r="AP81" s="246">
        <v>0.25</v>
      </c>
      <c r="AQ81" s="185">
        <f t="shared" si="69"/>
        <v>0.56730000000000003</v>
      </c>
      <c r="AR81" s="178">
        <f t="shared" si="70"/>
        <v>1021140</v>
      </c>
      <c r="AS81" s="551"/>
      <c r="AT81" s="178">
        <f t="shared" si="71"/>
        <v>4676499</v>
      </c>
      <c r="AU81" s="469">
        <f t="shared" si="72"/>
        <v>66</v>
      </c>
      <c r="AV81" s="195" t="s">
        <v>1624</v>
      </c>
      <c r="AW81" s="660"/>
    </row>
    <row r="82" spans="1:59" s="189" customFormat="1" ht="42.75" customHeight="1" x14ac:dyDescent="0.25">
      <c r="A82" s="727">
        <f t="shared" si="73"/>
        <v>67</v>
      </c>
      <c r="B82" s="955"/>
      <c r="C82" s="955"/>
      <c r="D82" s="956" t="s">
        <v>1634</v>
      </c>
      <c r="E82" s="957" t="s">
        <v>1451</v>
      </c>
      <c r="F82" s="958"/>
      <c r="G82" s="958"/>
      <c r="H82" s="958"/>
      <c r="I82" s="958"/>
      <c r="J82" s="958"/>
      <c r="K82" s="955"/>
      <c r="L82" s="959"/>
      <c r="M82" s="960"/>
      <c r="N82" s="957"/>
      <c r="O82" s="730" t="s">
        <v>1438</v>
      </c>
      <c r="P82" s="960"/>
      <c r="Q82" s="960"/>
      <c r="R82" s="960">
        <v>1.9890000000000001</v>
      </c>
      <c r="S82" s="961"/>
      <c r="T82" s="958"/>
      <c r="U82" s="961"/>
      <c r="V82" s="962"/>
      <c r="W82" s="960"/>
      <c r="X82" s="740">
        <v>0</v>
      </c>
      <c r="Y82" s="741">
        <f t="shared" si="59"/>
        <v>0</v>
      </c>
      <c r="Z82" s="741">
        <f t="shared" si="60"/>
        <v>1.9890000000000001</v>
      </c>
      <c r="AA82" s="742">
        <f t="shared" si="61"/>
        <v>3580200</v>
      </c>
      <c r="AB82" s="963"/>
      <c r="AC82" s="742">
        <f t="shared" si="62"/>
        <v>0</v>
      </c>
      <c r="AD82" s="742">
        <v>0</v>
      </c>
      <c r="AE82" s="742">
        <f t="shared" si="63"/>
        <v>3580200</v>
      </c>
      <c r="AF82" s="743">
        <f t="shared" si="64"/>
        <v>286416</v>
      </c>
      <c r="AG82" s="743">
        <f t="shared" si="65"/>
        <v>53703</v>
      </c>
      <c r="AH82" s="743">
        <f t="shared" si="66"/>
        <v>35802</v>
      </c>
      <c r="AI82" s="964"/>
      <c r="AJ82" s="743">
        <f t="shared" si="67"/>
        <v>375921</v>
      </c>
      <c r="AK82" s="965"/>
      <c r="AL82" s="966"/>
      <c r="AM82" s="966"/>
      <c r="AN82" s="966"/>
      <c r="AO82" s="746">
        <f t="shared" si="68"/>
        <v>1.9890000000000001</v>
      </c>
      <c r="AP82" s="758">
        <v>0.25</v>
      </c>
      <c r="AQ82" s="748">
        <f t="shared" si="69"/>
        <v>0.49730000000000002</v>
      </c>
      <c r="AR82" s="743">
        <f t="shared" si="70"/>
        <v>895140</v>
      </c>
      <c r="AS82" s="964"/>
      <c r="AT82" s="743">
        <f t="shared" si="71"/>
        <v>4099419</v>
      </c>
      <c r="AU82" s="749">
        <f t="shared" si="72"/>
        <v>67</v>
      </c>
      <c r="AV82" s="750" t="s">
        <v>1635</v>
      </c>
      <c r="AW82" s="660"/>
    </row>
    <row r="83" spans="1:59" s="189" customFormat="1" ht="42.75" customHeight="1" x14ac:dyDescent="0.25">
      <c r="A83" s="727">
        <f t="shared" si="73"/>
        <v>68</v>
      </c>
      <c r="B83" s="955"/>
      <c r="C83" s="955"/>
      <c r="D83" s="956" t="s">
        <v>1636</v>
      </c>
      <c r="E83" s="957" t="s">
        <v>1628</v>
      </c>
      <c r="F83" s="958"/>
      <c r="G83" s="958"/>
      <c r="H83" s="958"/>
      <c r="I83" s="958"/>
      <c r="J83" s="958"/>
      <c r="K83" s="955"/>
      <c r="L83" s="959"/>
      <c r="M83" s="960"/>
      <c r="N83" s="957"/>
      <c r="O83" s="730" t="s">
        <v>1438</v>
      </c>
      <c r="P83" s="960"/>
      <c r="Q83" s="960"/>
      <c r="R83" s="960">
        <v>1.9890000000000001</v>
      </c>
      <c r="S83" s="961"/>
      <c r="T83" s="958"/>
      <c r="U83" s="961"/>
      <c r="V83" s="962"/>
      <c r="W83" s="960"/>
      <c r="X83" s="740">
        <v>0</v>
      </c>
      <c r="Y83" s="741">
        <f t="shared" si="59"/>
        <v>0</v>
      </c>
      <c r="Z83" s="741">
        <f t="shared" si="60"/>
        <v>1.9890000000000001</v>
      </c>
      <c r="AA83" s="742">
        <f t="shared" si="61"/>
        <v>3580200</v>
      </c>
      <c r="AB83" s="963"/>
      <c r="AC83" s="742">
        <f t="shared" si="62"/>
        <v>0</v>
      </c>
      <c r="AD83" s="742">
        <v>0</v>
      </c>
      <c r="AE83" s="742">
        <f t="shared" si="63"/>
        <v>3580200</v>
      </c>
      <c r="AF83" s="743">
        <f t="shared" si="64"/>
        <v>286416</v>
      </c>
      <c r="AG83" s="743">
        <f t="shared" si="65"/>
        <v>53703</v>
      </c>
      <c r="AH83" s="743">
        <f t="shared" si="66"/>
        <v>35802</v>
      </c>
      <c r="AI83" s="964"/>
      <c r="AJ83" s="743">
        <f t="shared" si="67"/>
        <v>375921</v>
      </c>
      <c r="AK83" s="965"/>
      <c r="AL83" s="966"/>
      <c r="AM83" s="966"/>
      <c r="AN83" s="966"/>
      <c r="AO83" s="746">
        <f t="shared" si="68"/>
        <v>1.9890000000000001</v>
      </c>
      <c r="AP83" s="758">
        <v>0.25</v>
      </c>
      <c r="AQ83" s="748">
        <f t="shared" si="69"/>
        <v>0.49730000000000002</v>
      </c>
      <c r="AR83" s="743">
        <f t="shared" si="70"/>
        <v>895140</v>
      </c>
      <c r="AS83" s="964"/>
      <c r="AT83" s="743">
        <f t="shared" si="71"/>
        <v>4099419</v>
      </c>
      <c r="AU83" s="749">
        <f t="shared" si="72"/>
        <v>68</v>
      </c>
      <c r="AV83" s="750" t="s">
        <v>1635</v>
      </c>
      <c r="AW83" s="660"/>
    </row>
    <row r="84" spans="1:59" s="189" customFormat="1" ht="42.75" customHeight="1" x14ac:dyDescent="0.25">
      <c r="A84" s="971">
        <f t="shared" si="73"/>
        <v>69</v>
      </c>
      <c r="B84" s="971"/>
      <c r="C84" s="971"/>
      <c r="D84" s="972" t="s">
        <v>1599</v>
      </c>
      <c r="E84" s="973" t="s">
        <v>1628</v>
      </c>
      <c r="F84" s="974"/>
      <c r="G84" s="974"/>
      <c r="H84" s="974"/>
      <c r="I84" s="974"/>
      <c r="J84" s="974"/>
      <c r="K84" s="971"/>
      <c r="L84" s="975"/>
      <c r="M84" s="976"/>
      <c r="N84" s="973"/>
      <c r="O84" s="973" t="s">
        <v>1438</v>
      </c>
      <c r="P84" s="976"/>
      <c r="Q84" s="976"/>
      <c r="R84" s="976">
        <v>1.9890000000000001</v>
      </c>
      <c r="S84" s="977"/>
      <c r="T84" s="974"/>
      <c r="U84" s="977"/>
      <c r="V84" s="978"/>
      <c r="W84" s="976"/>
      <c r="X84" s="979">
        <v>0</v>
      </c>
      <c r="Y84" s="980">
        <f t="shared" si="59"/>
        <v>0</v>
      </c>
      <c r="Z84" s="980">
        <f t="shared" si="60"/>
        <v>1.9890000000000001</v>
      </c>
      <c r="AA84" s="981">
        <f t="shared" si="61"/>
        <v>3580200</v>
      </c>
      <c r="AB84" s="981">
        <v>24</v>
      </c>
      <c r="AC84" s="981">
        <f t="shared" si="62"/>
        <v>3580200</v>
      </c>
      <c r="AD84" s="981">
        <v>0</v>
      </c>
      <c r="AE84" s="981">
        <f t="shared" si="63"/>
        <v>0</v>
      </c>
      <c r="AF84" s="982">
        <v>0</v>
      </c>
      <c r="AG84" s="982">
        <v>0</v>
      </c>
      <c r="AH84" s="982">
        <v>0</v>
      </c>
      <c r="AI84" s="982"/>
      <c r="AJ84" s="982">
        <f t="shared" si="67"/>
        <v>0</v>
      </c>
      <c r="AK84" s="983"/>
      <c r="AL84" s="984"/>
      <c r="AM84" s="984"/>
      <c r="AN84" s="984"/>
      <c r="AO84" s="985">
        <f t="shared" si="68"/>
        <v>1.9890000000000001</v>
      </c>
      <c r="AP84" s="986"/>
      <c r="AQ84" s="987">
        <f t="shared" si="69"/>
        <v>0</v>
      </c>
      <c r="AR84" s="982">
        <f t="shared" si="70"/>
        <v>0</v>
      </c>
      <c r="AS84" s="982"/>
      <c r="AT84" s="982">
        <f t="shared" si="71"/>
        <v>0</v>
      </c>
      <c r="AU84" s="988">
        <f t="shared" si="72"/>
        <v>69</v>
      </c>
      <c r="AV84" s="989" t="s">
        <v>1637</v>
      </c>
      <c r="AW84" s="660"/>
    </row>
    <row r="85" spans="1:59" s="109" customFormat="1" ht="27.75" customHeight="1" x14ac:dyDescent="0.25">
      <c r="A85" s="836"/>
      <c r="B85" s="837" t="e">
        <f>VLOOKUP(D85,[1]LuongBC_T01!$B$9:$C$292,2,FALSE)</f>
        <v>#N/A</v>
      </c>
      <c r="C85" s="868"/>
      <c r="D85" s="1158" t="s">
        <v>665</v>
      </c>
      <c r="E85" s="1159"/>
      <c r="F85" s="1159"/>
      <c r="G85" s="1159"/>
      <c r="H85" s="1159"/>
      <c r="I85" s="1159"/>
      <c r="J85" s="1159"/>
      <c r="K85" s="1159"/>
      <c r="L85" s="1159"/>
      <c r="M85" s="1159"/>
      <c r="N85" s="1159"/>
      <c r="O85" s="1159"/>
      <c r="P85" s="1159"/>
      <c r="Q85" s="1159"/>
      <c r="R85" s="838">
        <f>SUM(R78:R84)</f>
        <v>14.483000000000002</v>
      </c>
      <c r="S85" s="839"/>
      <c r="T85" s="840">
        <f>SUM(T154:T154)</f>
        <v>0</v>
      </c>
      <c r="U85" s="841">
        <f>SUM(U78:U84)</f>
        <v>0</v>
      </c>
      <c r="V85" s="842"/>
      <c r="W85" s="842">
        <f>SUM(W78:W84)</f>
        <v>0</v>
      </c>
      <c r="X85" s="842">
        <f ca="1">SUM(X78:X148)</f>
        <v>0</v>
      </c>
      <c r="Y85" s="843">
        <f>SUM(Y78:Y84)</f>
        <v>0</v>
      </c>
      <c r="Z85" s="844">
        <f>SUM(Z78:Z84)</f>
        <v>14.483000000000002</v>
      </c>
      <c r="AA85" s="842">
        <f>SUM(AA78:AA84)</f>
        <v>26069400</v>
      </c>
      <c r="AB85" s="842"/>
      <c r="AC85" s="842">
        <f t="shared" ref="AC85:AH85" si="74">SUM(AC78:AC84)</f>
        <v>3580200</v>
      </c>
      <c r="AD85" s="842">
        <f t="shared" si="74"/>
        <v>0</v>
      </c>
      <c r="AE85" s="842">
        <f t="shared" si="74"/>
        <v>22489200</v>
      </c>
      <c r="AF85" s="845">
        <f t="shared" si="74"/>
        <v>1799136</v>
      </c>
      <c r="AG85" s="845">
        <f t="shared" si="74"/>
        <v>337338</v>
      </c>
      <c r="AH85" s="845">
        <f t="shared" si="74"/>
        <v>224892</v>
      </c>
      <c r="AI85" s="845"/>
      <c r="AJ85" s="845">
        <f>SUM(AJ78:AJ84)</f>
        <v>2361366</v>
      </c>
      <c r="AK85" s="845">
        <f>SUM(AK78:AK84)</f>
        <v>0</v>
      </c>
      <c r="AL85" s="845">
        <f>SUM(AL78:AL84)</f>
        <v>0</v>
      </c>
      <c r="AM85" s="845">
        <f>SUM(AM78:AM84)</f>
        <v>0</v>
      </c>
      <c r="AN85" s="845">
        <f>SUM(AN78:AN84)</f>
        <v>0</v>
      </c>
      <c r="AO85" s="846">
        <f ca="1">SUM(AO78:AO148)</f>
        <v>3.9780000000000002</v>
      </c>
      <c r="AP85" s="847">
        <f ca="1">SUM(AP78:AP148)</f>
        <v>0.5</v>
      </c>
      <c r="AQ85" s="841">
        <f>SUM(AQ78:AQ84)</f>
        <v>3.1238000000000001</v>
      </c>
      <c r="AR85" s="845">
        <f>SUM(AR78:AR84)</f>
        <v>5622840</v>
      </c>
      <c r="AS85" s="845" t="e">
        <f>SUM(#REF!)</f>
        <v>#REF!</v>
      </c>
      <c r="AT85" s="845">
        <f>SUM(AT78:AT84)</f>
        <v>25750674</v>
      </c>
      <c r="AU85" s="848"/>
      <c r="AV85" s="849"/>
      <c r="AW85" s="89"/>
      <c r="AX85" s="553"/>
      <c r="AY85" s="553"/>
      <c r="AZ85" s="553"/>
      <c r="BA85" s="553"/>
      <c r="BB85" s="553"/>
      <c r="BC85" s="553"/>
      <c r="BD85" s="553"/>
      <c r="BE85" s="553"/>
      <c r="BF85" s="553"/>
      <c r="BG85" s="553"/>
    </row>
    <row r="86" spans="1:59" s="99" customFormat="1" ht="27.75" customHeight="1" x14ac:dyDescent="0.25">
      <c r="A86" s="855"/>
      <c r="B86" s="250" t="e">
        <f>VLOOKUP(D86,[1]LuongBC_T01!$B$9:$C$292,2,FALSE)</f>
        <v>#N/A</v>
      </c>
      <c r="C86" s="869"/>
      <c r="D86" s="1160" t="s">
        <v>50</v>
      </c>
      <c r="E86" s="1160"/>
      <c r="F86" s="1160"/>
      <c r="G86" s="1160"/>
      <c r="H86" s="1160"/>
      <c r="I86" s="1160"/>
      <c r="J86" s="1160"/>
      <c r="K86" s="1160"/>
      <c r="L86" s="1160"/>
      <c r="M86" s="1160"/>
      <c r="N86" s="1160"/>
      <c r="O86" s="1160"/>
      <c r="P86" s="1160"/>
      <c r="Q86" s="1160"/>
      <c r="R86" s="1160"/>
      <c r="S86" s="856"/>
      <c r="T86" s="350"/>
      <c r="U86" s="102"/>
      <c r="V86" s="136"/>
      <c r="W86" s="126"/>
      <c r="X86" s="135"/>
      <c r="Y86" s="134"/>
      <c r="Z86" s="134"/>
      <c r="AA86" s="134"/>
      <c r="AB86" s="134"/>
      <c r="AC86" s="134"/>
      <c r="AD86" s="134"/>
      <c r="AE86" s="134"/>
      <c r="AF86" s="131"/>
      <c r="AG86" s="131"/>
      <c r="AH86" s="131"/>
      <c r="AI86" s="131"/>
      <c r="AJ86" s="131"/>
      <c r="AK86" s="137"/>
      <c r="AL86" s="131"/>
      <c r="AM86" s="131"/>
      <c r="AN86" s="131"/>
      <c r="AO86" s="497"/>
      <c r="AP86" s="135"/>
      <c r="AQ86" s="133"/>
      <c r="AR86" s="131"/>
      <c r="AS86" s="131"/>
      <c r="AT86" s="131"/>
      <c r="AU86" s="936"/>
      <c r="AV86" s="937"/>
      <c r="AW86" s="52"/>
      <c r="AX86" s="29"/>
      <c r="AY86" s="29"/>
      <c r="AZ86" s="29"/>
      <c r="BA86" s="29"/>
      <c r="BB86" s="29"/>
      <c r="BC86" s="29"/>
      <c r="BD86" s="29"/>
      <c r="BE86" s="29"/>
      <c r="BF86" s="29"/>
      <c r="BG86" s="29"/>
    </row>
    <row r="87" spans="1:59" s="99" customFormat="1" ht="27.75" customHeight="1" x14ac:dyDescent="0.25">
      <c r="A87" s="855"/>
      <c r="B87" s="250" t="e">
        <f>VLOOKUP(D87,[1]LuongBC_T01!$B$9:$C$292,2,FALSE)</f>
        <v>#N/A</v>
      </c>
      <c r="C87" s="869"/>
      <c r="D87" s="1161" t="s">
        <v>51</v>
      </c>
      <c r="E87" s="1161"/>
      <c r="F87" s="1161"/>
      <c r="G87" s="1161"/>
      <c r="H87" s="1161"/>
      <c r="I87" s="1161"/>
      <c r="J87" s="1161"/>
      <c r="K87" s="1161"/>
      <c r="L87" s="1161"/>
      <c r="M87" s="1161"/>
      <c r="N87" s="1161"/>
      <c r="O87" s="1161"/>
      <c r="P87" s="1161"/>
      <c r="Q87" s="1161"/>
      <c r="R87" s="1161"/>
      <c r="S87" s="1161"/>
      <c r="T87" s="350"/>
      <c r="U87" s="102"/>
      <c r="V87" s="857"/>
      <c r="W87" s="126"/>
      <c r="X87" s="135"/>
      <c r="Y87" s="134"/>
      <c r="Z87" s="134"/>
      <c r="AA87" s="134"/>
      <c r="AB87" s="134"/>
      <c r="AC87" s="134"/>
      <c r="AD87" s="134"/>
      <c r="AE87" s="134"/>
      <c r="AF87" s="131"/>
      <c r="AG87" s="131"/>
      <c r="AH87" s="131"/>
      <c r="AI87" s="131"/>
      <c r="AJ87" s="131"/>
      <c r="AK87" s="137"/>
      <c r="AL87" s="131"/>
      <c r="AM87" s="131"/>
      <c r="AN87" s="131"/>
      <c r="AO87" s="497"/>
      <c r="AP87" s="135"/>
      <c r="AQ87" s="133"/>
      <c r="AR87" s="131"/>
      <c r="AS87" s="131"/>
      <c r="AT87" s="131"/>
      <c r="AU87" s="936"/>
      <c r="AV87" s="938"/>
      <c r="AW87" s="88"/>
      <c r="AX87" s="29"/>
      <c r="AY87" s="29"/>
      <c r="AZ87" s="29"/>
      <c r="BA87" s="29"/>
      <c r="BB87" s="29"/>
      <c r="BC87" s="29"/>
      <c r="BD87" s="29"/>
      <c r="BE87" s="29"/>
      <c r="BF87" s="29"/>
      <c r="BG87" s="29"/>
    </row>
    <row r="88" spans="1:59" s="189" customFormat="1" ht="45.75" customHeight="1" x14ac:dyDescent="0.25">
      <c r="A88" s="904">
        <f>A84+1</f>
        <v>70</v>
      </c>
      <c r="B88" s="485" t="str">
        <f>VLOOKUP(D88,[1]LuongBC_T01!$B$9:$C$292,2,FALSE)</f>
        <v>0016100006799005</v>
      </c>
      <c r="C88" s="870" t="s">
        <v>981</v>
      </c>
      <c r="D88" s="525" t="s">
        <v>1279</v>
      </c>
      <c r="E88" s="522" t="s">
        <v>1452</v>
      </c>
      <c r="F88" s="525"/>
      <c r="G88" s="526"/>
      <c r="H88" s="525"/>
      <c r="I88" s="525"/>
      <c r="J88" s="525"/>
      <c r="K88" s="526" t="str">
        <f>VLOOKUP(D88,[2]T3!$B$2:$D$328,3,FALSE)</f>
        <v>080185000458</v>
      </c>
      <c r="L88" s="850"/>
      <c r="M88" s="850"/>
      <c r="N88" s="851" t="str">
        <f>VLOOKUP(D88,'[5]Bao cao So GDDT'!$D$14:$S$282,11,FALSE)</f>
        <v>Chuyên viên</v>
      </c>
      <c r="O88" s="852" t="s">
        <v>39</v>
      </c>
      <c r="P88" s="526"/>
      <c r="Q88" s="526"/>
      <c r="R88" s="535">
        <v>3.33</v>
      </c>
      <c r="S88" s="463">
        <f>U88+W88+Y88</f>
        <v>0.35</v>
      </c>
      <c r="T88" s="534"/>
      <c r="U88" s="463">
        <f t="shared" ref="U88:U119" si="75">ROUND(R88*T88/100,4)</f>
        <v>0</v>
      </c>
      <c r="V88" s="530"/>
      <c r="W88" s="535">
        <v>0.35</v>
      </c>
      <c r="X88" s="531">
        <f>VLOOKUP(D88,PCTN!D105:W372,20,FALSE)</f>
        <v>0</v>
      </c>
      <c r="Y88" s="532">
        <f t="shared" ref="Y88:Y119" si="76">ROUND((R88+U88+W88)*X88,4)</f>
        <v>0</v>
      </c>
      <c r="Z88" s="532">
        <f t="shared" ref="Z88:Z119" si="77">R88+U88+W88+Y88</f>
        <v>3.68</v>
      </c>
      <c r="AA88" s="533">
        <f t="shared" ref="AA88:AA119" si="78">ROUND(Z88*$D$8,0)</f>
        <v>6624000</v>
      </c>
      <c r="AB88" s="533"/>
      <c r="AC88" s="533">
        <f t="shared" ref="AC88:AC119" si="79">AA88/24*AB88</f>
        <v>0</v>
      </c>
      <c r="AD88" s="533">
        <f>AA88/24*AB88*75%</f>
        <v>0</v>
      </c>
      <c r="AE88" s="533">
        <f t="shared" ref="AE88:AE119" si="80">ROUND(AA88-AC88+AD88,0)</f>
        <v>6624000</v>
      </c>
      <c r="AF88" s="534">
        <f t="shared" ref="AF88:AF119" si="81">AA88*8%</f>
        <v>529920</v>
      </c>
      <c r="AG88" s="534">
        <f t="shared" ref="AG88:AG119" si="82">AA88*1.5%</f>
        <v>99360</v>
      </c>
      <c r="AH88" s="534">
        <f t="shared" ref="AH88:AH119" si="83">AA88*1%</f>
        <v>66240</v>
      </c>
      <c r="AI88" s="534"/>
      <c r="AJ88" s="534">
        <f t="shared" ref="AJ88:AJ119" si="84">SUM(AF88:AI88)</f>
        <v>695520</v>
      </c>
      <c r="AK88" s="853"/>
      <c r="AL88" s="536">
        <f>AK88*$D$8</f>
        <v>0</v>
      </c>
      <c r="AM88" s="536"/>
      <c r="AN88" s="536"/>
      <c r="AO88" s="532">
        <f>R88+U88+W88</f>
        <v>3.68</v>
      </c>
      <c r="AP88" s="531"/>
      <c r="AQ88" s="538">
        <f t="shared" ref="AQ88:AQ119" si="85">ROUND(AO88*AP88,4)</f>
        <v>0</v>
      </c>
      <c r="AR88" s="534">
        <f t="shared" ref="AR88:AR119" si="86">ROUND(AQ88*$D$8,0)</f>
        <v>0</v>
      </c>
      <c r="AS88" s="534"/>
      <c r="AT88" s="534">
        <f t="shared" ref="AT88:AT119" si="87">ROUND(AE88-AJ88+AL88+AN88+AR88,0)</f>
        <v>5928480</v>
      </c>
      <c r="AU88" s="539">
        <f t="shared" ref="AU88:AU108" si="88">A88</f>
        <v>70</v>
      </c>
      <c r="AV88" s="854"/>
      <c r="AW88" s="223"/>
      <c r="AX88" s="29"/>
      <c r="AY88" s="29"/>
      <c r="AZ88" s="29"/>
      <c r="BA88" s="29"/>
      <c r="BB88" s="29"/>
      <c r="BC88" s="29"/>
      <c r="BD88" s="29"/>
      <c r="BE88" s="29"/>
      <c r="BF88" s="29"/>
      <c r="BG88" s="29"/>
    </row>
    <row r="89" spans="1:59" s="189" customFormat="1" ht="37.5" customHeight="1" x14ac:dyDescent="0.25">
      <c r="A89" s="900">
        <f>A88+1</f>
        <v>71</v>
      </c>
      <c r="B89" s="168" t="str">
        <f>VLOOKUP(D89,[1]LuongBC_T01!$B$9:$C$292,2,FALSE)</f>
        <v>0016100006518006</v>
      </c>
      <c r="C89" s="546">
        <v>11100115713</v>
      </c>
      <c r="D89" s="545" t="s">
        <v>655</v>
      </c>
      <c r="E89" s="263" t="s">
        <v>1452</v>
      </c>
      <c r="F89" s="565"/>
      <c r="G89" s="565"/>
      <c r="H89" s="565"/>
      <c r="I89" s="565"/>
      <c r="J89" s="565"/>
      <c r="K89" s="566"/>
      <c r="L89" s="565"/>
      <c r="M89" s="546"/>
      <c r="N89" s="263" t="str">
        <f>VLOOKUP(D89,'[5]Bao cao So GDDT'!$D$14:$S$282,11,FALSE)</f>
        <v>Giảng viên GDNN LT (hạng III)</v>
      </c>
      <c r="O89" s="263" t="s">
        <v>1438</v>
      </c>
      <c r="P89" s="567"/>
      <c r="Q89" s="567"/>
      <c r="R89" s="552">
        <v>3</v>
      </c>
      <c r="S89" s="547"/>
      <c r="T89" s="565"/>
      <c r="U89" s="547">
        <f t="shared" si="75"/>
        <v>0</v>
      </c>
      <c r="V89" s="548"/>
      <c r="W89" s="546">
        <v>0.35</v>
      </c>
      <c r="X89" s="179">
        <v>0</v>
      </c>
      <c r="Y89" s="549">
        <f t="shared" si="76"/>
        <v>0</v>
      </c>
      <c r="Z89" s="549">
        <f t="shared" si="77"/>
        <v>3.35</v>
      </c>
      <c r="AA89" s="550">
        <f t="shared" si="78"/>
        <v>6030000</v>
      </c>
      <c r="AB89" s="550"/>
      <c r="AC89" s="550">
        <f t="shared" si="79"/>
        <v>0</v>
      </c>
      <c r="AD89" s="550">
        <f>AA89/24*AB89*75%</f>
        <v>0</v>
      </c>
      <c r="AE89" s="550">
        <f t="shared" si="80"/>
        <v>6030000</v>
      </c>
      <c r="AF89" s="551">
        <f t="shared" si="81"/>
        <v>482400</v>
      </c>
      <c r="AG89" s="551">
        <f t="shared" si="82"/>
        <v>90450</v>
      </c>
      <c r="AH89" s="551">
        <f t="shared" si="83"/>
        <v>60300</v>
      </c>
      <c r="AI89" s="551"/>
      <c r="AJ89" s="551">
        <f t="shared" si="84"/>
        <v>633150</v>
      </c>
      <c r="AK89" s="568"/>
      <c r="AL89" s="182">
        <f t="shared" ref="AL89:AL94" si="89">AK89*$D$8</f>
        <v>0</v>
      </c>
      <c r="AM89" s="569"/>
      <c r="AN89" s="569"/>
      <c r="AO89" s="570">
        <f>R89+U89+W89</f>
        <v>3.35</v>
      </c>
      <c r="AP89" s="641">
        <v>0.25</v>
      </c>
      <c r="AQ89" s="185">
        <f t="shared" si="85"/>
        <v>0.83750000000000002</v>
      </c>
      <c r="AR89" s="178">
        <f t="shared" si="86"/>
        <v>1507500</v>
      </c>
      <c r="AS89" s="551"/>
      <c r="AT89" s="178">
        <f t="shared" si="87"/>
        <v>6904350</v>
      </c>
      <c r="AU89" s="469">
        <f t="shared" si="88"/>
        <v>71</v>
      </c>
      <c r="AV89" s="195"/>
      <c r="AW89" s="486"/>
    </row>
    <row r="90" spans="1:59" s="189" customFormat="1" ht="45" customHeight="1" x14ac:dyDescent="0.25">
      <c r="A90" s="900">
        <f t="shared" ref="A90:A153" si="90">A89+1</f>
        <v>72</v>
      </c>
      <c r="B90" s="168" t="str">
        <f>VLOOKUP(D90,[1]LuongBC_T01!$B$9:$C$292,2,FALSE)</f>
        <v>0016100006765003</v>
      </c>
      <c r="C90" s="371" t="s">
        <v>1041</v>
      </c>
      <c r="D90" s="230" t="s">
        <v>781</v>
      </c>
      <c r="E90" s="263" t="s">
        <v>1107</v>
      </c>
      <c r="F90" s="231"/>
      <c r="G90" s="231"/>
      <c r="H90" s="231"/>
      <c r="I90" s="169" t="s">
        <v>284</v>
      </c>
      <c r="J90" s="231"/>
      <c r="K90" s="170" t="str">
        <f>VLOOKUP(D90,[2]T3!$B$2:$D$328,3,FALSE)</f>
        <v>025310266</v>
      </c>
      <c r="L90" s="249">
        <v>1603205280047</v>
      </c>
      <c r="M90" s="249" t="s">
        <v>1041</v>
      </c>
      <c r="N90" s="263" t="str">
        <f>VLOOKUP(D90,'[5]Bao cao So GDDT'!$D$14:$S$282,11,FALSE)</f>
        <v>Lưu trữ viên
(hạng III)</v>
      </c>
      <c r="O90" s="393" t="s">
        <v>1117</v>
      </c>
      <c r="P90" s="170" t="s">
        <v>692</v>
      </c>
      <c r="Q90" s="170">
        <v>3</v>
      </c>
      <c r="R90" s="192">
        <v>3.66</v>
      </c>
      <c r="S90" s="176">
        <f>U90+W90+Y90</f>
        <v>0</v>
      </c>
      <c r="T90" s="178"/>
      <c r="U90" s="176">
        <f t="shared" si="75"/>
        <v>0</v>
      </c>
      <c r="V90" s="175">
        <f>R90*T90*$D$8/100</f>
        <v>0</v>
      </c>
      <c r="W90" s="178"/>
      <c r="X90" s="179">
        <f>VLOOKUP(D90,PCTN!D139:W406,20,FALSE)</f>
        <v>0</v>
      </c>
      <c r="Y90" s="216">
        <f t="shared" si="76"/>
        <v>0</v>
      </c>
      <c r="Z90" s="216">
        <f t="shared" si="77"/>
        <v>3.66</v>
      </c>
      <c r="AA90" s="180">
        <f t="shared" si="78"/>
        <v>6588000</v>
      </c>
      <c r="AB90" s="180"/>
      <c r="AC90" s="180">
        <f t="shared" si="79"/>
        <v>0</v>
      </c>
      <c r="AD90" s="180">
        <f>AA90/24*AB90*75%</f>
        <v>0</v>
      </c>
      <c r="AE90" s="180">
        <f t="shared" si="80"/>
        <v>6588000</v>
      </c>
      <c r="AF90" s="178">
        <f t="shared" si="81"/>
        <v>527040</v>
      </c>
      <c r="AG90" s="178">
        <f t="shared" si="82"/>
        <v>98820</v>
      </c>
      <c r="AH90" s="178">
        <f t="shared" si="83"/>
        <v>65880</v>
      </c>
      <c r="AI90" s="178"/>
      <c r="AJ90" s="178">
        <f t="shared" si="84"/>
        <v>691740</v>
      </c>
      <c r="AK90" s="215"/>
      <c r="AL90" s="182">
        <f t="shared" si="89"/>
        <v>0</v>
      </c>
      <c r="AM90" s="182"/>
      <c r="AN90" s="182"/>
      <c r="AO90" s="216"/>
      <c r="AP90" s="179"/>
      <c r="AQ90" s="194">
        <f t="shared" si="85"/>
        <v>0</v>
      </c>
      <c r="AR90" s="178">
        <f t="shared" si="86"/>
        <v>0</v>
      </c>
      <c r="AS90" s="178"/>
      <c r="AT90" s="178">
        <f t="shared" si="87"/>
        <v>5896260</v>
      </c>
      <c r="AU90" s="469">
        <f t="shared" si="88"/>
        <v>72</v>
      </c>
      <c r="AV90" s="195"/>
      <c r="AW90" s="242"/>
    </row>
    <row r="91" spans="1:59" s="189" customFormat="1" ht="43.5" customHeight="1" x14ac:dyDescent="0.25">
      <c r="A91" s="900">
        <f t="shared" si="90"/>
        <v>73</v>
      </c>
      <c r="B91" s="168" t="str">
        <f>VLOOKUP(D91,[1]LuongBC_T01!$B$9:$C$292,2,FALSE)</f>
        <v>0016100006864001</v>
      </c>
      <c r="C91" s="30" t="s">
        <v>1333</v>
      </c>
      <c r="D91" s="169" t="s">
        <v>1274</v>
      </c>
      <c r="E91" s="263" t="s">
        <v>1107</v>
      </c>
      <c r="F91" s="220"/>
      <c r="G91" s="220"/>
      <c r="H91" s="220"/>
      <c r="I91" s="220"/>
      <c r="J91" s="220"/>
      <c r="K91" s="170" t="str">
        <f>VLOOKUP(D91,[2]T3!$B$2:$D$328,3,FALSE)</f>
        <v>025575045</v>
      </c>
      <c r="L91" s="220"/>
      <c r="M91" s="170"/>
      <c r="N91" s="263" t="str">
        <f>VLOOKUP(D91,'[5]Bao cao So GDDT'!$D$14:$S$282,11,FALSE)</f>
        <v>Lưu trữ viên
(hạng III)</v>
      </c>
      <c r="O91" s="263" t="s">
        <v>1117</v>
      </c>
      <c r="P91" s="251" t="s">
        <v>1267</v>
      </c>
      <c r="Q91" s="251">
        <v>1</v>
      </c>
      <c r="R91" s="177">
        <f>2.26+0.15</f>
        <v>2.4099999999999997</v>
      </c>
      <c r="S91" s="176"/>
      <c r="T91" s="220"/>
      <c r="U91" s="176">
        <f t="shared" si="75"/>
        <v>0</v>
      </c>
      <c r="V91" s="175"/>
      <c r="W91" s="170"/>
      <c r="X91" s="179">
        <f>VLOOKUP(D91,PCTN!D140:W407,20,FALSE)</f>
        <v>0</v>
      </c>
      <c r="Y91" s="216">
        <f t="shared" si="76"/>
        <v>0</v>
      </c>
      <c r="Z91" s="216">
        <f t="shared" si="77"/>
        <v>2.4099999999999997</v>
      </c>
      <c r="AA91" s="180">
        <f t="shared" si="78"/>
        <v>4338000</v>
      </c>
      <c r="AB91" s="180"/>
      <c r="AC91" s="180">
        <f t="shared" si="79"/>
        <v>0</v>
      </c>
      <c r="AD91" s="180">
        <v>0</v>
      </c>
      <c r="AE91" s="180">
        <f t="shared" si="80"/>
        <v>4338000</v>
      </c>
      <c r="AF91" s="178">
        <f t="shared" si="81"/>
        <v>347040</v>
      </c>
      <c r="AG91" s="178">
        <f t="shared" si="82"/>
        <v>65070</v>
      </c>
      <c r="AH91" s="178">
        <f t="shared" si="83"/>
        <v>43380</v>
      </c>
      <c r="AI91" s="178"/>
      <c r="AJ91" s="178">
        <f t="shared" si="84"/>
        <v>455490</v>
      </c>
      <c r="AK91" s="192"/>
      <c r="AL91" s="182">
        <f t="shared" si="89"/>
        <v>0</v>
      </c>
      <c r="AM91" s="182"/>
      <c r="AN91" s="182"/>
      <c r="AO91" s="183">
        <f>R91+U91+W91</f>
        <v>2.4099999999999997</v>
      </c>
      <c r="AP91" s="179"/>
      <c r="AQ91" s="185">
        <f t="shared" si="85"/>
        <v>0</v>
      </c>
      <c r="AR91" s="178">
        <f t="shared" si="86"/>
        <v>0</v>
      </c>
      <c r="AS91" s="178"/>
      <c r="AT91" s="178">
        <f t="shared" si="87"/>
        <v>3882510</v>
      </c>
      <c r="AU91" s="469">
        <f t="shared" si="88"/>
        <v>73</v>
      </c>
      <c r="AV91" s="195"/>
      <c r="AW91" s="486"/>
      <c r="AX91" s="29"/>
      <c r="AY91" s="29"/>
      <c r="AZ91" s="29"/>
      <c r="BA91" s="29"/>
      <c r="BB91" s="29"/>
      <c r="BC91" s="29"/>
      <c r="BD91" s="29"/>
      <c r="BE91" s="29"/>
      <c r="BF91" s="29"/>
      <c r="BG91" s="29"/>
    </row>
    <row r="92" spans="1:59" s="189" customFormat="1" ht="44.25" customHeight="1" x14ac:dyDescent="0.25">
      <c r="A92" s="900">
        <f t="shared" si="90"/>
        <v>74</v>
      </c>
      <c r="B92" s="168" t="str">
        <f>VLOOKUP(D92,[1]LuongBC_T01!$B$9:$C$292,2,FALSE)</f>
        <v>0016100006635002</v>
      </c>
      <c r="C92" s="865" t="s">
        <v>934</v>
      </c>
      <c r="D92" s="169" t="s">
        <v>1140</v>
      </c>
      <c r="E92" s="263" t="s">
        <v>1107</v>
      </c>
      <c r="F92" s="169" t="s">
        <v>553</v>
      </c>
      <c r="G92" s="170" t="s">
        <v>25</v>
      </c>
      <c r="H92" s="170"/>
      <c r="I92" s="170" t="s">
        <v>284</v>
      </c>
      <c r="J92" s="169" t="s">
        <v>265</v>
      </c>
      <c r="K92" s="170" t="str">
        <f>VLOOKUP(D92,[2]T3!$B$2:$D$328,3,FALSE)</f>
        <v>023547031</v>
      </c>
      <c r="L92" s="171" t="s">
        <v>162</v>
      </c>
      <c r="M92" s="171" t="s">
        <v>934</v>
      </c>
      <c r="N92" s="835" t="str">
        <f>VLOOKUP(D92,'[5]Bao cao So GDDT'!$D$14:$S$282,11,FALSE)</f>
        <v>Chuyên viên</v>
      </c>
      <c r="O92" s="391" t="s">
        <v>39</v>
      </c>
      <c r="P92" s="222" t="s">
        <v>698</v>
      </c>
      <c r="Q92" s="172">
        <v>6</v>
      </c>
      <c r="R92" s="174">
        <v>3.66</v>
      </c>
      <c r="S92" s="176">
        <f t="shared" ref="S92:S104" si="91">U92+W92+Y92</f>
        <v>0</v>
      </c>
      <c r="T92" s="370"/>
      <c r="U92" s="176">
        <f t="shared" si="75"/>
        <v>0</v>
      </c>
      <c r="V92" s="175">
        <f t="shared" ref="V92:V104" si="92">R92*T92*$D$8/100</f>
        <v>0</v>
      </c>
      <c r="W92" s="170"/>
      <c r="X92" s="179">
        <f>VLOOKUP(D92,PCTN!D153:W420,20,FALSE)</f>
        <v>0</v>
      </c>
      <c r="Y92" s="216">
        <f t="shared" si="76"/>
        <v>0</v>
      </c>
      <c r="Z92" s="216">
        <f t="shared" si="77"/>
        <v>3.66</v>
      </c>
      <c r="AA92" s="180">
        <f t="shared" si="78"/>
        <v>6588000</v>
      </c>
      <c r="AB92" s="180"/>
      <c r="AC92" s="180">
        <f t="shared" si="79"/>
        <v>0</v>
      </c>
      <c r="AD92" s="180">
        <f t="shared" ref="AD92:AD98" si="93">AA92/24*AB92*75%</f>
        <v>0</v>
      </c>
      <c r="AE92" s="180">
        <f t="shared" si="80"/>
        <v>6588000</v>
      </c>
      <c r="AF92" s="178">
        <f t="shared" si="81"/>
        <v>527040</v>
      </c>
      <c r="AG92" s="178">
        <f t="shared" si="82"/>
        <v>98820</v>
      </c>
      <c r="AH92" s="178">
        <f t="shared" si="83"/>
        <v>65880</v>
      </c>
      <c r="AI92" s="178"/>
      <c r="AJ92" s="178">
        <f t="shared" si="84"/>
        <v>691740</v>
      </c>
      <c r="AK92" s="192"/>
      <c r="AL92" s="182">
        <f t="shared" si="89"/>
        <v>0</v>
      </c>
      <c r="AM92" s="182"/>
      <c r="AN92" s="182"/>
      <c r="AO92" s="193">
        <f>R92+U92+W92</f>
        <v>3.66</v>
      </c>
      <c r="AP92" s="179"/>
      <c r="AQ92" s="194">
        <f t="shared" si="85"/>
        <v>0</v>
      </c>
      <c r="AR92" s="178">
        <f t="shared" si="86"/>
        <v>0</v>
      </c>
      <c r="AS92" s="178"/>
      <c r="AT92" s="178">
        <f t="shared" si="87"/>
        <v>5896260</v>
      </c>
      <c r="AU92" s="469">
        <f t="shared" si="88"/>
        <v>74</v>
      </c>
      <c r="AV92" s="186"/>
      <c r="AW92" s="52"/>
      <c r="AX92" s="29"/>
      <c r="AY92" s="29"/>
      <c r="AZ92" s="29"/>
      <c r="BA92" s="29"/>
      <c r="BB92" s="29"/>
      <c r="BC92" s="29"/>
      <c r="BD92" s="29"/>
      <c r="BE92" s="29"/>
      <c r="BF92" s="29"/>
      <c r="BG92" s="29"/>
    </row>
    <row r="93" spans="1:59" s="189" customFormat="1" ht="47.25" customHeight="1" x14ac:dyDescent="0.25">
      <c r="A93" s="900">
        <f t="shared" si="90"/>
        <v>75</v>
      </c>
      <c r="B93" s="168" t="str">
        <f>VLOOKUP(D93,[1]LuongBC_T01!$B$9:$C$292,2,FALSE)</f>
        <v>0016100006767006</v>
      </c>
      <c r="C93" s="865" t="s">
        <v>937</v>
      </c>
      <c r="D93" s="169" t="s">
        <v>652</v>
      </c>
      <c r="E93" s="263" t="s">
        <v>1107</v>
      </c>
      <c r="F93" s="169" t="s">
        <v>553</v>
      </c>
      <c r="G93" s="170" t="s">
        <v>25</v>
      </c>
      <c r="H93" s="169"/>
      <c r="I93" s="169" t="s">
        <v>284</v>
      </c>
      <c r="J93" s="169"/>
      <c r="K93" s="170" t="str">
        <f>VLOOKUP(D93,[2]T3!$B$2:$D$328,3,FALSE)</f>
        <v>024306087</v>
      </c>
      <c r="L93" s="213" t="s">
        <v>662</v>
      </c>
      <c r="M93" s="213" t="s">
        <v>937</v>
      </c>
      <c r="N93" s="835" t="str">
        <f>VLOOKUP(D93,'[5]Bao cao So GDDT'!$D$14:$S$282,11,FALSE)</f>
        <v>Chuyên viên</v>
      </c>
      <c r="O93" s="393" t="s">
        <v>39</v>
      </c>
      <c r="P93" s="170" t="s">
        <v>698</v>
      </c>
      <c r="Q93" s="170">
        <v>6</v>
      </c>
      <c r="R93" s="192">
        <v>3.33</v>
      </c>
      <c r="S93" s="176">
        <f t="shared" si="91"/>
        <v>0</v>
      </c>
      <c r="T93" s="178"/>
      <c r="U93" s="176">
        <f t="shared" si="75"/>
        <v>0</v>
      </c>
      <c r="V93" s="175">
        <f t="shared" si="92"/>
        <v>0</v>
      </c>
      <c r="W93" s="178"/>
      <c r="X93" s="179">
        <f>VLOOKUP(D93,PCTN!D157:W424,20,FALSE)</f>
        <v>0</v>
      </c>
      <c r="Y93" s="216">
        <f t="shared" si="76"/>
        <v>0</v>
      </c>
      <c r="Z93" s="216">
        <f t="shared" si="77"/>
        <v>3.33</v>
      </c>
      <c r="AA93" s="180">
        <f t="shared" si="78"/>
        <v>5994000</v>
      </c>
      <c r="AB93" s="180"/>
      <c r="AC93" s="180">
        <f t="shared" si="79"/>
        <v>0</v>
      </c>
      <c r="AD93" s="180">
        <f t="shared" si="93"/>
        <v>0</v>
      </c>
      <c r="AE93" s="180">
        <f t="shared" si="80"/>
        <v>5994000</v>
      </c>
      <c r="AF93" s="178">
        <f t="shared" si="81"/>
        <v>479520</v>
      </c>
      <c r="AG93" s="178">
        <f t="shared" si="82"/>
        <v>89910</v>
      </c>
      <c r="AH93" s="178">
        <f t="shared" si="83"/>
        <v>59940</v>
      </c>
      <c r="AI93" s="178"/>
      <c r="AJ93" s="178">
        <f t="shared" si="84"/>
        <v>629370</v>
      </c>
      <c r="AK93" s="215"/>
      <c r="AL93" s="182">
        <f t="shared" si="89"/>
        <v>0</v>
      </c>
      <c r="AM93" s="182"/>
      <c r="AN93" s="182"/>
      <c r="AO93" s="216"/>
      <c r="AP93" s="179"/>
      <c r="AQ93" s="194">
        <f t="shared" si="85"/>
        <v>0</v>
      </c>
      <c r="AR93" s="178">
        <f t="shared" si="86"/>
        <v>0</v>
      </c>
      <c r="AS93" s="178"/>
      <c r="AT93" s="178">
        <f t="shared" si="87"/>
        <v>5364630</v>
      </c>
      <c r="AU93" s="469">
        <f t="shared" si="88"/>
        <v>75</v>
      </c>
      <c r="AV93" s="195"/>
      <c r="AW93" s="52" t="s">
        <v>715</v>
      </c>
      <c r="AX93" s="29"/>
      <c r="AY93" s="29"/>
      <c r="AZ93" s="29"/>
      <c r="BA93" s="29"/>
      <c r="BB93" s="29"/>
      <c r="BC93" s="29"/>
      <c r="BD93" s="29"/>
      <c r="BE93" s="29"/>
      <c r="BF93" s="29"/>
      <c r="BG93" s="29"/>
    </row>
    <row r="94" spans="1:59" s="189" customFormat="1" ht="42" customHeight="1" x14ac:dyDescent="0.25">
      <c r="A94" s="900">
        <f t="shared" si="90"/>
        <v>76</v>
      </c>
      <c r="B94" s="168" t="str">
        <f>VLOOKUP(D94,[1]LuongBC_T01!$B$9:$C$292,2,FALSE)</f>
        <v>0016100006549009</v>
      </c>
      <c r="C94" s="371" t="s">
        <v>1047</v>
      </c>
      <c r="D94" s="230" t="s">
        <v>1211</v>
      </c>
      <c r="E94" s="263" t="s">
        <v>1107</v>
      </c>
      <c r="F94" s="231"/>
      <c r="G94" s="251" t="s">
        <v>25</v>
      </c>
      <c r="H94" s="231"/>
      <c r="I94" s="170" t="s">
        <v>284</v>
      </c>
      <c r="J94" s="231"/>
      <c r="K94" s="170" t="str">
        <f>VLOOKUP(D94,[2]T3!$B$2:$D$328,3,FALSE)</f>
        <v>025877702</v>
      </c>
      <c r="L94" s="226">
        <v>1603205360856</v>
      </c>
      <c r="M94" s="226" t="s">
        <v>1047</v>
      </c>
      <c r="N94" s="263" t="str">
        <f>VLOOKUP(D94,'[5]Bao cao So GDDT'!$D$14:$S$282,11,FALSE)</f>
        <v>Chuyên viên</v>
      </c>
      <c r="O94" s="393" t="s">
        <v>39</v>
      </c>
      <c r="P94" s="170" t="s">
        <v>697</v>
      </c>
      <c r="Q94" s="170">
        <v>1</v>
      </c>
      <c r="R94" s="177">
        <v>3.33</v>
      </c>
      <c r="S94" s="176">
        <f t="shared" si="91"/>
        <v>0</v>
      </c>
      <c r="T94" s="169"/>
      <c r="U94" s="176">
        <f t="shared" si="75"/>
        <v>0</v>
      </c>
      <c r="V94" s="175">
        <f t="shared" si="92"/>
        <v>0</v>
      </c>
      <c r="W94" s="170"/>
      <c r="X94" s="179">
        <f>VLOOKUP(D94,PCTN!D147:W414,20,FALSE)</f>
        <v>0</v>
      </c>
      <c r="Y94" s="216">
        <f t="shared" si="76"/>
        <v>0</v>
      </c>
      <c r="Z94" s="216">
        <f t="shared" si="77"/>
        <v>3.33</v>
      </c>
      <c r="AA94" s="180">
        <f t="shared" si="78"/>
        <v>5994000</v>
      </c>
      <c r="AB94" s="180"/>
      <c r="AC94" s="180">
        <f t="shared" si="79"/>
        <v>0</v>
      </c>
      <c r="AD94" s="180">
        <v>0</v>
      </c>
      <c r="AE94" s="180">
        <f t="shared" si="80"/>
        <v>5994000</v>
      </c>
      <c r="AF94" s="178">
        <f t="shared" si="81"/>
        <v>479520</v>
      </c>
      <c r="AG94" s="178">
        <f t="shared" si="82"/>
        <v>89910</v>
      </c>
      <c r="AH94" s="178">
        <f t="shared" si="83"/>
        <v>59940</v>
      </c>
      <c r="AI94" s="178"/>
      <c r="AJ94" s="178">
        <f t="shared" si="84"/>
        <v>629370</v>
      </c>
      <c r="AK94" s="192"/>
      <c r="AL94" s="182">
        <f t="shared" si="89"/>
        <v>0</v>
      </c>
      <c r="AM94" s="182"/>
      <c r="AN94" s="182"/>
      <c r="AO94" s="183">
        <f>R94+U94+W94</f>
        <v>3.33</v>
      </c>
      <c r="AP94" s="179"/>
      <c r="AQ94" s="194">
        <f t="shared" si="85"/>
        <v>0</v>
      </c>
      <c r="AR94" s="178">
        <f t="shared" si="86"/>
        <v>0</v>
      </c>
      <c r="AS94" s="178"/>
      <c r="AT94" s="178">
        <f t="shared" si="87"/>
        <v>5364630</v>
      </c>
      <c r="AU94" s="469">
        <f t="shared" si="88"/>
        <v>76</v>
      </c>
      <c r="AV94" s="195"/>
      <c r="AW94" s="239" t="s">
        <v>769</v>
      </c>
    </row>
    <row r="95" spans="1:59" s="189" customFormat="1" ht="42.75" customHeight="1" x14ac:dyDescent="0.25">
      <c r="A95" s="900">
        <f t="shared" si="90"/>
        <v>77</v>
      </c>
      <c r="B95" s="168" t="str">
        <f>VLOOKUP(D95,[1]LuongBC_T01!$B$9:$C$292,2,FALSE)</f>
        <v>0016100006576006</v>
      </c>
      <c r="C95" s="199" t="s">
        <v>932</v>
      </c>
      <c r="D95" s="169" t="s">
        <v>1212</v>
      </c>
      <c r="E95" s="263" t="s">
        <v>1107</v>
      </c>
      <c r="F95" s="169" t="s">
        <v>549</v>
      </c>
      <c r="G95" s="170" t="s">
        <v>25</v>
      </c>
      <c r="H95" s="170"/>
      <c r="I95" s="170" t="s">
        <v>284</v>
      </c>
      <c r="J95" s="169" t="s">
        <v>275</v>
      </c>
      <c r="K95" s="170" t="str">
        <f>VLOOKUP(D95,[2]T3!$B$2:$D$328,3,FALSE)</f>
        <v>023681257</v>
      </c>
      <c r="L95" s="171" t="s">
        <v>128</v>
      </c>
      <c r="M95" s="171" t="s">
        <v>932</v>
      </c>
      <c r="N95" s="263" t="s">
        <v>1606</v>
      </c>
      <c r="O95" s="391" t="s">
        <v>39</v>
      </c>
      <c r="P95" s="222" t="s">
        <v>698</v>
      </c>
      <c r="Q95" s="172">
        <v>6</v>
      </c>
      <c r="R95" s="174">
        <v>3.66</v>
      </c>
      <c r="S95" s="176">
        <f t="shared" si="91"/>
        <v>0</v>
      </c>
      <c r="T95" s="370"/>
      <c r="U95" s="176">
        <f t="shared" si="75"/>
        <v>0</v>
      </c>
      <c r="V95" s="175">
        <f t="shared" si="92"/>
        <v>0</v>
      </c>
      <c r="W95" s="170"/>
      <c r="X95" s="179">
        <f>VLOOKUP(D95,PCTN!D152:W419,20,FALSE)</f>
        <v>0</v>
      </c>
      <c r="Y95" s="216">
        <f t="shared" si="76"/>
        <v>0</v>
      </c>
      <c r="Z95" s="216">
        <f t="shared" si="77"/>
        <v>3.66</v>
      </c>
      <c r="AA95" s="180">
        <f t="shared" si="78"/>
        <v>6588000</v>
      </c>
      <c r="AB95" s="180"/>
      <c r="AC95" s="180">
        <f t="shared" si="79"/>
        <v>0</v>
      </c>
      <c r="AD95" s="180">
        <f t="shared" si="93"/>
        <v>0</v>
      </c>
      <c r="AE95" s="180">
        <f t="shared" si="80"/>
        <v>6588000</v>
      </c>
      <c r="AF95" s="178">
        <f t="shared" si="81"/>
        <v>527040</v>
      </c>
      <c r="AG95" s="178">
        <f t="shared" si="82"/>
        <v>98820</v>
      </c>
      <c r="AH95" s="178">
        <f t="shared" si="83"/>
        <v>65880</v>
      </c>
      <c r="AI95" s="178"/>
      <c r="AJ95" s="178">
        <f t="shared" si="84"/>
        <v>691740</v>
      </c>
      <c r="AK95" s="192"/>
      <c r="AL95" s="182">
        <f t="shared" ref="AL95:AL105" si="94">AK95*$D$8</f>
        <v>0</v>
      </c>
      <c r="AM95" s="182"/>
      <c r="AN95" s="182"/>
      <c r="AO95" s="193"/>
      <c r="AP95" s="179"/>
      <c r="AQ95" s="194">
        <f t="shared" si="85"/>
        <v>0</v>
      </c>
      <c r="AR95" s="178">
        <f t="shared" si="86"/>
        <v>0</v>
      </c>
      <c r="AS95" s="178"/>
      <c r="AT95" s="178">
        <f t="shared" si="87"/>
        <v>5896260</v>
      </c>
      <c r="AU95" s="469">
        <f t="shared" si="88"/>
        <v>77</v>
      </c>
      <c r="AV95" s="195"/>
      <c r="AW95" s="659" t="s">
        <v>1128</v>
      </c>
    </row>
    <row r="96" spans="1:59" s="189" customFormat="1" ht="42.75" customHeight="1" x14ac:dyDescent="0.25">
      <c r="A96" s="900">
        <f t="shared" si="90"/>
        <v>78</v>
      </c>
      <c r="B96" s="168"/>
      <c r="C96" s="199"/>
      <c r="D96" s="897" t="s">
        <v>1621</v>
      </c>
      <c r="E96" s="263" t="s">
        <v>1107</v>
      </c>
      <c r="F96" s="169"/>
      <c r="G96" s="170"/>
      <c r="H96" s="170"/>
      <c r="I96" s="170"/>
      <c r="J96" s="169"/>
      <c r="K96" s="170"/>
      <c r="L96" s="171"/>
      <c r="M96" s="171"/>
      <c r="N96" s="263"/>
      <c r="O96" s="391" t="s">
        <v>39</v>
      </c>
      <c r="P96" s="222"/>
      <c r="Q96" s="172"/>
      <c r="R96" s="174">
        <v>3.66</v>
      </c>
      <c r="S96" s="176"/>
      <c r="T96" s="370"/>
      <c r="U96" s="176">
        <f t="shared" si="75"/>
        <v>0</v>
      </c>
      <c r="V96" s="175">
        <f t="shared" si="92"/>
        <v>0</v>
      </c>
      <c r="W96" s="170"/>
      <c r="X96" s="179"/>
      <c r="Y96" s="216">
        <f t="shared" si="76"/>
        <v>0</v>
      </c>
      <c r="Z96" s="216">
        <f t="shared" si="77"/>
        <v>3.66</v>
      </c>
      <c r="AA96" s="180">
        <f t="shared" si="78"/>
        <v>6588000</v>
      </c>
      <c r="AB96" s="180"/>
      <c r="AC96" s="180">
        <f t="shared" si="79"/>
        <v>0</v>
      </c>
      <c r="AD96" s="180">
        <f t="shared" si="93"/>
        <v>0</v>
      </c>
      <c r="AE96" s="180">
        <f t="shared" si="80"/>
        <v>6588000</v>
      </c>
      <c r="AF96" s="178">
        <f t="shared" si="81"/>
        <v>527040</v>
      </c>
      <c r="AG96" s="178">
        <f t="shared" si="82"/>
        <v>98820</v>
      </c>
      <c r="AH96" s="178">
        <f t="shared" si="83"/>
        <v>65880</v>
      </c>
      <c r="AI96" s="178"/>
      <c r="AJ96" s="178">
        <f t="shared" si="84"/>
        <v>691740</v>
      </c>
      <c r="AK96" s="192"/>
      <c r="AL96" s="182">
        <f t="shared" si="94"/>
        <v>0</v>
      </c>
      <c r="AM96" s="182"/>
      <c r="AN96" s="182"/>
      <c r="AO96" s="193"/>
      <c r="AP96" s="179"/>
      <c r="AQ96" s="194">
        <f t="shared" si="85"/>
        <v>0</v>
      </c>
      <c r="AR96" s="178">
        <f t="shared" si="86"/>
        <v>0</v>
      </c>
      <c r="AS96" s="178"/>
      <c r="AT96" s="178">
        <f t="shared" si="87"/>
        <v>5896260</v>
      </c>
      <c r="AU96" s="469">
        <f t="shared" si="88"/>
        <v>78</v>
      </c>
      <c r="AV96" s="195"/>
      <c r="AW96" s="195" t="s">
        <v>1622</v>
      </c>
    </row>
    <row r="97" spans="1:59" s="189" customFormat="1" ht="42" customHeight="1" x14ac:dyDescent="0.25">
      <c r="A97" s="900">
        <f t="shared" si="90"/>
        <v>79</v>
      </c>
      <c r="B97" s="168" t="str">
        <f>VLOOKUP(D97,[1]LuongBC_T01!$B$9:$C$292,2,FALSE)</f>
        <v>0016100006771003</v>
      </c>
      <c r="C97" s="871" t="s">
        <v>1048</v>
      </c>
      <c r="D97" s="169" t="s">
        <v>1105</v>
      </c>
      <c r="E97" s="263" t="s">
        <v>1107</v>
      </c>
      <c r="F97" s="169" t="s">
        <v>549</v>
      </c>
      <c r="G97" s="170" t="s">
        <v>25</v>
      </c>
      <c r="H97" s="170"/>
      <c r="I97" s="170" t="s">
        <v>284</v>
      </c>
      <c r="J97" s="169" t="s">
        <v>266</v>
      </c>
      <c r="K97" s="168" t="s">
        <v>1494</v>
      </c>
      <c r="L97" s="171" t="s">
        <v>161</v>
      </c>
      <c r="M97" s="171" t="s">
        <v>1048</v>
      </c>
      <c r="N97" s="835" t="str">
        <f>VLOOKUP(D97,'[5]Bao cao So GDDT'!$D$14:$S$282,11,FALSE)</f>
        <v>Kế toán viên</v>
      </c>
      <c r="O97" s="391" t="s">
        <v>38</v>
      </c>
      <c r="P97" s="170" t="s">
        <v>692</v>
      </c>
      <c r="Q97" s="172">
        <v>3</v>
      </c>
      <c r="R97" s="174">
        <v>3.66</v>
      </c>
      <c r="S97" s="176">
        <f t="shared" si="91"/>
        <v>0</v>
      </c>
      <c r="T97" s="370"/>
      <c r="U97" s="176">
        <f t="shared" si="75"/>
        <v>0</v>
      </c>
      <c r="V97" s="175">
        <f t="shared" si="92"/>
        <v>0</v>
      </c>
      <c r="W97" s="170"/>
      <c r="X97" s="179">
        <f>VLOOKUP(D97,PCTN!D159:W426,20,FALSE)</f>
        <v>0</v>
      </c>
      <c r="Y97" s="216">
        <f t="shared" si="76"/>
        <v>0</v>
      </c>
      <c r="Z97" s="216">
        <f t="shared" si="77"/>
        <v>3.66</v>
      </c>
      <c r="AA97" s="180">
        <f t="shared" si="78"/>
        <v>6588000</v>
      </c>
      <c r="AB97" s="180"/>
      <c r="AC97" s="180">
        <f t="shared" si="79"/>
        <v>0</v>
      </c>
      <c r="AD97" s="180">
        <f t="shared" si="93"/>
        <v>0</v>
      </c>
      <c r="AE97" s="180">
        <f t="shared" si="80"/>
        <v>6588000</v>
      </c>
      <c r="AF97" s="178">
        <f t="shared" si="81"/>
        <v>527040</v>
      </c>
      <c r="AG97" s="178">
        <f t="shared" si="82"/>
        <v>98820</v>
      </c>
      <c r="AH97" s="178">
        <f t="shared" si="83"/>
        <v>65880</v>
      </c>
      <c r="AI97" s="178"/>
      <c r="AJ97" s="178">
        <f t="shared" si="84"/>
        <v>691740</v>
      </c>
      <c r="AK97" s="192"/>
      <c r="AL97" s="182">
        <f t="shared" si="94"/>
        <v>0</v>
      </c>
      <c r="AM97" s="182"/>
      <c r="AN97" s="182"/>
      <c r="AO97" s="193">
        <f>R97+U97+W97</f>
        <v>3.66</v>
      </c>
      <c r="AP97" s="179"/>
      <c r="AQ97" s="194">
        <f t="shared" si="85"/>
        <v>0</v>
      </c>
      <c r="AR97" s="178">
        <f t="shared" si="86"/>
        <v>0</v>
      </c>
      <c r="AS97" s="178"/>
      <c r="AT97" s="178">
        <f t="shared" si="87"/>
        <v>5896260</v>
      </c>
      <c r="AU97" s="469">
        <f t="shared" si="88"/>
        <v>79</v>
      </c>
      <c r="AV97" s="244"/>
      <c r="AW97" s="244" t="s">
        <v>1276</v>
      </c>
      <c r="AX97" s="29"/>
      <c r="AY97" s="29"/>
      <c r="AZ97" s="29"/>
      <c r="BA97" s="29"/>
      <c r="BB97" s="29"/>
      <c r="BC97" s="29"/>
      <c r="BD97" s="29"/>
      <c r="BE97" s="29"/>
      <c r="BF97" s="29"/>
      <c r="BG97" s="29"/>
    </row>
    <row r="98" spans="1:59" s="189" customFormat="1" ht="42.75" customHeight="1" x14ac:dyDescent="0.25">
      <c r="A98" s="900">
        <f t="shared" si="90"/>
        <v>80</v>
      </c>
      <c r="B98" s="168" t="str">
        <f>VLOOKUP(D98,[1]LuongBC_T01!$B$9:$C$292,2,FALSE)</f>
        <v>0016100006663006</v>
      </c>
      <c r="C98" s="199" t="s">
        <v>952</v>
      </c>
      <c r="D98" s="169" t="s">
        <v>755</v>
      </c>
      <c r="E98" s="263" t="s">
        <v>1107</v>
      </c>
      <c r="F98" s="169"/>
      <c r="G98" s="170" t="s">
        <v>25</v>
      </c>
      <c r="H98" s="170"/>
      <c r="I98" s="170"/>
      <c r="J98" s="169"/>
      <c r="K98" s="170" t="str">
        <f>VLOOKUP(D98,[2]T3!$B$2:$D$328,3,FALSE)</f>
        <v>024419690</v>
      </c>
      <c r="L98" s="226" t="s">
        <v>765</v>
      </c>
      <c r="M98" s="226" t="s">
        <v>952</v>
      </c>
      <c r="N98" s="263" t="str">
        <f>VLOOKUP(D98,'[5]Bao cao So GDDT'!$D$14:$S$282,11,FALSE)</f>
        <v>Kỹ thuật viên (hạng IV)</v>
      </c>
      <c r="O98" s="390" t="s">
        <v>1118</v>
      </c>
      <c r="P98" s="222" t="s">
        <v>698</v>
      </c>
      <c r="Q98" s="172">
        <v>3</v>
      </c>
      <c r="R98" s="174">
        <v>3.46</v>
      </c>
      <c r="S98" s="176">
        <f t="shared" si="91"/>
        <v>0</v>
      </c>
      <c r="T98" s="370"/>
      <c r="U98" s="176">
        <f t="shared" si="75"/>
        <v>0</v>
      </c>
      <c r="V98" s="175">
        <f t="shared" si="92"/>
        <v>0</v>
      </c>
      <c r="W98" s="170"/>
      <c r="X98" s="179">
        <f>VLOOKUP(D98,PCTN!D166:W433,20,FALSE)</f>
        <v>0</v>
      </c>
      <c r="Y98" s="216">
        <f t="shared" si="76"/>
        <v>0</v>
      </c>
      <c r="Z98" s="216">
        <f t="shared" si="77"/>
        <v>3.46</v>
      </c>
      <c r="AA98" s="180">
        <f t="shared" si="78"/>
        <v>6228000</v>
      </c>
      <c r="AB98" s="180"/>
      <c r="AC98" s="180">
        <f t="shared" si="79"/>
        <v>0</v>
      </c>
      <c r="AD98" s="180">
        <f t="shared" si="93"/>
        <v>0</v>
      </c>
      <c r="AE98" s="180">
        <f t="shared" si="80"/>
        <v>6228000</v>
      </c>
      <c r="AF98" s="178">
        <f t="shared" si="81"/>
        <v>498240</v>
      </c>
      <c r="AG98" s="178">
        <f t="shared" si="82"/>
        <v>93420</v>
      </c>
      <c r="AH98" s="178">
        <f t="shared" si="83"/>
        <v>62280</v>
      </c>
      <c r="AI98" s="178"/>
      <c r="AJ98" s="178">
        <f t="shared" si="84"/>
        <v>653940</v>
      </c>
      <c r="AK98" s="181"/>
      <c r="AL98" s="182">
        <f t="shared" si="94"/>
        <v>0</v>
      </c>
      <c r="AM98" s="182"/>
      <c r="AN98" s="182"/>
      <c r="AO98" s="193"/>
      <c r="AP98" s="179"/>
      <c r="AQ98" s="194">
        <f t="shared" si="85"/>
        <v>0</v>
      </c>
      <c r="AR98" s="178">
        <f t="shared" si="86"/>
        <v>0</v>
      </c>
      <c r="AS98" s="178"/>
      <c r="AT98" s="178">
        <f t="shared" si="87"/>
        <v>5574060</v>
      </c>
      <c r="AU98" s="469">
        <f t="shared" si="88"/>
        <v>80</v>
      </c>
      <c r="AV98" s="244"/>
      <c r="AW98" s="223" t="e">
        <f>#REF!*2</f>
        <v>#REF!</v>
      </c>
    </row>
    <row r="99" spans="1:59" s="189" customFormat="1" ht="36" customHeight="1" x14ac:dyDescent="0.25">
      <c r="A99" s="900">
        <f t="shared" si="90"/>
        <v>81</v>
      </c>
      <c r="B99" s="168" t="str">
        <f>VLOOKUP(D99,[1]LuongBC_T01!$B$9:$C$292,2,FALSE)</f>
        <v>0016100006690003</v>
      </c>
      <c r="C99" s="871" t="s">
        <v>1039</v>
      </c>
      <c r="D99" s="169" t="s">
        <v>651</v>
      </c>
      <c r="E99" s="263" t="s">
        <v>1106</v>
      </c>
      <c r="F99" s="169" t="s">
        <v>553</v>
      </c>
      <c r="G99" s="169"/>
      <c r="H99" s="169"/>
      <c r="I99" s="169" t="s">
        <v>284</v>
      </c>
      <c r="J99" s="169"/>
      <c r="K99" s="170" t="str">
        <f>VLOOKUP(D99,[2]T3!$B$2:$D$328,3,FALSE)</f>
        <v>025211587</v>
      </c>
      <c r="L99" s="213" t="s">
        <v>661</v>
      </c>
      <c r="M99" s="213" t="s">
        <v>1039</v>
      </c>
      <c r="N99" s="835" t="str">
        <f>VLOOKUP(D99,'[5]Bao cao So GDDT'!$D$14:$S$282,11,FALSE)</f>
        <v>Chuyên viên</v>
      </c>
      <c r="O99" s="393" t="s">
        <v>39</v>
      </c>
      <c r="P99" s="170" t="s">
        <v>692</v>
      </c>
      <c r="Q99" s="170">
        <v>2</v>
      </c>
      <c r="R99" s="192">
        <v>3.33</v>
      </c>
      <c r="S99" s="176">
        <f t="shared" si="91"/>
        <v>0</v>
      </c>
      <c r="T99" s="178"/>
      <c r="U99" s="176">
        <f t="shared" si="75"/>
        <v>0</v>
      </c>
      <c r="V99" s="175">
        <f t="shared" si="92"/>
        <v>0</v>
      </c>
      <c r="W99" s="178"/>
      <c r="X99" s="179">
        <f>VLOOKUP(D99,PCTN!D137:W404,20,FALSE)</f>
        <v>0</v>
      </c>
      <c r="Y99" s="216">
        <f t="shared" si="76"/>
        <v>0</v>
      </c>
      <c r="Z99" s="216">
        <f t="shared" si="77"/>
        <v>3.33</v>
      </c>
      <c r="AA99" s="180">
        <f t="shared" si="78"/>
        <v>5994000</v>
      </c>
      <c r="AB99" s="180"/>
      <c r="AC99" s="180">
        <f t="shared" si="79"/>
        <v>0</v>
      </c>
      <c r="AD99" s="180">
        <v>0</v>
      </c>
      <c r="AE99" s="180">
        <f t="shared" si="80"/>
        <v>5994000</v>
      </c>
      <c r="AF99" s="178">
        <f t="shared" si="81"/>
        <v>479520</v>
      </c>
      <c r="AG99" s="178">
        <f t="shared" si="82"/>
        <v>89910</v>
      </c>
      <c r="AH99" s="178">
        <f t="shared" si="83"/>
        <v>59940</v>
      </c>
      <c r="AI99" s="178"/>
      <c r="AJ99" s="178">
        <f t="shared" si="84"/>
        <v>629370</v>
      </c>
      <c r="AK99" s="215"/>
      <c r="AL99" s="182">
        <f t="shared" si="94"/>
        <v>0</v>
      </c>
      <c r="AM99" s="182"/>
      <c r="AN99" s="182"/>
      <c r="AO99" s="216"/>
      <c r="AP99" s="179"/>
      <c r="AQ99" s="194">
        <f t="shared" si="85"/>
        <v>0</v>
      </c>
      <c r="AR99" s="178">
        <f t="shared" si="86"/>
        <v>0</v>
      </c>
      <c r="AS99" s="178"/>
      <c r="AT99" s="178">
        <f t="shared" si="87"/>
        <v>5364630</v>
      </c>
      <c r="AU99" s="469">
        <f t="shared" si="88"/>
        <v>81</v>
      </c>
      <c r="AV99" s="221"/>
      <c r="AW99" s="829" t="s">
        <v>715</v>
      </c>
      <c r="AX99" s="29"/>
      <c r="AY99" s="29"/>
      <c r="AZ99" s="29"/>
      <c r="BA99" s="29"/>
      <c r="BB99" s="29"/>
      <c r="BC99" s="29"/>
      <c r="BD99" s="29"/>
      <c r="BE99" s="29"/>
      <c r="BF99" s="29"/>
      <c r="BG99" s="29"/>
    </row>
    <row r="100" spans="1:59" s="189" customFormat="1" ht="44.25" customHeight="1" x14ac:dyDescent="0.25">
      <c r="A100" s="900">
        <f t="shared" si="90"/>
        <v>82</v>
      </c>
      <c r="B100" s="168" t="str">
        <f>VLOOKUP(D100,[1]LuongBC_T01!$B$9:$C$292,2,FALSE)</f>
        <v>0016100006505001</v>
      </c>
      <c r="C100" s="371" t="s">
        <v>930</v>
      </c>
      <c r="D100" s="169" t="s">
        <v>1210</v>
      </c>
      <c r="E100" s="263" t="s">
        <v>1554</v>
      </c>
      <c r="F100" s="169" t="s">
        <v>551</v>
      </c>
      <c r="G100" s="170"/>
      <c r="H100" s="170"/>
      <c r="I100" s="170" t="s">
        <v>284</v>
      </c>
      <c r="J100" s="169" t="s">
        <v>271</v>
      </c>
      <c r="K100" s="170" t="str">
        <f>VLOOKUP(D100,[2]T3!$B$2:$D$328,3,FALSE)</f>
        <v>024783702</v>
      </c>
      <c r="L100" s="171" t="s">
        <v>154</v>
      </c>
      <c r="M100" s="171" t="s">
        <v>930</v>
      </c>
      <c r="N100" s="263" t="str">
        <f>VLOOKUP(D100,'[5]Bao cao So GDDT'!$D$14:$S$282,11,FALSE)</f>
        <v>Cán sự</v>
      </c>
      <c r="O100" s="393" t="s">
        <v>43</v>
      </c>
      <c r="P100" s="222" t="s">
        <v>697</v>
      </c>
      <c r="Q100" s="172">
        <v>3</v>
      </c>
      <c r="R100" s="174">
        <v>3.65</v>
      </c>
      <c r="S100" s="176">
        <f t="shared" si="91"/>
        <v>0.25</v>
      </c>
      <c r="T100" s="370"/>
      <c r="U100" s="176">
        <f t="shared" si="75"/>
        <v>0</v>
      </c>
      <c r="V100" s="175">
        <f t="shared" si="92"/>
        <v>0</v>
      </c>
      <c r="W100" s="170">
        <v>0.25</v>
      </c>
      <c r="X100" s="179">
        <f>VLOOKUP(D100,PCTN!D131:W398,20,FALSE)</f>
        <v>0</v>
      </c>
      <c r="Y100" s="216">
        <f t="shared" si="76"/>
        <v>0</v>
      </c>
      <c r="Z100" s="216">
        <f t="shared" si="77"/>
        <v>3.9</v>
      </c>
      <c r="AA100" s="180">
        <f t="shared" si="78"/>
        <v>7020000</v>
      </c>
      <c r="AB100" s="180"/>
      <c r="AC100" s="180">
        <f t="shared" si="79"/>
        <v>0</v>
      </c>
      <c r="AD100" s="180">
        <f>AA100/24*AB100*75%</f>
        <v>0</v>
      </c>
      <c r="AE100" s="180">
        <f t="shared" si="80"/>
        <v>7020000</v>
      </c>
      <c r="AF100" s="178">
        <f t="shared" si="81"/>
        <v>561600</v>
      </c>
      <c r="AG100" s="178">
        <f t="shared" si="82"/>
        <v>105300</v>
      </c>
      <c r="AH100" s="178">
        <f t="shared" si="83"/>
        <v>70200</v>
      </c>
      <c r="AI100" s="178"/>
      <c r="AJ100" s="178">
        <f t="shared" si="84"/>
        <v>737100</v>
      </c>
      <c r="AK100" s="192"/>
      <c r="AL100" s="182">
        <f t="shared" si="94"/>
        <v>0</v>
      </c>
      <c r="AM100" s="182"/>
      <c r="AN100" s="182"/>
      <c r="AO100" s="193">
        <f>R100+U100+W100</f>
        <v>3.9</v>
      </c>
      <c r="AP100" s="179"/>
      <c r="AQ100" s="194">
        <f t="shared" si="85"/>
        <v>0</v>
      </c>
      <c r="AR100" s="178">
        <f t="shared" si="86"/>
        <v>0</v>
      </c>
      <c r="AS100" s="178"/>
      <c r="AT100" s="178">
        <f t="shared" si="87"/>
        <v>6282900</v>
      </c>
      <c r="AU100" s="469">
        <f t="shared" si="88"/>
        <v>82</v>
      </c>
      <c r="AV100" s="195"/>
      <c r="AW100" s="224"/>
    </row>
    <row r="101" spans="1:59" s="189" customFormat="1" ht="32.25" customHeight="1" x14ac:dyDescent="0.25">
      <c r="A101" s="900">
        <f t="shared" si="90"/>
        <v>83</v>
      </c>
      <c r="B101" s="168" t="str">
        <f>VLOOKUP(D101,[1]LuongBC_T01!$B$9:$C$292,2,FALSE)</f>
        <v>0016100006493003</v>
      </c>
      <c r="C101" s="371" t="s">
        <v>1045</v>
      </c>
      <c r="D101" s="230" t="s">
        <v>778</v>
      </c>
      <c r="E101" s="263" t="s">
        <v>1106</v>
      </c>
      <c r="F101" s="231"/>
      <c r="G101" s="231"/>
      <c r="H101" s="231"/>
      <c r="I101" s="231" t="s">
        <v>284</v>
      </c>
      <c r="J101" s="231"/>
      <c r="K101" s="170" t="str">
        <f>VLOOKUP(D101,[2]T3!$B$2:$D$328,3,FALSE)</f>
        <v>024698782</v>
      </c>
      <c r="L101" s="226">
        <v>1603205348129</v>
      </c>
      <c r="M101" s="226" t="s">
        <v>1045</v>
      </c>
      <c r="N101" s="263" t="str">
        <f>VLOOKUP(D101,'[5]Bao cao So GDDT'!$D$14:$S$282,11,FALSE)</f>
        <v>Cán sự</v>
      </c>
      <c r="O101" s="393" t="s">
        <v>43</v>
      </c>
      <c r="P101" s="170" t="s">
        <v>697</v>
      </c>
      <c r="Q101" s="170">
        <v>1</v>
      </c>
      <c r="R101" s="177">
        <v>3.34</v>
      </c>
      <c r="S101" s="176">
        <f t="shared" si="91"/>
        <v>0</v>
      </c>
      <c r="T101" s="169"/>
      <c r="U101" s="176">
        <f t="shared" si="75"/>
        <v>0</v>
      </c>
      <c r="V101" s="175">
        <f t="shared" si="92"/>
        <v>0</v>
      </c>
      <c r="W101" s="170"/>
      <c r="X101" s="179">
        <f>VLOOKUP(D101,PCTN!D145:W412,20,FALSE)</f>
        <v>0</v>
      </c>
      <c r="Y101" s="216">
        <f t="shared" si="76"/>
        <v>0</v>
      </c>
      <c r="Z101" s="216">
        <f t="shared" si="77"/>
        <v>3.34</v>
      </c>
      <c r="AA101" s="180">
        <f t="shared" si="78"/>
        <v>6012000</v>
      </c>
      <c r="AB101" s="180"/>
      <c r="AC101" s="180">
        <f t="shared" si="79"/>
        <v>0</v>
      </c>
      <c r="AD101" s="180">
        <v>0</v>
      </c>
      <c r="AE101" s="180">
        <f t="shared" si="80"/>
        <v>6012000</v>
      </c>
      <c r="AF101" s="178">
        <f t="shared" si="81"/>
        <v>480960</v>
      </c>
      <c r="AG101" s="178">
        <f t="shared" si="82"/>
        <v>90180</v>
      </c>
      <c r="AH101" s="178">
        <f t="shared" si="83"/>
        <v>60120</v>
      </c>
      <c r="AI101" s="178"/>
      <c r="AJ101" s="178">
        <f t="shared" si="84"/>
        <v>631260</v>
      </c>
      <c r="AK101" s="192"/>
      <c r="AL101" s="182">
        <f t="shared" si="94"/>
        <v>0</v>
      </c>
      <c r="AM101" s="182"/>
      <c r="AN101" s="182"/>
      <c r="AO101" s="183"/>
      <c r="AP101" s="179"/>
      <c r="AQ101" s="194">
        <f t="shared" si="85"/>
        <v>0</v>
      </c>
      <c r="AR101" s="178">
        <f t="shared" si="86"/>
        <v>0</v>
      </c>
      <c r="AS101" s="178"/>
      <c r="AT101" s="178">
        <f t="shared" si="87"/>
        <v>5380740</v>
      </c>
      <c r="AU101" s="469">
        <f t="shared" si="88"/>
        <v>83</v>
      </c>
      <c r="AV101" s="195"/>
      <c r="AW101" s="248"/>
    </row>
    <row r="102" spans="1:59" s="189" customFormat="1" ht="31.5" customHeight="1" x14ac:dyDescent="0.25">
      <c r="A102" s="900">
        <f t="shared" si="90"/>
        <v>84</v>
      </c>
      <c r="B102" s="168" t="str">
        <f>VLOOKUP(D102,[1]LuongBC_T01!$B$9:$C$292,2,FALSE)</f>
        <v>0016100006678003</v>
      </c>
      <c r="C102" s="871" t="s">
        <v>1046</v>
      </c>
      <c r="D102" s="230" t="s">
        <v>779</v>
      </c>
      <c r="E102" s="263" t="s">
        <v>1106</v>
      </c>
      <c r="F102" s="231"/>
      <c r="G102" s="231"/>
      <c r="H102" s="231"/>
      <c r="I102" s="231" t="s">
        <v>284</v>
      </c>
      <c r="J102" s="231"/>
      <c r="K102" s="170" t="str">
        <f>VLOOKUP(D102,[2]T3!$B$2:$D$328,3,FALSE)</f>
        <v>024647632</v>
      </c>
      <c r="L102" s="226">
        <v>1603205357238</v>
      </c>
      <c r="M102" s="226" t="s">
        <v>1046</v>
      </c>
      <c r="N102" s="835" t="str">
        <f>VLOOKUP(D102,'[5]Bao cao So GDDT'!$D$14:$S$282,11,FALSE)</f>
        <v>Cán sự</v>
      </c>
      <c r="O102" s="393" t="s">
        <v>43</v>
      </c>
      <c r="P102" s="170" t="s">
        <v>697</v>
      </c>
      <c r="Q102" s="170">
        <v>1</v>
      </c>
      <c r="R102" s="177">
        <v>3.03</v>
      </c>
      <c r="S102" s="176">
        <f t="shared" si="91"/>
        <v>0</v>
      </c>
      <c r="T102" s="169"/>
      <c r="U102" s="176">
        <f t="shared" si="75"/>
        <v>0</v>
      </c>
      <c r="V102" s="175">
        <f t="shared" si="92"/>
        <v>0</v>
      </c>
      <c r="W102" s="170"/>
      <c r="X102" s="179">
        <f>VLOOKUP(D102,PCTN!D146:W413,20,FALSE)</f>
        <v>0</v>
      </c>
      <c r="Y102" s="216">
        <f t="shared" si="76"/>
        <v>0</v>
      </c>
      <c r="Z102" s="216">
        <f t="shared" si="77"/>
        <v>3.03</v>
      </c>
      <c r="AA102" s="180">
        <f t="shared" si="78"/>
        <v>5454000</v>
      </c>
      <c r="AB102" s="180"/>
      <c r="AC102" s="180">
        <f t="shared" si="79"/>
        <v>0</v>
      </c>
      <c r="AD102" s="180">
        <v>0</v>
      </c>
      <c r="AE102" s="180">
        <f t="shared" si="80"/>
        <v>5454000</v>
      </c>
      <c r="AF102" s="178">
        <f t="shared" si="81"/>
        <v>436320</v>
      </c>
      <c r="AG102" s="178">
        <f t="shared" si="82"/>
        <v>81810</v>
      </c>
      <c r="AH102" s="178">
        <f t="shared" si="83"/>
        <v>54540</v>
      </c>
      <c r="AI102" s="178"/>
      <c r="AJ102" s="178">
        <f t="shared" si="84"/>
        <v>572670</v>
      </c>
      <c r="AK102" s="192"/>
      <c r="AL102" s="182">
        <f t="shared" si="94"/>
        <v>0</v>
      </c>
      <c r="AM102" s="182"/>
      <c r="AN102" s="182"/>
      <c r="AO102" s="183"/>
      <c r="AP102" s="179"/>
      <c r="AQ102" s="194">
        <f t="shared" si="85"/>
        <v>0</v>
      </c>
      <c r="AR102" s="178">
        <f t="shared" si="86"/>
        <v>0</v>
      </c>
      <c r="AS102" s="178"/>
      <c r="AT102" s="178">
        <f t="shared" si="87"/>
        <v>4881330</v>
      </c>
      <c r="AU102" s="469">
        <f t="shared" si="88"/>
        <v>84</v>
      </c>
      <c r="AV102" s="195"/>
      <c r="AW102" s="248"/>
      <c r="AX102" s="29"/>
      <c r="AY102" s="29"/>
      <c r="AZ102" s="29"/>
      <c r="BA102" s="29"/>
      <c r="BB102" s="29"/>
      <c r="BC102" s="29"/>
      <c r="BD102" s="29"/>
      <c r="BE102" s="29"/>
      <c r="BF102" s="29"/>
      <c r="BG102" s="29"/>
    </row>
    <row r="103" spans="1:59" s="189" customFormat="1" ht="38.25" customHeight="1" x14ac:dyDescent="0.25">
      <c r="A103" s="900">
        <f t="shared" si="90"/>
        <v>85</v>
      </c>
      <c r="B103" s="168" t="str">
        <f>VLOOKUP(D103,[1]LuongBC_T01!$B$9:$C$292,2,FALSE)</f>
        <v>0016100006679007</v>
      </c>
      <c r="C103" s="371" t="s">
        <v>1035</v>
      </c>
      <c r="D103" s="230" t="s">
        <v>785</v>
      </c>
      <c r="E103" s="263" t="s">
        <v>1462</v>
      </c>
      <c r="F103" s="231"/>
      <c r="G103" s="251"/>
      <c r="H103" s="251"/>
      <c r="I103" s="170" t="s">
        <v>284</v>
      </c>
      <c r="J103" s="231"/>
      <c r="K103" s="170" t="str">
        <f>VLOOKUP(D103,[2]T3!$B$2:$D$328,3,FALSE)</f>
        <v>079086004027</v>
      </c>
      <c r="L103" s="226">
        <v>1603205302590</v>
      </c>
      <c r="M103" s="226" t="s">
        <v>1035</v>
      </c>
      <c r="N103" s="263" t="str">
        <f>VLOOKUP(D103,'[5]Bao cao So GDDT'!$D$14:$S$282,11,FALSE)</f>
        <v>Cán sự</v>
      </c>
      <c r="O103" s="393" t="s">
        <v>43</v>
      </c>
      <c r="P103" s="222" t="s">
        <v>697</v>
      </c>
      <c r="Q103" s="172">
        <v>2</v>
      </c>
      <c r="R103" s="174">
        <v>3.34</v>
      </c>
      <c r="S103" s="176">
        <f t="shared" si="91"/>
        <v>0</v>
      </c>
      <c r="T103" s="370"/>
      <c r="U103" s="176">
        <f t="shared" si="75"/>
        <v>0</v>
      </c>
      <c r="V103" s="175">
        <f t="shared" si="92"/>
        <v>0</v>
      </c>
      <c r="W103" s="170">
        <v>0</v>
      </c>
      <c r="X103" s="179">
        <f>VLOOKUP(D103,PCTN!D132:W399,20,FALSE)</f>
        <v>0</v>
      </c>
      <c r="Y103" s="216">
        <f t="shared" si="76"/>
        <v>0</v>
      </c>
      <c r="Z103" s="216">
        <f t="shared" si="77"/>
        <v>3.34</v>
      </c>
      <c r="AA103" s="180">
        <f t="shared" si="78"/>
        <v>6012000</v>
      </c>
      <c r="AB103" s="180"/>
      <c r="AC103" s="180">
        <f t="shared" si="79"/>
        <v>0</v>
      </c>
      <c r="AD103" s="180">
        <f>AA103/24*AB103*75%</f>
        <v>0</v>
      </c>
      <c r="AE103" s="180">
        <f t="shared" si="80"/>
        <v>6012000</v>
      </c>
      <c r="AF103" s="178">
        <f t="shared" si="81"/>
        <v>480960</v>
      </c>
      <c r="AG103" s="178">
        <f t="shared" si="82"/>
        <v>90180</v>
      </c>
      <c r="AH103" s="178">
        <f t="shared" si="83"/>
        <v>60120</v>
      </c>
      <c r="AI103" s="178"/>
      <c r="AJ103" s="178">
        <f t="shared" si="84"/>
        <v>631260</v>
      </c>
      <c r="AK103" s="192"/>
      <c r="AL103" s="182">
        <f t="shared" si="94"/>
        <v>0</v>
      </c>
      <c r="AM103" s="182"/>
      <c r="AN103" s="182"/>
      <c r="AO103" s="193"/>
      <c r="AP103" s="179"/>
      <c r="AQ103" s="194">
        <f t="shared" si="85"/>
        <v>0</v>
      </c>
      <c r="AR103" s="178">
        <f t="shared" si="86"/>
        <v>0</v>
      </c>
      <c r="AS103" s="178"/>
      <c r="AT103" s="178">
        <f t="shared" si="87"/>
        <v>5380740</v>
      </c>
      <c r="AU103" s="469">
        <f t="shared" si="88"/>
        <v>85</v>
      </c>
      <c r="AV103" s="195"/>
      <c r="AW103" s="224"/>
    </row>
    <row r="104" spans="1:59" s="189" customFormat="1" ht="53.25" customHeight="1" x14ac:dyDescent="0.25">
      <c r="A104" s="1056">
        <f t="shared" si="90"/>
        <v>86</v>
      </c>
      <c r="B104" s="1057" t="str">
        <f>VLOOKUP(D104,[1]LuongBC_T01!$B$9:$C$292,2,FALSE)</f>
        <v>0016100006770007</v>
      </c>
      <c r="C104" s="1061" t="s">
        <v>1319</v>
      </c>
      <c r="D104" s="1059" t="s">
        <v>1283</v>
      </c>
      <c r="E104" s="1060" t="s">
        <v>1661</v>
      </c>
      <c r="F104" s="1059"/>
      <c r="G104" s="1061"/>
      <c r="H104" s="1061"/>
      <c r="I104" s="1061"/>
      <c r="J104" s="1059"/>
      <c r="K104" s="1057" t="s">
        <v>1353</v>
      </c>
      <c r="L104" s="1103"/>
      <c r="M104" s="1103"/>
      <c r="N104" s="1060" t="str">
        <f>VLOOKUP(D104,'[5]Bao cao So GDDT'!$D$14:$S$282,11,FALSE)</f>
        <v>Kỹ sư (hạng III)</v>
      </c>
      <c r="O104" s="1063" t="s">
        <v>1116</v>
      </c>
      <c r="P104" s="1064"/>
      <c r="Q104" s="1065"/>
      <c r="R104" s="1066">
        <v>3</v>
      </c>
      <c r="S104" s="1067">
        <f t="shared" si="91"/>
        <v>0.35</v>
      </c>
      <c r="T104" s="1068"/>
      <c r="U104" s="1067">
        <f t="shared" si="75"/>
        <v>0</v>
      </c>
      <c r="V104" s="1069">
        <f t="shared" si="92"/>
        <v>0</v>
      </c>
      <c r="W104" s="1061">
        <v>0.35</v>
      </c>
      <c r="X104" s="1070">
        <f>VLOOKUP(D104,PCTN!D168:W435,20,FALSE)</f>
        <v>0</v>
      </c>
      <c r="Y104" s="1071">
        <f t="shared" si="76"/>
        <v>0</v>
      </c>
      <c r="Z104" s="1071">
        <f t="shared" si="77"/>
        <v>3.35</v>
      </c>
      <c r="AA104" s="1072">
        <f t="shared" si="78"/>
        <v>6030000</v>
      </c>
      <c r="AB104" s="1072"/>
      <c r="AC104" s="1072">
        <f t="shared" si="79"/>
        <v>0</v>
      </c>
      <c r="AD104" s="1072">
        <f>AA104/24*AB104*75%</f>
        <v>0</v>
      </c>
      <c r="AE104" s="1072">
        <f t="shared" si="80"/>
        <v>6030000</v>
      </c>
      <c r="AF104" s="1073">
        <f t="shared" si="81"/>
        <v>482400</v>
      </c>
      <c r="AG104" s="1073">
        <f t="shared" si="82"/>
        <v>90450</v>
      </c>
      <c r="AH104" s="1073">
        <f t="shared" si="83"/>
        <v>60300</v>
      </c>
      <c r="AI104" s="1073"/>
      <c r="AJ104" s="1073">
        <f t="shared" si="84"/>
        <v>633150</v>
      </c>
      <c r="AK104" s="1104"/>
      <c r="AL104" s="1075">
        <f t="shared" si="94"/>
        <v>0</v>
      </c>
      <c r="AM104" s="1075"/>
      <c r="AN104" s="1075"/>
      <c r="AO104" s="1076"/>
      <c r="AP104" s="1070"/>
      <c r="AQ104" s="1078">
        <f t="shared" si="85"/>
        <v>0</v>
      </c>
      <c r="AR104" s="1073">
        <f t="shared" si="86"/>
        <v>0</v>
      </c>
      <c r="AS104" s="1073"/>
      <c r="AT104" s="1073">
        <f t="shared" si="87"/>
        <v>5396850</v>
      </c>
      <c r="AU104" s="1079">
        <f t="shared" si="88"/>
        <v>86</v>
      </c>
      <c r="AV104" s="1097"/>
      <c r="AW104" s="223"/>
      <c r="AX104" s="29"/>
      <c r="AY104" s="29"/>
      <c r="AZ104" s="29"/>
      <c r="BA104" s="29"/>
      <c r="BB104" s="29"/>
      <c r="BC104" s="29"/>
      <c r="BD104" s="29"/>
      <c r="BE104" s="29"/>
      <c r="BF104" s="29"/>
      <c r="BG104" s="29"/>
    </row>
    <row r="105" spans="1:59" s="189" customFormat="1" ht="38.25" customHeight="1" x14ac:dyDescent="0.25">
      <c r="A105" s="900">
        <f t="shared" si="90"/>
        <v>87</v>
      </c>
      <c r="B105" s="168" t="str">
        <f>VLOOKUP(D105,[1]LuongBC_T01!$B$9:$C$292,2,FALSE)</f>
        <v>0016100006511001</v>
      </c>
      <c r="C105" s="168" t="s">
        <v>1413</v>
      </c>
      <c r="D105" s="169" t="s">
        <v>1411</v>
      </c>
      <c r="E105" s="263" t="s">
        <v>1106</v>
      </c>
      <c r="F105" s="220"/>
      <c r="G105" s="220"/>
      <c r="H105" s="220"/>
      <c r="I105" s="220"/>
      <c r="J105" s="220"/>
      <c r="K105" s="168"/>
      <c r="L105" s="220"/>
      <c r="M105" s="170"/>
      <c r="N105" s="263" t="str">
        <f>VLOOKUP(D105,'[5]Bao cao So GDDT'!$D$14:$S$282,11,FALSE)</f>
        <v>Kỹ sư (hạng III)</v>
      </c>
      <c r="O105" s="263" t="s">
        <v>1116</v>
      </c>
      <c r="P105" s="251"/>
      <c r="Q105" s="251"/>
      <c r="R105" s="170">
        <v>2.67</v>
      </c>
      <c r="S105" s="176"/>
      <c r="T105" s="220"/>
      <c r="U105" s="176">
        <f t="shared" si="75"/>
        <v>0</v>
      </c>
      <c r="V105" s="175"/>
      <c r="W105" s="170"/>
      <c r="X105" s="179">
        <v>0</v>
      </c>
      <c r="Y105" s="216">
        <f t="shared" si="76"/>
        <v>0</v>
      </c>
      <c r="Z105" s="216">
        <f t="shared" si="77"/>
        <v>2.67</v>
      </c>
      <c r="AA105" s="180">
        <f t="shared" si="78"/>
        <v>4806000</v>
      </c>
      <c r="AB105" s="180"/>
      <c r="AC105" s="180">
        <f t="shared" si="79"/>
        <v>0</v>
      </c>
      <c r="AD105" s="180">
        <f>AA105/24*AB105*75%</f>
        <v>0</v>
      </c>
      <c r="AE105" s="180">
        <f t="shared" si="80"/>
        <v>4806000</v>
      </c>
      <c r="AF105" s="178">
        <f t="shared" si="81"/>
        <v>384480</v>
      </c>
      <c r="AG105" s="178">
        <f t="shared" si="82"/>
        <v>72090</v>
      </c>
      <c r="AH105" s="178">
        <f t="shared" si="83"/>
        <v>48060</v>
      </c>
      <c r="AI105" s="178"/>
      <c r="AJ105" s="178">
        <f t="shared" si="84"/>
        <v>504630</v>
      </c>
      <c r="AK105" s="192"/>
      <c r="AL105" s="182">
        <f t="shared" si="94"/>
        <v>0</v>
      </c>
      <c r="AM105" s="182"/>
      <c r="AN105" s="182"/>
      <c r="AO105" s="183">
        <f>R105+U105+W105</f>
        <v>2.67</v>
      </c>
      <c r="AP105" s="641"/>
      <c r="AQ105" s="185">
        <f t="shared" si="85"/>
        <v>0</v>
      </c>
      <c r="AR105" s="178">
        <f t="shared" si="86"/>
        <v>0</v>
      </c>
      <c r="AS105" s="178"/>
      <c r="AT105" s="178">
        <f t="shared" si="87"/>
        <v>4301370</v>
      </c>
      <c r="AU105" s="469">
        <f t="shared" si="88"/>
        <v>87</v>
      </c>
      <c r="AV105" s="195"/>
      <c r="AW105" s="486"/>
    </row>
    <row r="106" spans="1:59" s="189" customFormat="1" ht="33.75" customHeight="1" x14ac:dyDescent="0.25">
      <c r="A106" s="900">
        <f t="shared" si="90"/>
        <v>88</v>
      </c>
      <c r="B106" s="168" t="str">
        <f>VLOOKUP(D106,[1]LuongBC_T01!$B$9:$C$292,2,FALSE)</f>
        <v>0016100006599006</v>
      </c>
      <c r="C106" s="199" t="s">
        <v>948</v>
      </c>
      <c r="D106" s="169" t="s">
        <v>658</v>
      </c>
      <c r="E106" s="263" t="s">
        <v>1106</v>
      </c>
      <c r="F106" s="169" t="s">
        <v>553</v>
      </c>
      <c r="G106" s="169"/>
      <c r="H106" s="169"/>
      <c r="I106" s="169" t="s">
        <v>284</v>
      </c>
      <c r="J106" s="169"/>
      <c r="K106" s="170" t="str">
        <f>VLOOKUP(D106,[2]T3!$B$2:$D$328,3,FALSE)</f>
        <v>024683154</v>
      </c>
      <c r="L106" s="213" t="s">
        <v>664</v>
      </c>
      <c r="M106" s="213" t="s">
        <v>948</v>
      </c>
      <c r="N106" s="263" t="str">
        <f>VLOOKUP(D106,'[5]Bao cao So GDDT'!$D$14:$S$282,11,FALSE)</f>
        <v>Kỹ thuật viên (hạng IV)</v>
      </c>
      <c r="O106" s="393" t="s">
        <v>1118</v>
      </c>
      <c r="P106" s="170" t="s">
        <v>698</v>
      </c>
      <c r="Q106" s="170">
        <v>6</v>
      </c>
      <c r="R106" s="214">
        <v>3.46</v>
      </c>
      <c r="S106" s="176">
        <f t="shared" ref="S106:S120" si="95">U106+W106+Y106</f>
        <v>0</v>
      </c>
      <c r="T106" s="178"/>
      <c r="U106" s="176">
        <f t="shared" si="75"/>
        <v>0</v>
      </c>
      <c r="V106" s="175">
        <f t="shared" ref="V106:V112" si="96">R106*T106*$D$8/100</f>
        <v>0</v>
      </c>
      <c r="W106" s="178"/>
      <c r="X106" s="179">
        <f>VLOOKUP(D106,PCTN!D163:W430,20,FALSE)</f>
        <v>0</v>
      </c>
      <c r="Y106" s="216">
        <f t="shared" si="76"/>
        <v>0</v>
      </c>
      <c r="Z106" s="216">
        <f t="shared" si="77"/>
        <v>3.46</v>
      </c>
      <c r="AA106" s="180">
        <f t="shared" si="78"/>
        <v>6228000</v>
      </c>
      <c r="AB106" s="180"/>
      <c r="AC106" s="180">
        <f t="shared" si="79"/>
        <v>0</v>
      </c>
      <c r="AD106" s="180">
        <v>0</v>
      </c>
      <c r="AE106" s="180">
        <f t="shared" si="80"/>
        <v>6228000</v>
      </c>
      <c r="AF106" s="178">
        <f t="shared" si="81"/>
        <v>498240</v>
      </c>
      <c r="AG106" s="178">
        <f t="shared" si="82"/>
        <v>93420</v>
      </c>
      <c r="AH106" s="178">
        <f t="shared" si="83"/>
        <v>62280</v>
      </c>
      <c r="AI106" s="178"/>
      <c r="AJ106" s="178">
        <f t="shared" si="84"/>
        <v>653940</v>
      </c>
      <c r="AK106" s="215"/>
      <c r="AL106" s="182">
        <f t="shared" ref="AL106:AL130" si="97">AK106*$D$8</f>
        <v>0</v>
      </c>
      <c r="AM106" s="182"/>
      <c r="AN106" s="182"/>
      <c r="AO106" s="193">
        <f>R106+U106+W106</f>
        <v>3.46</v>
      </c>
      <c r="AP106" s="179"/>
      <c r="AQ106" s="194">
        <f t="shared" si="85"/>
        <v>0</v>
      </c>
      <c r="AR106" s="178">
        <f t="shared" si="86"/>
        <v>0</v>
      </c>
      <c r="AS106" s="178"/>
      <c r="AT106" s="178">
        <f t="shared" si="87"/>
        <v>5574060</v>
      </c>
      <c r="AU106" s="469">
        <f t="shared" si="88"/>
        <v>88</v>
      </c>
      <c r="AV106" s="195"/>
      <c r="AW106" s="242"/>
      <c r="AX106" s="29"/>
      <c r="AY106" s="29"/>
      <c r="AZ106" s="29"/>
      <c r="BA106" s="29"/>
      <c r="BB106" s="29"/>
      <c r="BC106" s="29"/>
      <c r="BD106" s="29"/>
      <c r="BE106" s="29"/>
      <c r="BF106" s="29"/>
      <c r="BG106" s="29"/>
    </row>
    <row r="107" spans="1:59" s="189" customFormat="1" ht="33.75" customHeight="1" x14ac:dyDescent="0.25">
      <c r="A107" s="900">
        <f t="shared" si="90"/>
        <v>89</v>
      </c>
      <c r="B107" s="168" t="str">
        <f>VLOOKUP(D107,[1]LuongBC_T01!$B$9:$C$292,2,FALSE)</f>
        <v>0016100006807008</v>
      </c>
      <c r="C107" s="865" t="s">
        <v>950</v>
      </c>
      <c r="D107" s="169" t="s">
        <v>1216</v>
      </c>
      <c r="E107" s="263" t="s">
        <v>1106</v>
      </c>
      <c r="F107" s="169" t="s">
        <v>553</v>
      </c>
      <c r="G107" s="170"/>
      <c r="H107" s="170"/>
      <c r="I107" s="170" t="s">
        <v>284</v>
      </c>
      <c r="J107" s="169" t="s">
        <v>270</v>
      </c>
      <c r="K107" s="170" t="str">
        <f>VLOOKUP(D107,[2]T3!$B$2:$D$328,3,FALSE)</f>
        <v>079084001864</v>
      </c>
      <c r="L107" s="171" t="s">
        <v>153</v>
      </c>
      <c r="M107" s="171" t="s">
        <v>950</v>
      </c>
      <c r="N107" s="263" t="str">
        <f>VLOOKUP(D107,'[5]Bao cao So GDDT'!$D$14:$S$282,11,FALSE)</f>
        <v>Kỹ thuật viên (hạng IV)</v>
      </c>
      <c r="O107" s="390" t="s">
        <v>1118</v>
      </c>
      <c r="P107" s="222" t="s">
        <v>698</v>
      </c>
      <c r="Q107" s="172">
        <v>6</v>
      </c>
      <c r="R107" s="174">
        <v>3.26</v>
      </c>
      <c r="S107" s="176">
        <f t="shared" si="95"/>
        <v>0</v>
      </c>
      <c r="T107" s="370"/>
      <c r="U107" s="176">
        <f t="shared" si="75"/>
        <v>0</v>
      </c>
      <c r="V107" s="175">
        <f t="shared" si="96"/>
        <v>0</v>
      </c>
      <c r="W107" s="170"/>
      <c r="X107" s="179">
        <f>VLOOKUP(D107,PCTN!D164:W431,20,FALSE)</f>
        <v>0</v>
      </c>
      <c r="Y107" s="216">
        <f t="shared" si="76"/>
        <v>0</v>
      </c>
      <c r="Z107" s="216">
        <f t="shared" si="77"/>
        <v>3.26</v>
      </c>
      <c r="AA107" s="180">
        <f t="shared" si="78"/>
        <v>5868000</v>
      </c>
      <c r="AB107" s="180"/>
      <c r="AC107" s="180">
        <f t="shared" si="79"/>
        <v>0</v>
      </c>
      <c r="AD107" s="180">
        <f>AA107/24*AB107*75%</f>
        <v>0</v>
      </c>
      <c r="AE107" s="180">
        <f t="shared" si="80"/>
        <v>5868000</v>
      </c>
      <c r="AF107" s="178">
        <f t="shared" si="81"/>
        <v>469440</v>
      </c>
      <c r="AG107" s="178">
        <f t="shared" si="82"/>
        <v>88020</v>
      </c>
      <c r="AH107" s="178">
        <f t="shared" si="83"/>
        <v>58680</v>
      </c>
      <c r="AI107" s="178"/>
      <c r="AJ107" s="178">
        <f t="shared" si="84"/>
        <v>616140</v>
      </c>
      <c r="AK107" s="192"/>
      <c r="AL107" s="182">
        <f t="shared" si="97"/>
        <v>0</v>
      </c>
      <c r="AM107" s="182"/>
      <c r="AN107" s="182"/>
      <c r="AO107" s="193">
        <f>R107+U107+W107</f>
        <v>3.26</v>
      </c>
      <c r="AP107" s="179"/>
      <c r="AQ107" s="194">
        <f t="shared" si="85"/>
        <v>0</v>
      </c>
      <c r="AR107" s="178">
        <f t="shared" si="86"/>
        <v>0</v>
      </c>
      <c r="AS107" s="178"/>
      <c r="AT107" s="178">
        <f t="shared" si="87"/>
        <v>5251860</v>
      </c>
      <c r="AU107" s="469">
        <f t="shared" si="88"/>
        <v>89</v>
      </c>
      <c r="AV107" s="668"/>
      <c r="AW107" s="242"/>
      <c r="AX107" s="29"/>
      <c r="AY107" s="29"/>
      <c r="AZ107" s="29"/>
      <c r="BA107" s="29"/>
      <c r="BB107" s="29"/>
      <c r="BC107" s="29"/>
      <c r="BD107" s="29"/>
      <c r="BE107" s="29"/>
      <c r="BF107" s="29"/>
      <c r="BG107" s="29"/>
    </row>
    <row r="108" spans="1:59" s="189" customFormat="1" ht="32.25" customHeight="1" x14ac:dyDescent="0.25">
      <c r="A108" s="900">
        <f t="shared" si="90"/>
        <v>90</v>
      </c>
      <c r="B108" s="168" t="str">
        <f>VLOOKUP(D108,[1]LuongBC_T01!$B$9:$C$292,2,FALSE)</f>
        <v>0016100006716002</v>
      </c>
      <c r="C108" s="199" t="s">
        <v>933</v>
      </c>
      <c r="D108" s="169" t="s">
        <v>654</v>
      </c>
      <c r="E108" s="263" t="s">
        <v>1106</v>
      </c>
      <c r="F108" s="169" t="s">
        <v>553</v>
      </c>
      <c r="G108" s="170" t="s">
        <v>25</v>
      </c>
      <c r="H108" s="169"/>
      <c r="I108" s="169" t="s">
        <v>284</v>
      </c>
      <c r="J108" s="169"/>
      <c r="K108" s="168" t="s">
        <v>1357</v>
      </c>
      <c r="L108" s="197">
        <v>1603205182619</v>
      </c>
      <c r="M108" s="197" t="s">
        <v>933</v>
      </c>
      <c r="N108" s="263" t="str">
        <f>VLOOKUP(D108,'[5]Bao cao So GDDT'!$D$14:$S$282,11,FALSE)</f>
        <v>Cán sự</v>
      </c>
      <c r="O108" s="393" t="s">
        <v>43</v>
      </c>
      <c r="P108" s="170" t="s">
        <v>698</v>
      </c>
      <c r="Q108" s="170">
        <v>7</v>
      </c>
      <c r="R108" s="192">
        <v>3.66</v>
      </c>
      <c r="S108" s="176">
        <f t="shared" si="95"/>
        <v>0</v>
      </c>
      <c r="T108" s="178"/>
      <c r="U108" s="176">
        <f t="shared" si="75"/>
        <v>0</v>
      </c>
      <c r="V108" s="175">
        <f t="shared" si="96"/>
        <v>0</v>
      </c>
      <c r="W108" s="178"/>
      <c r="X108" s="179">
        <f>VLOOKUP(D108,PCTN!D151:W418,20,FALSE)</f>
        <v>0</v>
      </c>
      <c r="Y108" s="216">
        <f t="shared" si="76"/>
        <v>0</v>
      </c>
      <c r="Z108" s="216">
        <f t="shared" si="77"/>
        <v>3.66</v>
      </c>
      <c r="AA108" s="180">
        <f t="shared" si="78"/>
        <v>6588000</v>
      </c>
      <c r="AB108" s="180"/>
      <c r="AC108" s="180">
        <f t="shared" si="79"/>
        <v>0</v>
      </c>
      <c r="AD108" s="180">
        <f>AA108/24*AB108*75%</f>
        <v>0</v>
      </c>
      <c r="AE108" s="180">
        <f t="shared" si="80"/>
        <v>6588000</v>
      </c>
      <c r="AF108" s="178">
        <f t="shared" si="81"/>
        <v>527040</v>
      </c>
      <c r="AG108" s="178">
        <f t="shared" si="82"/>
        <v>98820</v>
      </c>
      <c r="AH108" s="178">
        <f t="shared" si="83"/>
        <v>65880</v>
      </c>
      <c r="AI108" s="178"/>
      <c r="AJ108" s="178">
        <f t="shared" si="84"/>
        <v>691740</v>
      </c>
      <c r="AK108" s="215"/>
      <c r="AL108" s="182">
        <f t="shared" si="97"/>
        <v>0</v>
      </c>
      <c r="AM108" s="182"/>
      <c r="AN108" s="182"/>
      <c r="AO108" s="216"/>
      <c r="AP108" s="179"/>
      <c r="AQ108" s="194">
        <f t="shared" si="85"/>
        <v>0</v>
      </c>
      <c r="AR108" s="178">
        <f t="shared" si="86"/>
        <v>0</v>
      </c>
      <c r="AS108" s="178"/>
      <c r="AT108" s="178">
        <f t="shared" si="87"/>
        <v>5896260</v>
      </c>
      <c r="AU108" s="469">
        <f t="shared" si="88"/>
        <v>90</v>
      </c>
      <c r="AV108" s="195"/>
      <c r="AW108" s="198" t="s">
        <v>703</v>
      </c>
      <c r="AY108" s="189">
        <f>AY119-AY122</f>
        <v>5347535.5</v>
      </c>
      <c r="AZ108" s="189">
        <f>AZ119-AZ122</f>
        <v>4907464</v>
      </c>
    </row>
    <row r="109" spans="1:59" s="189" customFormat="1" ht="31.5" customHeight="1" x14ac:dyDescent="0.25">
      <c r="A109" s="900">
        <f t="shared" si="90"/>
        <v>91</v>
      </c>
      <c r="B109" s="168" t="str">
        <f>VLOOKUP(D109,[1]LuongBC_T01!$B$9:$C$292,2,FALSE)</f>
        <v>0016100006725001</v>
      </c>
      <c r="C109" s="199" t="s">
        <v>1024</v>
      </c>
      <c r="D109" s="169" t="s">
        <v>659</v>
      </c>
      <c r="E109" s="263" t="s">
        <v>1261</v>
      </c>
      <c r="F109" s="169" t="s">
        <v>553</v>
      </c>
      <c r="G109" s="170" t="s">
        <v>25</v>
      </c>
      <c r="H109" s="169"/>
      <c r="I109" s="169" t="s">
        <v>284</v>
      </c>
      <c r="J109" s="169"/>
      <c r="K109" s="170" t="str">
        <f>VLOOKUP(D109,[2]T3!$B$2:$D$328,3,FALSE)</f>
        <v>025154407</v>
      </c>
      <c r="L109" s="197">
        <v>1603205247426</v>
      </c>
      <c r="M109" s="197" t="s">
        <v>1024</v>
      </c>
      <c r="N109" s="263" t="str">
        <f>VLOOKUP(D109,'[5]Bao cao So GDDT'!$D$14:$S$282,11,FALSE)</f>
        <v>Y sĩ (hạng IV)</v>
      </c>
      <c r="O109" s="393" t="s">
        <v>1120</v>
      </c>
      <c r="P109" s="170" t="s">
        <v>698</v>
      </c>
      <c r="Q109" s="170">
        <v>7</v>
      </c>
      <c r="R109" s="214">
        <v>3.66</v>
      </c>
      <c r="S109" s="176">
        <f t="shared" si="95"/>
        <v>0</v>
      </c>
      <c r="T109" s="178"/>
      <c r="U109" s="176">
        <f t="shared" si="75"/>
        <v>0</v>
      </c>
      <c r="V109" s="175">
        <f t="shared" si="96"/>
        <v>0</v>
      </c>
      <c r="W109" s="178"/>
      <c r="X109" s="179">
        <f>VLOOKUP(D109,PCTN!D280:W547,20,FALSE)</f>
        <v>0</v>
      </c>
      <c r="Y109" s="216">
        <f t="shared" si="76"/>
        <v>0</v>
      </c>
      <c r="Z109" s="216">
        <f t="shared" si="77"/>
        <v>3.66</v>
      </c>
      <c r="AA109" s="180">
        <f t="shared" si="78"/>
        <v>6588000</v>
      </c>
      <c r="AB109" s="180"/>
      <c r="AC109" s="180">
        <f t="shared" si="79"/>
        <v>0</v>
      </c>
      <c r="AD109" s="180">
        <f>AA109/24*AB109*75%</f>
        <v>0</v>
      </c>
      <c r="AE109" s="180">
        <f t="shared" si="80"/>
        <v>6588000</v>
      </c>
      <c r="AF109" s="178">
        <f t="shared" si="81"/>
        <v>527040</v>
      </c>
      <c r="AG109" s="178">
        <f t="shared" si="82"/>
        <v>98820</v>
      </c>
      <c r="AH109" s="178">
        <f t="shared" si="83"/>
        <v>65880</v>
      </c>
      <c r="AI109" s="178"/>
      <c r="AJ109" s="178">
        <f t="shared" si="84"/>
        <v>691740</v>
      </c>
      <c r="AK109" s="215"/>
      <c r="AL109" s="182">
        <f t="shared" si="97"/>
        <v>0</v>
      </c>
      <c r="AM109" s="182"/>
      <c r="AN109" s="182"/>
      <c r="AO109" s="193">
        <f>R109+U109+W109</f>
        <v>3.66</v>
      </c>
      <c r="AP109" s="179">
        <v>0.2</v>
      </c>
      <c r="AQ109" s="194">
        <f t="shared" si="85"/>
        <v>0.73199999999999998</v>
      </c>
      <c r="AR109" s="178">
        <f t="shared" si="86"/>
        <v>1317600</v>
      </c>
      <c r="AS109" s="178"/>
      <c r="AT109" s="178">
        <f t="shared" si="87"/>
        <v>7213860</v>
      </c>
      <c r="AU109" s="469">
        <f t="shared" ref="AU109:AU122" si="98">A109</f>
        <v>91</v>
      </c>
      <c r="AV109" s="195"/>
      <c r="AW109" s="198" t="s">
        <v>713</v>
      </c>
    </row>
    <row r="110" spans="1:59" s="189" customFormat="1" ht="33.75" customHeight="1" x14ac:dyDescent="0.25">
      <c r="A110" s="900">
        <f t="shared" si="90"/>
        <v>92</v>
      </c>
      <c r="B110" s="168" t="str">
        <f>VLOOKUP(D110,[1]LuongBC_T01!$B$9:$C$292,2,FALSE)</f>
        <v>0016100006524006</v>
      </c>
      <c r="C110" s="371" t="s">
        <v>1050</v>
      </c>
      <c r="D110" s="230" t="s">
        <v>1215</v>
      </c>
      <c r="E110" s="263" t="s">
        <v>1257</v>
      </c>
      <c r="F110" s="231"/>
      <c r="G110" s="251" t="s">
        <v>25</v>
      </c>
      <c r="H110" s="231"/>
      <c r="I110" s="231"/>
      <c r="J110" s="231"/>
      <c r="K110" s="170" t="str">
        <f>VLOOKUP(D110,[2]T3!$B$2:$D$328,3,FALSE)</f>
        <v>025408857</v>
      </c>
      <c r="L110" s="226"/>
      <c r="M110" s="226" t="s">
        <v>1050</v>
      </c>
      <c r="N110" s="263" t="str">
        <f>VLOOKUP(D110,'[5]Bao cao So GDDT'!$D$14:$S$282,11,FALSE)</f>
        <v>Kế toán viên</v>
      </c>
      <c r="O110" s="393" t="s">
        <v>38</v>
      </c>
      <c r="P110" s="170" t="s">
        <v>692</v>
      </c>
      <c r="Q110" s="170">
        <v>2</v>
      </c>
      <c r="R110" s="177">
        <v>3.66</v>
      </c>
      <c r="S110" s="176">
        <f t="shared" si="95"/>
        <v>0</v>
      </c>
      <c r="T110" s="169"/>
      <c r="U110" s="176">
        <f t="shared" si="75"/>
        <v>0</v>
      </c>
      <c r="V110" s="175">
        <f t="shared" si="96"/>
        <v>0</v>
      </c>
      <c r="W110" s="170"/>
      <c r="X110" s="179">
        <f>VLOOKUP(D110,PCTN!D161:W428,20,FALSE)</f>
        <v>0</v>
      </c>
      <c r="Y110" s="216">
        <f t="shared" si="76"/>
        <v>0</v>
      </c>
      <c r="Z110" s="216">
        <f t="shared" si="77"/>
        <v>3.66</v>
      </c>
      <c r="AA110" s="180">
        <f t="shared" si="78"/>
        <v>6588000</v>
      </c>
      <c r="AB110" s="180"/>
      <c r="AC110" s="180">
        <f t="shared" si="79"/>
        <v>0</v>
      </c>
      <c r="AD110" s="180">
        <f>AA110/24*AB110*75%</f>
        <v>0</v>
      </c>
      <c r="AE110" s="180">
        <f t="shared" si="80"/>
        <v>6588000</v>
      </c>
      <c r="AF110" s="178">
        <f t="shared" si="81"/>
        <v>527040</v>
      </c>
      <c r="AG110" s="178">
        <f t="shared" si="82"/>
        <v>98820</v>
      </c>
      <c r="AH110" s="178">
        <f t="shared" si="83"/>
        <v>65880</v>
      </c>
      <c r="AI110" s="178"/>
      <c r="AJ110" s="178">
        <f t="shared" si="84"/>
        <v>691740</v>
      </c>
      <c r="AK110" s="192"/>
      <c r="AL110" s="182">
        <f t="shared" si="97"/>
        <v>0</v>
      </c>
      <c r="AM110" s="182"/>
      <c r="AN110" s="182"/>
      <c r="AO110" s="183"/>
      <c r="AP110" s="179"/>
      <c r="AQ110" s="194">
        <f t="shared" si="85"/>
        <v>0</v>
      </c>
      <c r="AR110" s="178">
        <f t="shared" si="86"/>
        <v>0</v>
      </c>
      <c r="AS110" s="178"/>
      <c r="AT110" s="178">
        <f t="shared" si="87"/>
        <v>5896260</v>
      </c>
      <c r="AU110" s="469">
        <f t="shared" si="98"/>
        <v>92</v>
      </c>
      <c r="AV110" s="244"/>
      <c r="AW110" s="255"/>
    </row>
    <row r="111" spans="1:59" s="189" customFormat="1" ht="38.25" x14ac:dyDescent="0.25">
      <c r="A111" s="900">
        <f t="shared" si="90"/>
        <v>93</v>
      </c>
      <c r="B111" s="168" t="str">
        <f>VLOOKUP(D111,[1]LuongBC_T01!$B$9:$C$292,2,FALSE)</f>
        <v>0016100006515007</v>
      </c>
      <c r="C111" s="199" t="s">
        <v>940</v>
      </c>
      <c r="D111" s="169" t="s">
        <v>683</v>
      </c>
      <c r="E111" s="263" t="s">
        <v>1257</v>
      </c>
      <c r="F111" s="169" t="s">
        <v>553</v>
      </c>
      <c r="G111" s="170" t="s">
        <v>25</v>
      </c>
      <c r="H111" s="170"/>
      <c r="I111" s="170"/>
      <c r="J111" s="169"/>
      <c r="K111" s="170" t="str">
        <f>VLOOKUP(D111,[2]T3!$B$2:$D$328,3,FALSE)</f>
        <v>025197968</v>
      </c>
      <c r="L111" s="249">
        <v>1603205178873</v>
      </c>
      <c r="M111" s="249" t="s">
        <v>940</v>
      </c>
      <c r="N111" s="263" t="s">
        <v>1607</v>
      </c>
      <c r="O111" s="390" t="s">
        <v>38</v>
      </c>
      <c r="P111" s="222" t="s">
        <v>698</v>
      </c>
      <c r="Q111" s="172">
        <v>7</v>
      </c>
      <c r="R111" s="174">
        <v>3.66</v>
      </c>
      <c r="S111" s="176">
        <f t="shared" si="95"/>
        <v>0</v>
      </c>
      <c r="T111" s="370"/>
      <c r="U111" s="176">
        <f t="shared" si="75"/>
        <v>0</v>
      </c>
      <c r="V111" s="175">
        <f t="shared" si="96"/>
        <v>0</v>
      </c>
      <c r="W111" s="170"/>
      <c r="X111" s="179">
        <f>VLOOKUP(D111,PCTN!D162:W429,20,FALSE)</f>
        <v>0</v>
      </c>
      <c r="Y111" s="216">
        <f t="shared" si="76"/>
        <v>0</v>
      </c>
      <c r="Z111" s="216">
        <f t="shared" si="77"/>
        <v>3.66</v>
      </c>
      <c r="AA111" s="180">
        <f t="shared" si="78"/>
        <v>6588000</v>
      </c>
      <c r="AB111" s="180"/>
      <c r="AC111" s="180">
        <f t="shared" si="79"/>
        <v>0</v>
      </c>
      <c r="AD111" s="180">
        <v>0</v>
      </c>
      <c r="AE111" s="180">
        <f t="shared" si="80"/>
        <v>6588000</v>
      </c>
      <c r="AF111" s="178">
        <f t="shared" si="81"/>
        <v>527040</v>
      </c>
      <c r="AG111" s="178">
        <f t="shared" si="82"/>
        <v>98820</v>
      </c>
      <c r="AH111" s="178">
        <f t="shared" si="83"/>
        <v>65880</v>
      </c>
      <c r="AI111" s="178"/>
      <c r="AJ111" s="178">
        <f t="shared" si="84"/>
        <v>691740</v>
      </c>
      <c r="AK111" s="192"/>
      <c r="AL111" s="182">
        <f t="shared" si="97"/>
        <v>0</v>
      </c>
      <c r="AM111" s="182"/>
      <c r="AN111" s="182"/>
      <c r="AO111" s="193">
        <f>R111+U111+W111</f>
        <v>3.66</v>
      </c>
      <c r="AP111" s="179"/>
      <c r="AQ111" s="194">
        <f t="shared" si="85"/>
        <v>0</v>
      </c>
      <c r="AR111" s="178">
        <f t="shared" si="86"/>
        <v>0</v>
      </c>
      <c r="AS111" s="178"/>
      <c r="AT111" s="178">
        <f t="shared" si="87"/>
        <v>5896260</v>
      </c>
      <c r="AU111" s="469">
        <f t="shared" si="98"/>
        <v>93</v>
      </c>
      <c r="AV111" s="244"/>
      <c r="AW111" s="242"/>
    </row>
    <row r="112" spans="1:59" s="189" customFormat="1" ht="33.75" customHeight="1" x14ac:dyDescent="0.25">
      <c r="A112" s="900">
        <f t="shared" si="90"/>
        <v>94</v>
      </c>
      <c r="B112" s="168" t="str">
        <f>VLOOKUP(D112,[1]LuongBC_T01!$B$9:$C$292,2,FALSE)</f>
        <v>0016100006512008</v>
      </c>
      <c r="C112" s="871" t="s">
        <v>1037</v>
      </c>
      <c r="D112" s="169" t="s">
        <v>648</v>
      </c>
      <c r="E112" s="263" t="s">
        <v>1257</v>
      </c>
      <c r="F112" s="169" t="s">
        <v>549</v>
      </c>
      <c r="G112" s="170" t="s">
        <v>25</v>
      </c>
      <c r="H112" s="169"/>
      <c r="I112" s="169" t="s">
        <v>284</v>
      </c>
      <c r="J112" s="169"/>
      <c r="K112" s="170" t="str">
        <f>VLOOKUP(D112,[2]T3!$B$2:$D$328,3,FALSE)</f>
        <v>022527163</v>
      </c>
      <c r="L112" s="213" t="s">
        <v>660</v>
      </c>
      <c r="M112" s="213" t="s">
        <v>1037</v>
      </c>
      <c r="N112" s="263" t="str">
        <f>VLOOKUP(D112,'[5]Bao cao So GDDT'!$D$14:$S$282,11,FALSE)</f>
        <v>Chuyên viên</v>
      </c>
      <c r="O112" s="393" t="s">
        <v>39</v>
      </c>
      <c r="P112" s="170" t="s">
        <v>692</v>
      </c>
      <c r="Q112" s="170">
        <v>4</v>
      </c>
      <c r="R112" s="192">
        <v>3.99</v>
      </c>
      <c r="S112" s="176">
        <f t="shared" si="95"/>
        <v>0</v>
      </c>
      <c r="T112" s="178"/>
      <c r="U112" s="176">
        <f t="shared" si="75"/>
        <v>0</v>
      </c>
      <c r="V112" s="175">
        <f t="shared" si="96"/>
        <v>0</v>
      </c>
      <c r="W112" s="178"/>
      <c r="X112" s="179">
        <f>VLOOKUP(D112,PCTN!D135:W402,20,FALSE)</f>
        <v>0</v>
      </c>
      <c r="Y112" s="216">
        <f t="shared" si="76"/>
        <v>0</v>
      </c>
      <c r="Z112" s="216">
        <f t="shared" si="77"/>
        <v>3.99</v>
      </c>
      <c r="AA112" s="180">
        <f t="shared" si="78"/>
        <v>7182000</v>
      </c>
      <c r="AB112" s="180"/>
      <c r="AC112" s="180">
        <f t="shared" si="79"/>
        <v>0</v>
      </c>
      <c r="AD112" s="180">
        <f>AA112/24*AB112*75%</f>
        <v>0</v>
      </c>
      <c r="AE112" s="180">
        <f t="shared" si="80"/>
        <v>7182000</v>
      </c>
      <c r="AF112" s="178">
        <f t="shared" si="81"/>
        <v>574560</v>
      </c>
      <c r="AG112" s="178">
        <f t="shared" si="82"/>
        <v>107730</v>
      </c>
      <c r="AH112" s="178">
        <f t="shared" si="83"/>
        <v>71820</v>
      </c>
      <c r="AI112" s="178"/>
      <c r="AJ112" s="178">
        <f t="shared" si="84"/>
        <v>754110</v>
      </c>
      <c r="AK112" s="215"/>
      <c r="AL112" s="182">
        <f t="shared" si="97"/>
        <v>0</v>
      </c>
      <c r="AM112" s="182"/>
      <c r="AN112" s="182"/>
      <c r="AO112" s="193"/>
      <c r="AP112" s="179"/>
      <c r="AQ112" s="194">
        <f t="shared" si="85"/>
        <v>0</v>
      </c>
      <c r="AR112" s="178">
        <f t="shared" si="86"/>
        <v>0</v>
      </c>
      <c r="AS112" s="178"/>
      <c r="AT112" s="178">
        <f t="shared" si="87"/>
        <v>6427890</v>
      </c>
      <c r="AU112" s="469">
        <f t="shared" si="98"/>
        <v>94</v>
      </c>
      <c r="AV112" s="243"/>
      <c r="AW112" s="223"/>
      <c r="AX112" s="29"/>
      <c r="AY112" s="29"/>
      <c r="AZ112" s="29"/>
      <c r="BA112" s="29"/>
      <c r="BB112" s="29"/>
      <c r="BC112" s="29"/>
      <c r="BD112" s="29"/>
      <c r="BE112" s="29"/>
      <c r="BF112" s="29"/>
      <c r="BG112" s="29"/>
    </row>
    <row r="113" spans="1:59" s="189" customFormat="1" ht="38.25" x14ac:dyDescent="0.25">
      <c r="A113" s="900">
        <f t="shared" si="90"/>
        <v>95</v>
      </c>
      <c r="B113" s="168" t="str">
        <f>VLOOKUP(D113,[1]LuongBC_T01!$B$9:$C$292,2,FALSE)</f>
        <v>0016100006681004</v>
      </c>
      <c r="C113" s="865" t="s">
        <v>939</v>
      </c>
      <c r="D113" s="230" t="s">
        <v>771</v>
      </c>
      <c r="E113" s="263" t="s">
        <v>1257</v>
      </c>
      <c r="F113" s="231"/>
      <c r="G113" s="251" t="s">
        <v>25</v>
      </c>
      <c r="H113" s="231"/>
      <c r="I113" s="231"/>
      <c r="J113" s="231"/>
      <c r="K113" s="170" t="str">
        <f>VLOOKUP(D113,[2]T3!$B$2:$D$328,3,FALSE)</f>
        <v>025796369</v>
      </c>
      <c r="L113" s="226">
        <v>1603205372861</v>
      </c>
      <c r="M113" s="226" t="s">
        <v>939</v>
      </c>
      <c r="N113" s="835" t="str">
        <f>VLOOKUP(D113,'[5]Bao cao So GDDT'!$D$14:$S$282,11,FALSE)</f>
        <v>Chuyên viên</v>
      </c>
      <c r="O113" s="393" t="s">
        <v>39</v>
      </c>
      <c r="P113" s="170" t="s">
        <v>698</v>
      </c>
      <c r="Q113" s="170">
        <v>1</v>
      </c>
      <c r="R113" s="170">
        <v>2.67</v>
      </c>
      <c r="S113" s="176">
        <f t="shared" si="95"/>
        <v>0</v>
      </c>
      <c r="T113" s="169"/>
      <c r="U113" s="176">
        <f t="shared" si="75"/>
        <v>0</v>
      </c>
      <c r="V113" s="175"/>
      <c r="W113" s="178"/>
      <c r="X113" s="179">
        <f>VLOOKUP(D113,PCTN!D158:W425,20,FALSE)</f>
        <v>0</v>
      </c>
      <c r="Y113" s="216">
        <f t="shared" si="76"/>
        <v>0</v>
      </c>
      <c r="Z113" s="216">
        <f t="shared" si="77"/>
        <v>2.67</v>
      </c>
      <c r="AA113" s="180">
        <f t="shared" si="78"/>
        <v>4806000</v>
      </c>
      <c r="AB113" s="180"/>
      <c r="AC113" s="180">
        <f t="shared" si="79"/>
        <v>0</v>
      </c>
      <c r="AD113" s="180">
        <v>0</v>
      </c>
      <c r="AE113" s="180">
        <f t="shared" si="80"/>
        <v>4806000</v>
      </c>
      <c r="AF113" s="178">
        <f t="shared" si="81"/>
        <v>384480</v>
      </c>
      <c r="AG113" s="178">
        <f t="shared" si="82"/>
        <v>72090</v>
      </c>
      <c r="AH113" s="178">
        <f t="shared" si="83"/>
        <v>48060</v>
      </c>
      <c r="AI113" s="178"/>
      <c r="AJ113" s="178">
        <f t="shared" si="84"/>
        <v>504630</v>
      </c>
      <c r="AK113" s="192"/>
      <c r="AL113" s="182">
        <f t="shared" si="97"/>
        <v>0</v>
      </c>
      <c r="AM113" s="182"/>
      <c r="AN113" s="182"/>
      <c r="AO113" s="183">
        <f>R113+U113+W113</f>
        <v>2.67</v>
      </c>
      <c r="AP113" s="179"/>
      <c r="AQ113" s="194">
        <f t="shared" si="85"/>
        <v>0</v>
      </c>
      <c r="AR113" s="178">
        <f t="shared" si="86"/>
        <v>0</v>
      </c>
      <c r="AS113" s="178"/>
      <c r="AT113" s="178">
        <f t="shared" si="87"/>
        <v>4301370</v>
      </c>
      <c r="AU113" s="469">
        <f t="shared" si="98"/>
        <v>95</v>
      </c>
      <c r="AV113" s="195"/>
      <c r="AW113" s="824" t="s">
        <v>1493</v>
      </c>
      <c r="AX113" s="29"/>
      <c r="AY113" s="29"/>
      <c r="AZ113" s="29"/>
      <c r="BA113" s="29"/>
      <c r="BB113" s="29"/>
      <c r="BC113" s="29"/>
      <c r="BD113" s="29"/>
      <c r="BE113" s="29"/>
      <c r="BF113" s="29"/>
      <c r="BG113" s="29"/>
    </row>
    <row r="114" spans="1:59" s="189" customFormat="1" ht="38.25" customHeight="1" x14ac:dyDescent="0.25">
      <c r="A114" s="900">
        <f t="shared" si="90"/>
        <v>96</v>
      </c>
      <c r="B114" s="168" t="str">
        <f>VLOOKUP(D114,[1]LuongBC_T01!$B$9:$C$292,2,FALSE)</f>
        <v>0016100006540001</v>
      </c>
      <c r="C114" s="30" t="s">
        <v>1325</v>
      </c>
      <c r="D114" s="169" t="s">
        <v>1294</v>
      </c>
      <c r="E114" s="263" t="s">
        <v>1589</v>
      </c>
      <c r="F114" s="220"/>
      <c r="G114" s="220"/>
      <c r="H114" s="220"/>
      <c r="I114" s="220"/>
      <c r="J114" s="220"/>
      <c r="K114" s="170" t="str">
        <f>VLOOKUP(D114,[2]T3!$B$2:$D$328,3,FALSE)</f>
        <v>051091000077</v>
      </c>
      <c r="L114" s="220"/>
      <c r="M114" s="170"/>
      <c r="N114" s="263" t="str">
        <f>VLOOKUP(D114,'[5]Bao cao So GDDT'!$D$14:$S$282,11,FALSE)</f>
        <v>Kỹ sư (hạng III)</v>
      </c>
      <c r="O114" s="263" t="s">
        <v>1116</v>
      </c>
      <c r="P114" s="251"/>
      <c r="Q114" s="251"/>
      <c r="R114" s="170">
        <v>2.67</v>
      </c>
      <c r="S114" s="176">
        <f t="shared" si="95"/>
        <v>0.45</v>
      </c>
      <c r="T114" s="220"/>
      <c r="U114" s="176">
        <f t="shared" si="75"/>
        <v>0</v>
      </c>
      <c r="V114" s="175"/>
      <c r="W114" s="170">
        <v>0.45</v>
      </c>
      <c r="X114" s="179">
        <f>VLOOKUP(D114,PCTN!D104:W371,20,FALSE)</f>
        <v>0</v>
      </c>
      <c r="Y114" s="216">
        <f t="shared" si="76"/>
        <v>0</v>
      </c>
      <c r="Z114" s="216">
        <f t="shared" si="77"/>
        <v>3.12</v>
      </c>
      <c r="AA114" s="180">
        <f t="shared" si="78"/>
        <v>5616000</v>
      </c>
      <c r="AB114" s="180"/>
      <c r="AC114" s="180">
        <f t="shared" si="79"/>
        <v>0</v>
      </c>
      <c r="AD114" s="180">
        <f>AA114/24*AB114*75%</f>
        <v>0</v>
      </c>
      <c r="AE114" s="180">
        <f t="shared" si="80"/>
        <v>5616000</v>
      </c>
      <c r="AF114" s="178">
        <f t="shared" si="81"/>
        <v>449280</v>
      </c>
      <c r="AG114" s="178">
        <f t="shared" si="82"/>
        <v>84240</v>
      </c>
      <c r="AH114" s="178">
        <f t="shared" si="83"/>
        <v>56160</v>
      </c>
      <c r="AI114" s="178"/>
      <c r="AJ114" s="178">
        <f t="shared" si="84"/>
        <v>589680</v>
      </c>
      <c r="AK114" s="192"/>
      <c r="AL114" s="182">
        <f t="shared" si="97"/>
        <v>0</v>
      </c>
      <c r="AM114" s="182"/>
      <c r="AN114" s="182"/>
      <c r="AO114" s="183">
        <f>R114+U114+W114</f>
        <v>3.12</v>
      </c>
      <c r="AP114" s="179"/>
      <c r="AQ114" s="185">
        <f t="shared" si="85"/>
        <v>0</v>
      </c>
      <c r="AR114" s="178">
        <f t="shared" si="86"/>
        <v>0</v>
      </c>
      <c r="AS114" s="178"/>
      <c r="AT114" s="178">
        <f t="shared" si="87"/>
        <v>5026320</v>
      </c>
      <c r="AU114" s="469">
        <f t="shared" si="98"/>
        <v>96</v>
      </c>
      <c r="AV114" s="195"/>
      <c r="AW114" s="486"/>
      <c r="AX114" s="29"/>
      <c r="AY114" s="29"/>
      <c r="AZ114" s="29"/>
      <c r="BA114" s="29"/>
      <c r="BB114" s="29"/>
      <c r="BC114" s="29"/>
      <c r="BD114" s="29"/>
      <c r="BE114" s="29"/>
      <c r="BF114" s="29"/>
      <c r="BG114" s="29"/>
    </row>
    <row r="115" spans="1:59" s="189" customFormat="1" ht="32.25" customHeight="1" x14ac:dyDescent="0.25">
      <c r="A115" s="900">
        <f t="shared" si="90"/>
        <v>97</v>
      </c>
      <c r="B115" s="168" t="str">
        <f>VLOOKUP(D115,[1]LuongBC_T01!$B$9:$C$292,2,FALSE)</f>
        <v>0016100006528001</v>
      </c>
      <c r="C115" s="199" t="s">
        <v>918</v>
      </c>
      <c r="D115" s="169" t="s">
        <v>1203</v>
      </c>
      <c r="E115" s="263" t="s">
        <v>1467</v>
      </c>
      <c r="F115" s="169" t="s">
        <v>549</v>
      </c>
      <c r="G115" s="170"/>
      <c r="H115" s="170" t="s">
        <v>283</v>
      </c>
      <c r="I115" s="200" t="s">
        <v>283</v>
      </c>
      <c r="J115" s="220" t="s">
        <v>262</v>
      </c>
      <c r="K115" s="170" t="str">
        <f>VLOOKUP(D115,[2]T3!$B$2:$D$328,3,FALSE)</f>
        <v>024610718</v>
      </c>
      <c r="L115" s="171" t="s">
        <v>123</v>
      </c>
      <c r="M115" s="171" t="s">
        <v>918</v>
      </c>
      <c r="N115" s="263" t="str">
        <f>VLOOKUP(D115,'[5]Bao cao So GDDT'!$D$14:$S$282,11,FALSE)</f>
        <v>Giảng viên GDNN LT (hạng III)</v>
      </c>
      <c r="O115" s="390" t="s">
        <v>1438</v>
      </c>
      <c r="P115" s="172" t="s">
        <v>692</v>
      </c>
      <c r="Q115" s="173">
        <v>4</v>
      </c>
      <c r="R115" s="174">
        <v>4.32</v>
      </c>
      <c r="S115" s="176">
        <f>U115+W115+Y115</f>
        <v>1.0972</v>
      </c>
      <c r="T115" s="370"/>
      <c r="U115" s="176">
        <f>ROUND(R115*T115/100,4)</f>
        <v>0</v>
      </c>
      <c r="V115" s="175">
        <f>R115*T115*$D$8/100</f>
        <v>0</v>
      </c>
      <c r="W115" s="170">
        <v>0.35</v>
      </c>
      <c r="X115" s="179">
        <v>0.16</v>
      </c>
      <c r="Y115" s="216">
        <f>ROUND((R115+U115+W115)*X115,4)</f>
        <v>0.74719999999999998</v>
      </c>
      <c r="Z115" s="216">
        <f>R115+U115+W115+Y115</f>
        <v>5.4172000000000002</v>
      </c>
      <c r="AA115" s="180">
        <f>ROUND(Z115*$D$8,0)</f>
        <v>9750960</v>
      </c>
      <c r="AB115" s="180"/>
      <c r="AC115" s="180">
        <f>AA115/24*AB115</f>
        <v>0</v>
      </c>
      <c r="AD115" s="180">
        <f>AA115/24*AB115*75%</f>
        <v>0</v>
      </c>
      <c r="AE115" s="180">
        <f>ROUND(AA115-AC115+AD115,0)</f>
        <v>9750960</v>
      </c>
      <c r="AF115" s="178">
        <f>AA115*8%</f>
        <v>780076.8</v>
      </c>
      <c r="AG115" s="178">
        <f>AA115*1.5%</f>
        <v>146264.4</v>
      </c>
      <c r="AH115" s="178">
        <f>AA115*1%</f>
        <v>97509.6</v>
      </c>
      <c r="AI115" s="178"/>
      <c r="AJ115" s="178">
        <f>SUM(AF115:AI115)</f>
        <v>1023850.8</v>
      </c>
      <c r="AK115" s="192"/>
      <c r="AL115" s="182">
        <f>AK115*$D$8</f>
        <v>0</v>
      </c>
      <c r="AM115" s="182"/>
      <c r="AN115" s="182"/>
      <c r="AO115" s="193">
        <f>R115+U115+W115</f>
        <v>4.67</v>
      </c>
      <c r="AP115" s="246">
        <v>0.25</v>
      </c>
      <c r="AQ115" s="194">
        <f>ROUND(AO115*AP115,4)</f>
        <v>1.1675</v>
      </c>
      <c r="AR115" s="178">
        <f>ROUND(AQ115*$D$8,0)</f>
        <v>2101500</v>
      </c>
      <c r="AS115" s="178"/>
      <c r="AT115" s="178">
        <f>ROUND(AE115-AJ115+AL115+AN115+AR115,0)</f>
        <v>10828609</v>
      </c>
      <c r="AU115" s="469">
        <f>A115</f>
        <v>97</v>
      </c>
      <c r="AV115" s="186"/>
      <c r="AW115" s="187" t="s">
        <v>704</v>
      </c>
    </row>
    <row r="116" spans="1:59" s="189" customFormat="1" ht="45" customHeight="1" x14ac:dyDescent="0.25">
      <c r="A116" s="900">
        <f t="shared" si="90"/>
        <v>98</v>
      </c>
      <c r="B116" s="168" t="str">
        <f>VLOOKUP(D116,[1]LuongBC_T01!$B$9:$C$292,2,FALSE)</f>
        <v>0016100006652004</v>
      </c>
      <c r="C116" s="871" t="s">
        <v>1042</v>
      </c>
      <c r="D116" s="230" t="s">
        <v>784</v>
      </c>
      <c r="E116" s="263" t="s">
        <v>1103</v>
      </c>
      <c r="F116" s="231"/>
      <c r="G116" s="251" t="s">
        <v>25</v>
      </c>
      <c r="H116" s="231"/>
      <c r="I116" s="169" t="s">
        <v>284</v>
      </c>
      <c r="J116" s="231"/>
      <c r="K116" s="170" t="str">
        <f>VLOOKUP(D116,[2]T3!$B$2:$D$328,3,FALSE)</f>
        <v>023124949</v>
      </c>
      <c r="L116" s="226" t="s">
        <v>792</v>
      </c>
      <c r="M116" s="226" t="s">
        <v>1042</v>
      </c>
      <c r="N116" s="835" t="str">
        <f>VLOOKUP(D116,'[5]Bao cao So GDDT'!$D$14:$S$282,11,FALSE)</f>
        <v>Chuyên viên</v>
      </c>
      <c r="O116" s="393" t="s">
        <v>39</v>
      </c>
      <c r="P116" s="170" t="s">
        <v>692</v>
      </c>
      <c r="Q116" s="170">
        <v>2</v>
      </c>
      <c r="R116" s="192">
        <v>3.33</v>
      </c>
      <c r="S116" s="176">
        <f t="shared" si="95"/>
        <v>0</v>
      </c>
      <c r="T116" s="178"/>
      <c r="U116" s="176">
        <f t="shared" si="75"/>
        <v>0</v>
      </c>
      <c r="V116" s="175">
        <f t="shared" ref="V116:V121" si="99">R116*T116*$D$8/100</f>
        <v>0</v>
      </c>
      <c r="W116" s="178"/>
      <c r="X116" s="179">
        <f>VLOOKUP(D116,PCTN!D141:W408,20,FALSE)</f>
        <v>0</v>
      </c>
      <c r="Y116" s="216">
        <f t="shared" si="76"/>
        <v>0</v>
      </c>
      <c r="Z116" s="216">
        <f t="shared" si="77"/>
        <v>3.33</v>
      </c>
      <c r="AA116" s="180">
        <f t="shared" si="78"/>
        <v>5994000</v>
      </c>
      <c r="AB116" s="180"/>
      <c r="AC116" s="180">
        <f t="shared" si="79"/>
        <v>0</v>
      </c>
      <c r="AD116" s="180">
        <f>AA116/24*AB116*75%</f>
        <v>0</v>
      </c>
      <c r="AE116" s="180">
        <f t="shared" si="80"/>
        <v>5994000</v>
      </c>
      <c r="AF116" s="178">
        <f t="shared" si="81"/>
        <v>479520</v>
      </c>
      <c r="AG116" s="178">
        <f t="shared" si="82"/>
        <v>89910</v>
      </c>
      <c r="AH116" s="178">
        <f t="shared" si="83"/>
        <v>59940</v>
      </c>
      <c r="AI116" s="178"/>
      <c r="AJ116" s="178">
        <f t="shared" si="84"/>
        <v>629370</v>
      </c>
      <c r="AK116" s="215"/>
      <c r="AL116" s="182">
        <f t="shared" si="97"/>
        <v>0</v>
      </c>
      <c r="AM116" s="182"/>
      <c r="AN116" s="182"/>
      <c r="AO116" s="216"/>
      <c r="AP116" s="179"/>
      <c r="AQ116" s="194">
        <f t="shared" si="85"/>
        <v>0</v>
      </c>
      <c r="AR116" s="178">
        <f t="shared" si="86"/>
        <v>0</v>
      </c>
      <c r="AS116" s="178"/>
      <c r="AT116" s="178">
        <f t="shared" si="87"/>
        <v>5364630</v>
      </c>
      <c r="AU116" s="469">
        <f t="shared" si="98"/>
        <v>98</v>
      </c>
      <c r="AV116" s="195"/>
      <c r="AW116" s="242"/>
      <c r="AX116" s="29"/>
      <c r="AY116" s="29"/>
      <c r="AZ116" s="29"/>
      <c r="BA116" s="29"/>
      <c r="BB116" s="29"/>
      <c r="BC116" s="29"/>
      <c r="BD116" s="29"/>
      <c r="BE116" s="29"/>
      <c r="BF116" s="29"/>
      <c r="BG116" s="29"/>
    </row>
    <row r="117" spans="1:59" s="189" customFormat="1" ht="38.25" x14ac:dyDescent="0.25">
      <c r="A117" s="900">
        <f t="shared" si="90"/>
        <v>99</v>
      </c>
      <c r="B117" s="168" t="str">
        <f>VLOOKUP(D117,[1]LuongBC_T01!$B$9:$C$292,2,FALSE)</f>
        <v>0016100006541008</v>
      </c>
      <c r="C117" s="871" t="s">
        <v>1044</v>
      </c>
      <c r="D117" s="169" t="s">
        <v>650</v>
      </c>
      <c r="E117" s="263" t="s">
        <v>1103</v>
      </c>
      <c r="F117" s="169" t="s">
        <v>549</v>
      </c>
      <c r="G117" s="170" t="s">
        <v>25</v>
      </c>
      <c r="H117" s="169"/>
      <c r="I117" s="169" t="s">
        <v>284</v>
      </c>
      <c r="J117" s="169"/>
      <c r="K117" s="170" t="str">
        <f>VLOOKUP(D117,[2]T3!$B$2:$D$328,3,FALSE)</f>
        <v>023660331</v>
      </c>
      <c r="L117" s="197">
        <v>1603205182178</v>
      </c>
      <c r="M117" s="197" t="s">
        <v>1044</v>
      </c>
      <c r="N117" s="835" t="str">
        <f>VLOOKUP(D117,'[5]Bao cao So GDDT'!$D$14:$S$282,11,FALSE)</f>
        <v>Chuyên viên</v>
      </c>
      <c r="O117" s="393" t="s">
        <v>39</v>
      </c>
      <c r="P117" s="170" t="s">
        <v>697</v>
      </c>
      <c r="Q117" s="170">
        <v>3</v>
      </c>
      <c r="R117" s="192">
        <v>3.66</v>
      </c>
      <c r="S117" s="176">
        <f t="shared" si="95"/>
        <v>0</v>
      </c>
      <c r="T117" s="178"/>
      <c r="U117" s="176">
        <f t="shared" si="75"/>
        <v>0</v>
      </c>
      <c r="V117" s="175">
        <f t="shared" si="99"/>
        <v>0</v>
      </c>
      <c r="W117" s="178"/>
      <c r="X117" s="179">
        <f>VLOOKUP(D117,PCTN!D143:W410,20,FALSE)</f>
        <v>0</v>
      </c>
      <c r="Y117" s="216">
        <f t="shared" si="76"/>
        <v>0</v>
      </c>
      <c r="Z117" s="216">
        <f t="shared" si="77"/>
        <v>3.66</v>
      </c>
      <c r="AA117" s="180">
        <f t="shared" si="78"/>
        <v>6588000</v>
      </c>
      <c r="AB117" s="180"/>
      <c r="AC117" s="180">
        <f t="shared" si="79"/>
        <v>0</v>
      </c>
      <c r="AD117" s="533">
        <f>AA117/24*AB117*75%</f>
        <v>0</v>
      </c>
      <c r="AE117" s="180">
        <f t="shared" si="80"/>
        <v>6588000</v>
      </c>
      <c r="AF117" s="534">
        <f t="shared" si="81"/>
        <v>527040</v>
      </c>
      <c r="AG117" s="534">
        <f t="shared" si="82"/>
        <v>98820</v>
      </c>
      <c r="AH117" s="534">
        <f t="shared" si="83"/>
        <v>65880</v>
      </c>
      <c r="AI117" s="178"/>
      <c r="AJ117" s="178">
        <f t="shared" si="84"/>
        <v>691740</v>
      </c>
      <c r="AK117" s="215"/>
      <c r="AL117" s="182">
        <f t="shared" si="97"/>
        <v>0</v>
      </c>
      <c r="AM117" s="182"/>
      <c r="AN117" s="182"/>
      <c r="AO117" s="193"/>
      <c r="AP117" s="179"/>
      <c r="AQ117" s="194">
        <f t="shared" si="85"/>
        <v>0</v>
      </c>
      <c r="AR117" s="178">
        <f t="shared" si="86"/>
        <v>0</v>
      </c>
      <c r="AS117" s="178"/>
      <c r="AT117" s="178">
        <f t="shared" si="87"/>
        <v>5896260</v>
      </c>
      <c r="AU117" s="469">
        <f t="shared" si="98"/>
        <v>99</v>
      </c>
      <c r="AV117" s="221"/>
      <c r="AW117" s="186" t="s">
        <v>709</v>
      </c>
      <c r="AX117" s="29"/>
      <c r="AY117" s="29"/>
      <c r="AZ117" s="29"/>
      <c r="BA117" s="29"/>
      <c r="BB117" s="29"/>
      <c r="BC117" s="29"/>
      <c r="BD117" s="29"/>
      <c r="BE117" s="29"/>
      <c r="BF117" s="29"/>
      <c r="BG117" s="29"/>
    </row>
    <row r="118" spans="1:59" s="189" customFormat="1" ht="38.25" x14ac:dyDescent="0.25">
      <c r="A118" s="900">
        <f t="shared" si="90"/>
        <v>100</v>
      </c>
      <c r="B118" s="168" t="str">
        <f>VLOOKUP(D118,[1]LuongBC_T01!$B$9:$C$292,2,FALSE)</f>
        <v>0016100006521007</v>
      </c>
      <c r="C118" s="865" t="s">
        <v>931</v>
      </c>
      <c r="D118" s="169" t="s">
        <v>657</v>
      </c>
      <c r="E118" s="263" t="s">
        <v>1103</v>
      </c>
      <c r="F118" s="169" t="s">
        <v>549</v>
      </c>
      <c r="G118" s="170" t="s">
        <v>25</v>
      </c>
      <c r="H118" s="169"/>
      <c r="I118" s="169" t="s">
        <v>284</v>
      </c>
      <c r="J118" s="169"/>
      <c r="K118" s="170" t="str">
        <f>VLOOKUP(D118,[2]T3!$B$2:$D$328,3,FALSE)</f>
        <v>026005827</v>
      </c>
      <c r="L118" s="197">
        <v>1603205182394</v>
      </c>
      <c r="M118" s="197" t="s">
        <v>931</v>
      </c>
      <c r="N118" s="263" t="str">
        <f>VLOOKUP(D118,'[5]Bao cao So GDDT'!$D$14:$S$282,11,FALSE)</f>
        <v>Chuyên viên</v>
      </c>
      <c r="O118" s="390" t="s">
        <v>39</v>
      </c>
      <c r="P118" s="170" t="s">
        <v>692</v>
      </c>
      <c r="Q118" s="170">
        <v>4</v>
      </c>
      <c r="R118" s="192">
        <v>3.99</v>
      </c>
      <c r="S118" s="176">
        <f t="shared" si="95"/>
        <v>0</v>
      </c>
      <c r="T118" s="178"/>
      <c r="U118" s="176">
        <f t="shared" si="75"/>
        <v>0</v>
      </c>
      <c r="V118" s="175">
        <f t="shared" si="99"/>
        <v>0</v>
      </c>
      <c r="W118" s="178"/>
      <c r="X118" s="179">
        <f>VLOOKUP(D118,PCTN!D148:W415,20,FALSE)</f>
        <v>0</v>
      </c>
      <c r="Y118" s="216">
        <f t="shared" si="76"/>
        <v>0</v>
      </c>
      <c r="Z118" s="216">
        <f t="shared" si="77"/>
        <v>3.99</v>
      </c>
      <c r="AA118" s="180">
        <f t="shared" si="78"/>
        <v>7182000</v>
      </c>
      <c r="AB118" s="180"/>
      <c r="AC118" s="180">
        <f t="shared" si="79"/>
        <v>0</v>
      </c>
      <c r="AD118" s="180">
        <f>AA118/24*AB118*75%</f>
        <v>0</v>
      </c>
      <c r="AE118" s="180">
        <f t="shared" si="80"/>
        <v>7182000</v>
      </c>
      <c r="AF118" s="178">
        <f t="shared" si="81"/>
        <v>574560</v>
      </c>
      <c r="AG118" s="178">
        <f t="shared" si="82"/>
        <v>107730</v>
      </c>
      <c r="AH118" s="178">
        <f t="shared" si="83"/>
        <v>71820</v>
      </c>
      <c r="AI118" s="178"/>
      <c r="AJ118" s="178">
        <f t="shared" si="84"/>
        <v>754110</v>
      </c>
      <c r="AK118" s="215"/>
      <c r="AL118" s="182">
        <f t="shared" si="97"/>
        <v>0</v>
      </c>
      <c r="AM118" s="182"/>
      <c r="AN118" s="182"/>
      <c r="AO118" s="216"/>
      <c r="AP118" s="179"/>
      <c r="AQ118" s="194">
        <f t="shared" si="85"/>
        <v>0</v>
      </c>
      <c r="AR118" s="178">
        <f t="shared" si="86"/>
        <v>0</v>
      </c>
      <c r="AS118" s="178"/>
      <c r="AT118" s="178">
        <f t="shared" si="87"/>
        <v>6427890</v>
      </c>
      <c r="AU118" s="469">
        <f t="shared" si="98"/>
        <v>100</v>
      </c>
      <c r="AV118" s="221"/>
      <c r="AW118" s="223" t="s">
        <v>705</v>
      </c>
      <c r="AX118" s="29"/>
      <c r="AY118" s="29">
        <f>3.66+0.35</f>
        <v>4.01</v>
      </c>
      <c r="AZ118" s="29">
        <f>3.33+0.35</f>
        <v>3.68</v>
      </c>
      <c r="BA118" s="29"/>
      <c r="BB118" s="29"/>
      <c r="BC118" s="29"/>
      <c r="BD118" s="29"/>
      <c r="BE118" s="29"/>
      <c r="BF118" s="29"/>
      <c r="BG118" s="29"/>
    </row>
    <row r="119" spans="1:59" s="189" customFormat="1" ht="38.25" x14ac:dyDescent="0.25">
      <c r="A119" s="900">
        <f t="shared" si="90"/>
        <v>101</v>
      </c>
      <c r="B119" s="168" t="str">
        <f>VLOOKUP(D119,[1]LuongBC_T01!$B$9:$C$292,2,FALSE)</f>
        <v>0016100006768002</v>
      </c>
      <c r="C119" s="30" t="s">
        <v>1320</v>
      </c>
      <c r="D119" s="169" t="s">
        <v>1280</v>
      </c>
      <c r="E119" s="263" t="s">
        <v>1103</v>
      </c>
      <c r="F119" s="169"/>
      <c r="G119" s="170"/>
      <c r="H119" s="169"/>
      <c r="I119" s="169"/>
      <c r="J119" s="169"/>
      <c r="K119" s="170" t="str">
        <f>VLOOKUP(D119,[2]T3!$B$2:$D$328,3,FALSE)</f>
        <v>197178714</v>
      </c>
      <c r="L119" s="197"/>
      <c r="M119" s="197"/>
      <c r="N119" s="835" t="str">
        <f>VLOOKUP(D119,'[5]Bao cao So GDDT'!$D$14:$S$282,11,FALSE)</f>
        <v>Chuyên viên</v>
      </c>
      <c r="O119" s="390" t="s">
        <v>39</v>
      </c>
      <c r="P119" s="170"/>
      <c r="Q119" s="170"/>
      <c r="R119" s="192">
        <v>3.33</v>
      </c>
      <c r="S119" s="176">
        <f t="shared" si="95"/>
        <v>0</v>
      </c>
      <c r="T119" s="178"/>
      <c r="U119" s="176">
        <f t="shared" si="75"/>
        <v>0</v>
      </c>
      <c r="V119" s="175">
        <f t="shared" si="99"/>
        <v>0</v>
      </c>
      <c r="W119" s="178"/>
      <c r="X119" s="179">
        <f>VLOOKUP(D119,PCTN!D149:W416,20,FALSE)</f>
        <v>0</v>
      </c>
      <c r="Y119" s="216">
        <f t="shared" si="76"/>
        <v>0</v>
      </c>
      <c r="Z119" s="216">
        <f t="shared" si="77"/>
        <v>3.33</v>
      </c>
      <c r="AA119" s="180">
        <f t="shared" si="78"/>
        <v>5994000</v>
      </c>
      <c r="AB119" s="180"/>
      <c r="AC119" s="180">
        <f t="shared" si="79"/>
        <v>0</v>
      </c>
      <c r="AD119" s="180">
        <v>0</v>
      </c>
      <c r="AE119" s="180">
        <f t="shared" si="80"/>
        <v>5994000</v>
      </c>
      <c r="AF119" s="178">
        <f t="shared" si="81"/>
        <v>479520</v>
      </c>
      <c r="AG119" s="178">
        <f t="shared" si="82"/>
        <v>89910</v>
      </c>
      <c r="AH119" s="178">
        <f t="shared" si="83"/>
        <v>59940</v>
      </c>
      <c r="AI119" s="178"/>
      <c r="AJ119" s="178">
        <f t="shared" si="84"/>
        <v>629370</v>
      </c>
      <c r="AK119" s="215"/>
      <c r="AL119" s="182">
        <f t="shared" si="97"/>
        <v>0</v>
      </c>
      <c r="AM119" s="182"/>
      <c r="AN119" s="182"/>
      <c r="AO119" s="216"/>
      <c r="AP119" s="179"/>
      <c r="AQ119" s="194">
        <f t="shared" si="85"/>
        <v>0</v>
      </c>
      <c r="AR119" s="178">
        <f t="shared" si="86"/>
        <v>0</v>
      </c>
      <c r="AS119" s="178"/>
      <c r="AT119" s="178">
        <f t="shared" si="87"/>
        <v>5364630</v>
      </c>
      <c r="AU119" s="469">
        <f t="shared" si="98"/>
        <v>101</v>
      </c>
      <c r="AV119" s="221"/>
      <c r="AW119" s="223"/>
      <c r="AX119" s="29"/>
      <c r="AY119" s="29">
        <f>AY118*1490000</f>
        <v>5974900</v>
      </c>
      <c r="AZ119" s="29">
        <f>AZ118*1490000</f>
        <v>5483200</v>
      </c>
      <c r="BA119" s="29"/>
      <c r="BB119" s="29"/>
      <c r="BC119" s="29"/>
      <c r="BD119" s="29"/>
      <c r="BE119" s="29"/>
      <c r="BF119" s="29"/>
      <c r="BG119" s="29"/>
    </row>
    <row r="120" spans="1:59" s="189" customFormat="1" ht="33.75" customHeight="1" x14ac:dyDescent="0.25">
      <c r="A120" s="900">
        <f t="shared" si="90"/>
        <v>102</v>
      </c>
      <c r="B120" s="168" t="str">
        <f>VLOOKUP(D120,[1]LuongBC_T01!$B$9:$C$292,2,FALSE)</f>
        <v>0016100006526009</v>
      </c>
      <c r="C120" s="865" t="s">
        <v>938</v>
      </c>
      <c r="D120" s="169" t="s">
        <v>656</v>
      </c>
      <c r="E120" s="263" t="s">
        <v>1103</v>
      </c>
      <c r="F120" s="169" t="s">
        <v>549</v>
      </c>
      <c r="G120" s="170" t="s">
        <v>25</v>
      </c>
      <c r="H120" s="169"/>
      <c r="I120" s="169" t="s">
        <v>284</v>
      </c>
      <c r="J120" s="169"/>
      <c r="K120" s="170" t="str">
        <f>VLOOKUP(D120,[2]T3!$B$2:$D$328,3,FALSE)</f>
        <v>024683155</v>
      </c>
      <c r="L120" s="213" t="s">
        <v>663</v>
      </c>
      <c r="M120" s="213" t="s">
        <v>938</v>
      </c>
      <c r="N120" s="835" t="str">
        <f>VLOOKUP(D120,'[5]Bao cao So GDDT'!$D$14:$S$282,11,FALSE)</f>
        <v>Chuyên viên</v>
      </c>
      <c r="O120" s="393" t="s">
        <v>39</v>
      </c>
      <c r="P120" s="170" t="s">
        <v>698</v>
      </c>
      <c r="Q120" s="170">
        <v>4</v>
      </c>
      <c r="R120" s="192">
        <v>3.33</v>
      </c>
      <c r="S120" s="176">
        <f t="shared" si="95"/>
        <v>0</v>
      </c>
      <c r="T120" s="178"/>
      <c r="U120" s="176">
        <f t="shared" ref="U120:U155" si="100">ROUND(R120*T120/100,4)</f>
        <v>0</v>
      </c>
      <c r="V120" s="175">
        <f t="shared" si="99"/>
        <v>0</v>
      </c>
      <c r="W120" s="178"/>
      <c r="X120" s="179">
        <f>VLOOKUP(D120,PCTN!D156:W423,20,FALSE)</f>
        <v>0</v>
      </c>
      <c r="Y120" s="216">
        <f t="shared" ref="Y120:Y155" si="101">ROUND((R120+U120+W120)*X120,4)</f>
        <v>0</v>
      </c>
      <c r="Z120" s="216">
        <f t="shared" ref="Z120:Z155" si="102">R120+U120+W120+Y120</f>
        <v>3.33</v>
      </c>
      <c r="AA120" s="180">
        <f t="shared" ref="AA120:AA155" si="103">ROUND(Z120*$D$8,0)</f>
        <v>5994000</v>
      </c>
      <c r="AB120" s="180"/>
      <c r="AC120" s="180">
        <f t="shared" ref="AC120:AC155" si="104">AA120/24*AB120</f>
        <v>0</v>
      </c>
      <c r="AD120" s="180">
        <v>0</v>
      </c>
      <c r="AE120" s="180">
        <f t="shared" ref="AE120:AE155" si="105">ROUND(AA120-AC120+AD120,0)</f>
        <v>5994000</v>
      </c>
      <c r="AF120" s="178">
        <f t="shared" ref="AF120:AF155" si="106">AA120*8%</f>
        <v>479520</v>
      </c>
      <c r="AG120" s="178">
        <f t="shared" ref="AG120:AG155" si="107">AA120*1.5%</f>
        <v>89910</v>
      </c>
      <c r="AH120" s="178">
        <f t="shared" ref="AH120:AH155" si="108">AA120*1%</f>
        <v>59940</v>
      </c>
      <c r="AI120" s="178"/>
      <c r="AJ120" s="178">
        <f t="shared" ref="AJ120:AJ155" si="109">SUM(AF120:AI120)</f>
        <v>629370</v>
      </c>
      <c r="AK120" s="215"/>
      <c r="AL120" s="182">
        <f t="shared" si="97"/>
        <v>0</v>
      </c>
      <c r="AM120" s="182"/>
      <c r="AN120" s="182"/>
      <c r="AO120" s="216"/>
      <c r="AP120" s="179"/>
      <c r="AQ120" s="194">
        <f t="shared" ref="AQ120:AQ155" si="110">ROUND(AO120*AP120,4)</f>
        <v>0</v>
      </c>
      <c r="AR120" s="178">
        <f t="shared" ref="AR120:AR155" si="111">ROUND(AQ120*$D$8,0)</f>
        <v>0</v>
      </c>
      <c r="AS120" s="178"/>
      <c r="AT120" s="178">
        <f t="shared" ref="AT120:AT155" si="112">ROUND(AE120-AJ120+AL120+AN120+AR120,0)</f>
        <v>5364630</v>
      </c>
      <c r="AU120" s="469">
        <f t="shared" si="98"/>
        <v>102</v>
      </c>
      <c r="AV120" s="221"/>
      <c r="AW120" s="52" t="s">
        <v>705</v>
      </c>
      <c r="AX120" s="29"/>
      <c r="AY120" s="29"/>
      <c r="AZ120" s="29"/>
      <c r="BA120" s="29"/>
      <c r="BB120" s="29"/>
      <c r="BC120" s="29"/>
      <c r="BD120" s="29"/>
      <c r="BE120" s="29"/>
      <c r="BF120" s="29"/>
      <c r="BG120" s="29"/>
    </row>
    <row r="121" spans="1:59" s="189" customFormat="1" ht="39" customHeight="1" x14ac:dyDescent="0.25">
      <c r="A121" s="900">
        <f t="shared" si="90"/>
        <v>103</v>
      </c>
      <c r="B121" s="168" t="str">
        <f>VLOOKUP(D121,[1]LuongBC_T01!$B$9:$C$292,2,FALSE)</f>
        <v>0016100006568003</v>
      </c>
      <c r="C121" s="725" t="s">
        <v>1317</v>
      </c>
      <c r="D121" s="169" t="s">
        <v>1124</v>
      </c>
      <c r="E121" s="263" t="s">
        <v>1103</v>
      </c>
      <c r="F121" s="169"/>
      <c r="G121" s="200"/>
      <c r="H121" s="200"/>
      <c r="I121" s="200"/>
      <c r="J121" s="200"/>
      <c r="K121" s="170" t="str">
        <f>VLOOKUP(D121,[2]T3!$B$2:$D$328,3,FALSE)</f>
        <v>023790449</v>
      </c>
      <c r="L121" s="201"/>
      <c r="M121" s="201"/>
      <c r="N121" s="263" t="str">
        <f>VLOOKUP(D121,'[5]Bao cao So GDDT'!$D$14:$S$282,11,FALSE)</f>
        <v>Chuyên viên</v>
      </c>
      <c r="O121" s="390" t="s">
        <v>39</v>
      </c>
      <c r="P121" s="222"/>
      <c r="Q121" s="172">
        <v>3</v>
      </c>
      <c r="R121" s="430">
        <v>3.66</v>
      </c>
      <c r="S121" s="176"/>
      <c r="T121" s="220"/>
      <c r="U121" s="176">
        <f t="shared" si="100"/>
        <v>0</v>
      </c>
      <c r="V121" s="175">
        <f t="shared" si="99"/>
        <v>0</v>
      </c>
      <c r="W121" s="170"/>
      <c r="X121" s="179">
        <f>VLOOKUP(D121,PCTN!D227:W494,20,FALSE)</f>
        <v>0</v>
      </c>
      <c r="Y121" s="216">
        <f t="shared" si="101"/>
        <v>0</v>
      </c>
      <c r="Z121" s="216">
        <f t="shared" si="102"/>
        <v>3.66</v>
      </c>
      <c r="AA121" s="180">
        <f t="shared" si="103"/>
        <v>6588000</v>
      </c>
      <c r="AB121" s="180"/>
      <c r="AC121" s="180">
        <f t="shared" si="104"/>
        <v>0</v>
      </c>
      <c r="AD121" s="180">
        <v>0</v>
      </c>
      <c r="AE121" s="180">
        <f t="shared" si="105"/>
        <v>6588000</v>
      </c>
      <c r="AF121" s="178">
        <f t="shared" si="106"/>
        <v>527040</v>
      </c>
      <c r="AG121" s="178">
        <f t="shared" si="107"/>
        <v>98820</v>
      </c>
      <c r="AH121" s="178">
        <f t="shared" si="108"/>
        <v>65880</v>
      </c>
      <c r="AI121" s="178"/>
      <c r="AJ121" s="178">
        <f t="shared" si="109"/>
        <v>691740</v>
      </c>
      <c r="AK121" s="192"/>
      <c r="AL121" s="182">
        <f t="shared" si="97"/>
        <v>0</v>
      </c>
      <c r="AM121" s="182"/>
      <c r="AN121" s="182"/>
      <c r="AO121" s="193">
        <f>R121+U121+W121</f>
        <v>3.66</v>
      </c>
      <c r="AP121" s="179"/>
      <c r="AQ121" s="194">
        <f t="shared" si="110"/>
        <v>0</v>
      </c>
      <c r="AR121" s="178">
        <f t="shared" si="111"/>
        <v>0</v>
      </c>
      <c r="AS121" s="178"/>
      <c r="AT121" s="178">
        <f t="shared" si="112"/>
        <v>5896260</v>
      </c>
      <c r="AU121" s="469">
        <f t="shared" si="98"/>
        <v>103</v>
      </c>
      <c r="AV121" s="195"/>
      <c r="AW121" s="657" t="s">
        <v>1125</v>
      </c>
    </row>
    <row r="122" spans="1:59" s="189" customFormat="1" ht="38.25" customHeight="1" x14ac:dyDescent="0.25">
      <c r="A122" s="900">
        <f t="shared" si="90"/>
        <v>104</v>
      </c>
      <c r="B122" s="168" t="str">
        <f>VLOOKUP(D122,[1]LuongBC_T01!$B$9:$C$292,2,FALSE)</f>
        <v>0016100006535008</v>
      </c>
      <c r="C122" s="199" t="s">
        <v>1023</v>
      </c>
      <c r="D122" s="230" t="s">
        <v>801</v>
      </c>
      <c r="E122" s="263" t="s">
        <v>1103</v>
      </c>
      <c r="F122" s="169"/>
      <c r="G122" s="170" t="s">
        <v>25</v>
      </c>
      <c r="H122" s="170"/>
      <c r="I122" s="170"/>
      <c r="J122" s="169"/>
      <c r="K122" s="170" t="str">
        <f>VLOOKUP(D122,[2]T3!$B$2:$D$328,3,FALSE)</f>
        <v>024985581</v>
      </c>
      <c r="L122" s="253"/>
      <c r="M122" s="253" t="s">
        <v>1023</v>
      </c>
      <c r="N122" s="263" t="str">
        <f>VLOOKUP(D122,'[5]Bao cao So GDDT'!$D$14:$S$282,11,FALSE)</f>
        <v>Cán sự</v>
      </c>
      <c r="O122" s="391" t="s">
        <v>43</v>
      </c>
      <c r="P122" s="222" t="s">
        <v>698</v>
      </c>
      <c r="Q122" s="172">
        <v>7</v>
      </c>
      <c r="R122" s="174">
        <v>3.96</v>
      </c>
      <c r="S122" s="176">
        <f t="shared" ref="S122:S129" si="113">U122+W122+Y122</f>
        <v>0</v>
      </c>
      <c r="T122" s="370"/>
      <c r="U122" s="176">
        <f t="shared" si="100"/>
        <v>0</v>
      </c>
      <c r="V122" s="175"/>
      <c r="W122" s="170"/>
      <c r="X122" s="179">
        <f>VLOOKUP(D122,PCTN!D150:W417,20,FALSE)</f>
        <v>0</v>
      </c>
      <c r="Y122" s="216">
        <f t="shared" si="101"/>
        <v>0</v>
      </c>
      <c r="Z122" s="216">
        <f t="shared" si="102"/>
        <v>3.96</v>
      </c>
      <c r="AA122" s="180">
        <f t="shared" si="103"/>
        <v>7128000</v>
      </c>
      <c r="AB122" s="180"/>
      <c r="AC122" s="180">
        <f t="shared" si="104"/>
        <v>0</v>
      </c>
      <c r="AD122" s="180">
        <f>AA122/24*AB122*75%</f>
        <v>0</v>
      </c>
      <c r="AE122" s="180">
        <f t="shared" si="105"/>
        <v>7128000</v>
      </c>
      <c r="AF122" s="178">
        <f t="shared" si="106"/>
        <v>570240</v>
      </c>
      <c r="AG122" s="178">
        <f t="shared" si="107"/>
        <v>106920</v>
      </c>
      <c r="AH122" s="178">
        <f t="shared" si="108"/>
        <v>71280</v>
      </c>
      <c r="AI122" s="178"/>
      <c r="AJ122" s="178">
        <f t="shared" si="109"/>
        <v>748440</v>
      </c>
      <c r="AK122" s="192"/>
      <c r="AL122" s="182">
        <f t="shared" si="97"/>
        <v>0</v>
      </c>
      <c r="AM122" s="182"/>
      <c r="AN122" s="182"/>
      <c r="AO122" s="193">
        <f>R122+U122+W122</f>
        <v>3.96</v>
      </c>
      <c r="AP122" s="246"/>
      <c r="AQ122" s="194">
        <f t="shared" si="110"/>
        <v>0</v>
      </c>
      <c r="AR122" s="178">
        <f t="shared" si="111"/>
        <v>0</v>
      </c>
      <c r="AS122" s="178"/>
      <c r="AT122" s="178">
        <f t="shared" si="112"/>
        <v>6379560</v>
      </c>
      <c r="AU122" s="469">
        <f t="shared" si="98"/>
        <v>104</v>
      </c>
      <c r="AV122" s="244"/>
      <c r="AW122" s="658" t="s">
        <v>1129</v>
      </c>
      <c r="AY122" s="189">
        <f>AY119*10.5%</f>
        <v>627364.5</v>
      </c>
      <c r="AZ122" s="189">
        <f>AZ119*10.5%</f>
        <v>575736</v>
      </c>
    </row>
    <row r="123" spans="1:59" s="191" customFormat="1" ht="38.25" x14ac:dyDescent="0.25">
      <c r="A123" s="900">
        <f t="shared" si="90"/>
        <v>105</v>
      </c>
      <c r="B123" s="168" t="str">
        <f>VLOOKUP(D123,[1]LuongBC_T01!$B$9:$C$292,2,FALSE)</f>
        <v>0016100006711008</v>
      </c>
      <c r="C123" s="199" t="s">
        <v>967</v>
      </c>
      <c r="D123" s="169" t="s">
        <v>60</v>
      </c>
      <c r="E123" s="263" t="s">
        <v>1435</v>
      </c>
      <c r="F123" s="220" t="s">
        <v>549</v>
      </c>
      <c r="G123" s="200" t="s">
        <v>25</v>
      </c>
      <c r="H123" s="200" t="s">
        <v>283</v>
      </c>
      <c r="I123" s="200" t="s">
        <v>283</v>
      </c>
      <c r="J123" s="220" t="s">
        <v>242</v>
      </c>
      <c r="K123" s="170" t="str">
        <f>VLOOKUP(D123,[2]T3!$B$2:$D$328,3,FALSE)</f>
        <v>023444718</v>
      </c>
      <c r="L123" s="241" t="s">
        <v>163</v>
      </c>
      <c r="M123" s="241" t="s">
        <v>967</v>
      </c>
      <c r="N123" s="263" t="str">
        <f>VLOOKUP(D123,'[5]Bao cao So GDDT'!$D$14:$S$282,11,FALSE)</f>
        <v>Chuyên viên</v>
      </c>
      <c r="O123" s="390" t="s">
        <v>39</v>
      </c>
      <c r="P123" s="172" t="s">
        <v>692</v>
      </c>
      <c r="Q123" s="173">
        <v>4</v>
      </c>
      <c r="R123" s="174">
        <v>4.32</v>
      </c>
      <c r="S123" s="176">
        <f t="shared" si="113"/>
        <v>0</v>
      </c>
      <c r="T123" s="377"/>
      <c r="U123" s="176">
        <f t="shared" si="100"/>
        <v>0</v>
      </c>
      <c r="V123" s="175">
        <f t="shared" ref="V123:V129" si="114">R123*T123*$D$8/100</f>
        <v>0</v>
      </c>
      <c r="W123" s="200"/>
      <c r="X123" s="179">
        <f>VLOOKUP(D123,PCTN!D184:W451,20,FALSE)</f>
        <v>0</v>
      </c>
      <c r="Y123" s="216">
        <f t="shared" si="101"/>
        <v>0</v>
      </c>
      <c r="Z123" s="216">
        <f t="shared" si="102"/>
        <v>4.32</v>
      </c>
      <c r="AA123" s="180">
        <f t="shared" si="103"/>
        <v>7776000</v>
      </c>
      <c r="AB123" s="180"/>
      <c r="AC123" s="180">
        <f t="shared" si="104"/>
        <v>0</v>
      </c>
      <c r="AD123" s="180">
        <f>AA123/24*AB123*75%</f>
        <v>0</v>
      </c>
      <c r="AE123" s="180">
        <f t="shared" si="105"/>
        <v>7776000</v>
      </c>
      <c r="AF123" s="178">
        <f t="shared" si="106"/>
        <v>622080</v>
      </c>
      <c r="AG123" s="178">
        <f t="shared" si="107"/>
        <v>116640</v>
      </c>
      <c r="AH123" s="178">
        <f t="shared" si="108"/>
        <v>77760</v>
      </c>
      <c r="AI123" s="178"/>
      <c r="AJ123" s="178">
        <f t="shared" si="109"/>
        <v>816480</v>
      </c>
      <c r="AK123" s="181"/>
      <c r="AL123" s="182">
        <f t="shared" si="97"/>
        <v>0</v>
      </c>
      <c r="AM123" s="182"/>
      <c r="AN123" s="182"/>
      <c r="AO123" s="193">
        <f>R123+U123+W123</f>
        <v>4.32</v>
      </c>
      <c r="AP123" s="179">
        <v>0</v>
      </c>
      <c r="AQ123" s="194">
        <f t="shared" si="110"/>
        <v>0</v>
      </c>
      <c r="AR123" s="178">
        <f t="shared" si="111"/>
        <v>0</v>
      </c>
      <c r="AS123" s="178"/>
      <c r="AT123" s="178">
        <f t="shared" si="112"/>
        <v>6959520</v>
      </c>
      <c r="AU123" s="469">
        <f t="shared" ref="AU123:AU155" si="115">A123</f>
        <v>105</v>
      </c>
      <c r="AV123" s="195"/>
      <c r="AW123" s="187"/>
    </row>
    <row r="124" spans="1:59" s="189" customFormat="1" ht="48" customHeight="1" x14ac:dyDescent="0.25">
      <c r="A124" s="900">
        <f t="shared" si="90"/>
        <v>106</v>
      </c>
      <c r="B124" s="168" t="str">
        <f>VLOOKUP(D124,[1]LuongBC_T01!$B$9:$C$292,2,FALSE)</f>
        <v>0016100006654007</v>
      </c>
      <c r="C124" s="865" t="s">
        <v>1021</v>
      </c>
      <c r="D124" s="230" t="s">
        <v>804</v>
      </c>
      <c r="E124" s="263" t="s">
        <v>1103</v>
      </c>
      <c r="F124" s="169"/>
      <c r="G124" s="170" t="s">
        <v>25</v>
      </c>
      <c r="H124" s="170"/>
      <c r="I124" s="170"/>
      <c r="J124" s="169"/>
      <c r="K124" s="170" t="str">
        <f>VLOOKUP(D124,[2]T3!$B$2:$D$328,3,FALSE)</f>
        <v>020155632</v>
      </c>
      <c r="L124" s="253"/>
      <c r="M124" s="253" t="s">
        <v>1021</v>
      </c>
      <c r="N124" s="835" t="str">
        <f>VLOOKUP(D124,'[5]Bao cao So GDDT'!$D$14:$S$282,11,FALSE)</f>
        <v>Chuyên viên</v>
      </c>
      <c r="O124" s="391" t="s">
        <v>39</v>
      </c>
      <c r="P124" s="222" t="s">
        <v>692</v>
      </c>
      <c r="Q124" s="172">
        <v>5</v>
      </c>
      <c r="R124" s="174">
        <v>4.32</v>
      </c>
      <c r="S124" s="176">
        <f t="shared" si="113"/>
        <v>0</v>
      </c>
      <c r="T124" s="370"/>
      <c r="U124" s="176">
        <f t="shared" si="100"/>
        <v>0</v>
      </c>
      <c r="V124" s="175">
        <f t="shared" si="114"/>
        <v>0</v>
      </c>
      <c r="W124" s="170"/>
      <c r="X124" s="179">
        <f>VLOOKUP(D124,PCTN!D133:W400,20,FALSE)</f>
        <v>0</v>
      </c>
      <c r="Y124" s="216">
        <f t="shared" si="101"/>
        <v>0</v>
      </c>
      <c r="Z124" s="216">
        <f t="shared" si="102"/>
        <v>4.32</v>
      </c>
      <c r="AA124" s="180">
        <f t="shared" si="103"/>
        <v>7776000</v>
      </c>
      <c r="AB124" s="180"/>
      <c r="AC124" s="180">
        <f t="shared" si="104"/>
        <v>0</v>
      </c>
      <c r="AD124" s="180">
        <v>0</v>
      </c>
      <c r="AE124" s="180">
        <f t="shared" si="105"/>
        <v>7776000</v>
      </c>
      <c r="AF124" s="178">
        <f t="shared" si="106"/>
        <v>622080</v>
      </c>
      <c r="AG124" s="178">
        <f t="shared" si="107"/>
        <v>116640</v>
      </c>
      <c r="AH124" s="178">
        <f t="shared" si="108"/>
        <v>77760</v>
      </c>
      <c r="AI124" s="178"/>
      <c r="AJ124" s="178">
        <f t="shared" si="109"/>
        <v>816480</v>
      </c>
      <c r="AK124" s="192"/>
      <c r="AL124" s="182">
        <f t="shared" si="97"/>
        <v>0</v>
      </c>
      <c r="AM124" s="182"/>
      <c r="AN124" s="182"/>
      <c r="AO124" s="193">
        <f>R124+U124+W124</f>
        <v>4.32</v>
      </c>
      <c r="AP124" s="246"/>
      <c r="AQ124" s="194">
        <f t="shared" si="110"/>
        <v>0</v>
      </c>
      <c r="AR124" s="178">
        <f t="shared" si="111"/>
        <v>0</v>
      </c>
      <c r="AS124" s="178"/>
      <c r="AT124" s="178">
        <f t="shared" si="112"/>
        <v>6959520</v>
      </c>
      <c r="AU124" s="469">
        <f t="shared" si="115"/>
        <v>106</v>
      </c>
      <c r="AV124" s="195"/>
      <c r="AW124" s="824" t="s">
        <v>1130</v>
      </c>
      <c r="AX124" s="29"/>
      <c r="AY124" s="29"/>
      <c r="AZ124" s="29"/>
      <c r="BA124" s="29"/>
      <c r="BB124" s="29"/>
      <c r="BC124" s="29"/>
      <c r="BD124" s="29"/>
      <c r="BE124" s="29"/>
      <c r="BF124" s="29"/>
      <c r="BG124" s="29"/>
    </row>
    <row r="125" spans="1:59" s="189" customFormat="1" ht="42" customHeight="1" x14ac:dyDescent="0.25">
      <c r="A125" s="900">
        <f t="shared" si="90"/>
        <v>107</v>
      </c>
      <c r="B125" s="168" t="str">
        <f>VLOOKUP(D125,[1]LuongBC_T01!$B$9:$C$292,2,FALSE)</f>
        <v>0016100006714007</v>
      </c>
      <c r="C125" s="199" t="s">
        <v>1001</v>
      </c>
      <c r="D125" s="169" t="s">
        <v>567</v>
      </c>
      <c r="E125" s="263" t="s">
        <v>1435</v>
      </c>
      <c r="F125" s="169" t="s">
        <v>549</v>
      </c>
      <c r="G125" s="200" t="s">
        <v>25</v>
      </c>
      <c r="H125" s="200" t="s">
        <v>284</v>
      </c>
      <c r="I125" s="200" t="s">
        <v>283</v>
      </c>
      <c r="J125" s="200" t="s">
        <v>576</v>
      </c>
      <c r="K125" s="170" t="str">
        <f>VLOOKUP(D125,[2]T3!$B$2:$D$328,3,FALSE)</f>
        <v>250443735</v>
      </c>
      <c r="L125" s="201" t="s">
        <v>598</v>
      </c>
      <c r="M125" s="201" t="s">
        <v>1001</v>
      </c>
      <c r="N125" s="263" t="str">
        <f>VLOOKUP(D125,'[5]Bao cao So GDDT'!$D$14:$S$282,11,FALSE)</f>
        <v>Chuyên viên</v>
      </c>
      <c r="O125" s="390" t="s">
        <v>39</v>
      </c>
      <c r="P125" s="170" t="s">
        <v>692</v>
      </c>
      <c r="Q125" s="170">
        <v>3</v>
      </c>
      <c r="R125" s="177">
        <v>3.66</v>
      </c>
      <c r="S125" s="176">
        <f t="shared" si="113"/>
        <v>0</v>
      </c>
      <c r="T125" s="220"/>
      <c r="U125" s="176">
        <f t="shared" si="100"/>
        <v>0</v>
      </c>
      <c r="V125" s="175">
        <f t="shared" si="114"/>
        <v>0</v>
      </c>
      <c r="W125" s="170"/>
      <c r="X125" s="179">
        <f>VLOOKUP(D125,PCTN!D226:W493,20,FALSE)</f>
        <v>0</v>
      </c>
      <c r="Y125" s="216">
        <f t="shared" si="101"/>
        <v>0</v>
      </c>
      <c r="Z125" s="216">
        <f t="shared" si="102"/>
        <v>3.66</v>
      </c>
      <c r="AA125" s="180">
        <f t="shared" si="103"/>
        <v>6588000</v>
      </c>
      <c r="AB125" s="180"/>
      <c r="AC125" s="180">
        <f t="shared" si="104"/>
        <v>0</v>
      </c>
      <c r="AD125" s="180">
        <v>0</v>
      </c>
      <c r="AE125" s="180">
        <f t="shared" si="105"/>
        <v>6588000</v>
      </c>
      <c r="AF125" s="178">
        <f t="shared" si="106"/>
        <v>527040</v>
      </c>
      <c r="AG125" s="178">
        <f t="shared" si="107"/>
        <v>98820</v>
      </c>
      <c r="AH125" s="178">
        <f t="shared" si="108"/>
        <v>65880</v>
      </c>
      <c r="AI125" s="178"/>
      <c r="AJ125" s="178">
        <f t="shared" si="109"/>
        <v>691740</v>
      </c>
      <c r="AK125" s="192"/>
      <c r="AL125" s="182">
        <f t="shared" si="97"/>
        <v>0</v>
      </c>
      <c r="AM125" s="182"/>
      <c r="AN125" s="182"/>
      <c r="AO125" s="193">
        <f>R125+U125+W125</f>
        <v>3.66</v>
      </c>
      <c r="AP125" s="179"/>
      <c r="AQ125" s="194">
        <f t="shared" si="110"/>
        <v>0</v>
      </c>
      <c r="AR125" s="178">
        <f t="shared" si="111"/>
        <v>0</v>
      </c>
      <c r="AS125" s="178"/>
      <c r="AT125" s="178">
        <f t="shared" si="112"/>
        <v>5896260</v>
      </c>
      <c r="AU125" s="469">
        <f t="shared" si="115"/>
        <v>107</v>
      </c>
      <c r="AV125" s="195"/>
      <c r="AW125" s="198" t="s">
        <v>728</v>
      </c>
      <c r="AX125" s="29"/>
      <c r="AY125" s="29"/>
      <c r="AZ125" s="29"/>
      <c r="BA125" s="29"/>
      <c r="BB125" s="29"/>
      <c r="BC125" s="29"/>
      <c r="BD125" s="29"/>
      <c r="BE125" s="29"/>
      <c r="BF125" s="29"/>
      <c r="BG125" s="29"/>
    </row>
    <row r="126" spans="1:59" s="189" customFormat="1" ht="42" customHeight="1" x14ac:dyDescent="0.25">
      <c r="A126" s="1028">
        <f t="shared" si="90"/>
        <v>108</v>
      </c>
      <c r="B126" s="673" t="str">
        <f>VLOOKUP(D126,[1]LuongBC_T01!$B$9:$C$292,2,FALSE)</f>
        <v>0016100006719001</v>
      </c>
      <c r="C126" s="1029" t="s">
        <v>1036</v>
      </c>
      <c r="D126" s="372" t="s">
        <v>649</v>
      </c>
      <c r="E126" s="674" t="s">
        <v>1431</v>
      </c>
      <c r="F126" s="372" t="s">
        <v>549</v>
      </c>
      <c r="G126" s="373" t="s">
        <v>25</v>
      </c>
      <c r="H126" s="372"/>
      <c r="I126" s="372" t="s">
        <v>284</v>
      </c>
      <c r="J126" s="372"/>
      <c r="K126" s="373" t="str">
        <f>VLOOKUP(D126,[2]T3!$B$2:$D$328,3,FALSE)</f>
        <v>025240565</v>
      </c>
      <c r="L126" s="1030">
        <v>1603205189653</v>
      </c>
      <c r="M126" s="1030" t="s">
        <v>1036</v>
      </c>
      <c r="N126" s="674" t="str">
        <f>VLOOKUP(D126,'[5]Bao cao So GDDT'!$D$14:$S$282,11,FALSE)</f>
        <v>Chuyên viên</v>
      </c>
      <c r="O126" s="1031" t="s">
        <v>39</v>
      </c>
      <c r="P126" s="373" t="s">
        <v>692</v>
      </c>
      <c r="Q126" s="373">
        <v>4</v>
      </c>
      <c r="R126" s="679">
        <v>3.99</v>
      </c>
      <c r="S126" s="675">
        <f t="shared" si="113"/>
        <v>0</v>
      </c>
      <c r="T126" s="375"/>
      <c r="U126" s="675">
        <f t="shared" si="100"/>
        <v>0</v>
      </c>
      <c r="V126" s="374">
        <f t="shared" si="114"/>
        <v>0</v>
      </c>
      <c r="W126" s="375"/>
      <c r="X126" s="676">
        <f>VLOOKUP(D126,PCTN!D134:W401,20,FALSE)</f>
        <v>0</v>
      </c>
      <c r="Y126" s="677">
        <f t="shared" si="101"/>
        <v>0</v>
      </c>
      <c r="Z126" s="677">
        <f t="shared" si="102"/>
        <v>3.99</v>
      </c>
      <c r="AA126" s="678">
        <f t="shared" si="103"/>
        <v>7182000</v>
      </c>
      <c r="AB126" s="678">
        <v>3</v>
      </c>
      <c r="AC126" s="678">
        <f t="shared" si="104"/>
        <v>897750</v>
      </c>
      <c r="AD126" s="678">
        <v>0</v>
      </c>
      <c r="AE126" s="678">
        <f t="shared" si="105"/>
        <v>6284250</v>
      </c>
      <c r="AF126" s="375">
        <f t="shared" si="106"/>
        <v>574560</v>
      </c>
      <c r="AG126" s="375">
        <f t="shared" si="107"/>
        <v>107730</v>
      </c>
      <c r="AH126" s="375">
        <f t="shared" si="108"/>
        <v>71820</v>
      </c>
      <c r="AI126" s="375"/>
      <c r="AJ126" s="375">
        <f t="shared" si="109"/>
        <v>754110</v>
      </c>
      <c r="AK126" s="1032"/>
      <c r="AL126" s="680">
        <f t="shared" si="97"/>
        <v>0</v>
      </c>
      <c r="AM126" s="680"/>
      <c r="AN126" s="680"/>
      <c r="AO126" s="1001"/>
      <c r="AP126" s="676"/>
      <c r="AQ126" s="1002">
        <f t="shared" si="110"/>
        <v>0</v>
      </c>
      <c r="AR126" s="375">
        <f t="shared" si="111"/>
        <v>0</v>
      </c>
      <c r="AS126" s="375"/>
      <c r="AT126" s="375">
        <f t="shared" si="112"/>
        <v>5530140</v>
      </c>
      <c r="AU126" s="682">
        <f t="shared" si="115"/>
        <v>108</v>
      </c>
      <c r="AV126" s="1033"/>
      <c r="AW126" s="245" t="s">
        <v>706</v>
      </c>
      <c r="AX126" s="29"/>
      <c r="AY126" s="29"/>
      <c r="AZ126" s="29"/>
      <c r="BA126" s="29"/>
      <c r="BB126" s="29"/>
      <c r="BC126" s="29"/>
      <c r="BD126" s="29"/>
      <c r="BE126" s="29"/>
      <c r="BF126" s="29"/>
      <c r="BG126" s="29"/>
    </row>
    <row r="127" spans="1:59" s="189" customFormat="1" ht="41.25" customHeight="1" x14ac:dyDescent="0.25">
      <c r="A127" s="900">
        <f t="shared" si="90"/>
        <v>109</v>
      </c>
      <c r="B127" s="168" t="str">
        <f>VLOOKUP(D127,[1]LuongBC_T01!$B$9:$C$292,2,FALSE)</f>
        <v>0016100006498005</v>
      </c>
      <c r="C127" s="371" t="s">
        <v>1049</v>
      </c>
      <c r="D127" s="230" t="s">
        <v>1214</v>
      </c>
      <c r="E127" s="263" t="s">
        <v>1431</v>
      </c>
      <c r="F127" s="231"/>
      <c r="G127" s="251" t="s">
        <v>25</v>
      </c>
      <c r="H127" s="231"/>
      <c r="I127" s="231"/>
      <c r="J127" s="231"/>
      <c r="K127" s="170" t="str">
        <f>VLOOKUP(D127,[2]T3!$B$2:$D$328,3,FALSE)</f>
        <v>036186004635</v>
      </c>
      <c r="L127" s="226"/>
      <c r="M127" s="226" t="s">
        <v>1049</v>
      </c>
      <c r="N127" s="263" t="str">
        <f>VLOOKUP(D127,'[5]Bao cao So GDDT'!$D$14:$S$282,11,FALSE)</f>
        <v>Kế toán viên</v>
      </c>
      <c r="O127" s="393" t="s">
        <v>38</v>
      </c>
      <c r="P127" s="170" t="s">
        <v>692</v>
      </c>
      <c r="Q127" s="170">
        <v>3</v>
      </c>
      <c r="R127" s="177">
        <v>3.66</v>
      </c>
      <c r="S127" s="176">
        <f t="shared" si="113"/>
        <v>0</v>
      </c>
      <c r="T127" s="169"/>
      <c r="U127" s="176">
        <f t="shared" si="100"/>
        <v>0</v>
      </c>
      <c r="V127" s="175">
        <f t="shared" si="114"/>
        <v>0</v>
      </c>
      <c r="W127" s="170"/>
      <c r="X127" s="179">
        <f>VLOOKUP(D127,PCTN!D160:W427,20,FALSE)</f>
        <v>0</v>
      </c>
      <c r="Y127" s="216">
        <f t="shared" si="101"/>
        <v>0</v>
      </c>
      <c r="Z127" s="216">
        <f t="shared" si="102"/>
        <v>3.66</v>
      </c>
      <c r="AA127" s="180">
        <f t="shared" si="103"/>
        <v>6588000</v>
      </c>
      <c r="AB127" s="180"/>
      <c r="AC127" s="180">
        <f t="shared" si="104"/>
        <v>0</v>
      </c>
      <c r="AD127" s="180">
        <f t="shared" ref="AD127:AD136" si="116">AA127/24*AB127*75%</f>
        <v>0</v>
      </c>
      <c r="AE127" s="180">
        <f t="shared" si="105"/>
        <v>6588000</v>
      </c>
      <c r="AF127" s="178">
        <f t="shared" si="106"/>
        <v>527040</v>
      </c>
      <c r="AG127" s="178">
        <f t="shared" si="107"/>
        <v>98820</v>
      </c>
      <c r="AH127" s="178">
        <f t="shared" si="108"/>
        <v>65880</v>
      </c>
      <c r="AI127" s="178"/>
      <c r="AJ127" s="178">
        <f t="shared" si="109"/>
        <v>691740</v>
      </c>
      <c r="AK127" s="192"/>
      <c r="AL127" s="182">
        <f t="shared" si="97"/>
        <v>0</v>
      </c>
      <c r="AM127" s="182"/>
      <c r="AN127" s="182"/>
      <c r="AO127" s="183"/>
      <c r="AP127" s="179"/>
      <c r="AQ127" s="194">
        <f t="shared" si="110"/>
        <v>0</v>
      </c>
      <c r="AR127" s="178">
        <f t="shared" si="111"/>
        <v>0</v>
      </c>
      <c r="AS127" s="178"/>
      <c r="AT127" s="178">
        <f t="shared" si="112"/>
        <v>5896260</v>
      </c>
      <c r="AU127" s="469">
        <f t="shared" si="115"/>
        <v>109</v>
      </c>
      <c r="AV127" s="244"/>
      <c r="AW127" s="255" t="e">
        <f>AW97*3</f>
        <v>#VALUE!</v>
      </c>
      <c r="AY127" s="189">
        <f>3.33*1490000*1.8*3</f>
        <v>26793180</v>
      </c>
    </row>
    <row r="128" spans="1:59" s="189" customFormat="1" ht="35.25" customHeight="1" x14ac:dyDescent="0.25">
      <c r="A128" s="900">
        <f t="shared" si="90"/>
        <v>110</v>
      </c>
      <c r="B128" s="168" t="str">
        <f>VLOOKUP(D128,[1]LuongBC_T01!$B$9:$C$292,2,FALSE)</f>
        <v>0016100006682008</v>
      </c>
      <c r="C128" s="513" t="s">
        <v>912</v>
      </c>
      <c r="D128" s="525" t="s">
        <v>1200</v>
      </c>
      <c r="E128" s="522" t="s">
        <v>1575</v>
      </c>
      <c r="F128" s="525" t="s">
        <v>549</v>
      </c>
      <c r="G128" s="526" t="s">
        <v>25</v>
      </c>
      <c r="H128" s="526"/>
      <c r="I128" s="526" t="s">
        <v>284</v>
      </c>
      <c r="J128" s="525" t="s">
        <v>276</v>
      </c>
      <c r="K128" s="485" t="s">
        <v>1348</v>
      </c>
      <c r="L128" s="611" t="s">
        <v>129</v>
      </c>
      <c r="M128" s="611" t="s">
        <v>912</v>
      </c>
      <c r="N128" s="263" t="str">
        <f>VLOOKUP(D128,'[5]Bao cao So GDDT'!$D$14:$S$282,11,FALSE)</f>
        <v>Kế toán viên</v>
      </c>
      <c r="O128" s="612" t="s">
        <v>38</v>
      </c>
      <c r="P128" s="614" t="s">
        <v>692</v>
      </c>
      <c r="Q128" s="614">
        <v>5</v>
      </c>
      <c r="R128" s="615">
        <v>4.32</v>
      </c>
      <c r="S128" s="463">
        <f>U128+W128+Y128</f>
        <v>0.35</v>
      </c>
      <c r="T128" s="616"/>
      <c r="U128" s="463">
        <f>ROUND(R128*T128/100,4)</f>
        <v>0</v>
      </c>
      <c r="V128" s="530">
        <f>R128*T128*$D$8/100</f>
        <v>0</v>
      </c>
      <c r="W128" s="526">
        <v>0.35</v>
      </c>
      <c r="X128" s="179">
        <f>VLOOKUP(D128,PCTN!D106:W373,20,FALSE)</f>
        <v>0</v>
      </c>
      <c r="Y128" s="532">
        <f>ROUND((R128+U128+W128)*X128,4)</f>
        <v>0</v>
      </c>
      <c r="Z128" s="532">
        <f>R128+U128+W128+Y128</f>
        <v>4.67</v>
      </c>
      <c r="AA128" s="533">
        <f>ROUND(Z128*$D$8,0)</f>
        <v>8406000</v>
      </c>
      <c r="AB128" s="533"/>
      <c r="AC128" s="533">
        <f>AA128/24*AB128</f>
        <v>0</v>
      </c>
      <c r="AD128" s="533">
        <f>AA128/24*AB128*75%</f>
        <v>0</v>
      </c>
      <c r="AE128" s="533">
        <f>ROUND(AA128-AC128+AD128,0)</f>
        <v>8406000</v>
      </c>
      <c r="AF128" s="534">
        <f>AA128*8%</f>
        <v>672480</v>
      </c>
      <c r="AG128" s="534">
        <f>AA128*1.5%</f>
        <v>126090</v>
      </c>
      <c r="AH128" s="534">
        <f>AA128*1%</f>
        <v>84060</v>
      </c>
      <c r="AI128" s="534"/>
      <c r="AJ128" s="534">
        <f>SUM(AF128:AI128)</f>
        <v>882630</v>
      </c>
      <c r="AK128" s="535"/>
      <c r="AL128" s="536">
        <f>AK128*$D$8</f>
        <v>0</v>
      </c>
      <c r="AM128" s="536"/>
      <c r="AN128" s="536"/>
      <c r="AO128" s="617">
        <f>R128+U128+W128</f>
        <v>4.67</v>
      </c>
      <c r="AP128" s="531"/>
      <c r="AQ128" s="538">
        <f>ROUND(AO128*AP128,4)</f>
        <v>0</v>
      </c>
      <c r="AR128" s="534">
        <f>ROUND(AQ128*$D$8,0)</f>
        <v>0</v>
      </c>
      <c r="AS128" s="534"/>
      <c r="AT128" s="534">
        <f>ROUND(AE128-AJ128+AL128+AN128+AR128,0)</f>
        <v>7523370</v>
      </c>
      <c r="AU128" s="539">
        <f>A128</f>
        <v>110</v>
      </c>
      <c r="AV128" s="540"/>
      <c r="AW128" s="187"/>
      <c r="AX128" s="29"/>
      <c r="AY128" s="29"/>
      <c r="AZ128" s="29"/>
      <c r="BA128" s="29"/>
      <c r="BB128" s="29"/>
      <c r="BC128" s="29"/>
      <c r="BD128" s="29"/>
      <c r="BE128" s="29"/>
      <c r="BF128" s="29"/>
      <c r="BG128" s="29"/>
    </row>
    <row r="129" spans="1:59" s="189" customFormat="1" ht="31.5" customHeight="1" x14ac:dyDescent="0.25">
      <c r="A129" s="900">
        <f t="shared" si="90"/>
        <v>111</v>
      </c>
      <c r="B129" s="168" t="str">
        <f>VLOOKUP(D129,[1]LuongBC_T01!$B$9:$C$292,2,FALSE)</f>
        <v>0016100006792008</v>
      </c>
      <c r="C129" s="371" t="s">
        <v>1040</v>
      </c>
      <c r="D129" s="230" t="s">
        <v>780</v>
      </c>
      <c r="E129" s="263" t="s">
        <v>1470</v>
      </c>
      <c r="F129" s="231"/>
      <c r="G129" s="231"/>
      <c r="H129" s="231"/>
      <c r="I129" s="169" t="s">
        <v>284</v>
      </c>
      <c r="J129" s="231"/>
      <c r="K129" s="170" t="str">
        <f>VLOOKUP(D129,[2]T3!$B$2:$D$328,3,FALSE)</f>
        <v>079089006525</v>
      </c>
      <c r="L129" s="226">
        <v>1603205286752</v>
      </c>
      <c r="M129" s="226" t="s">
        <v>1040</v>
      </c>
      <c r="N129" s="263" t="str">
        <f>VLOOKUP(D129,'[5]Bao cao So GDDT'!$D$14:$S$282,11,FALSE)</f>
        <v>Kỹ sư (hạng III)</v>
      </c>
      <c r="O129" s="393" t="s">
        <v>1116</v>
      </c>
      <c r="P129" s="170" t="s">
        <v>692</v>
      </c>
      <c r="Q129" s="170">
        <v>3</v>
      </c>
      <c r="R129" s="192">
        <v>3.66</v>
      </c>
      <c r="S129" s="176">
        <f t="shared" si="113"/>
        <v>0</v>
      </c>
      <c r="T129" s="178"/>
      <c r="U129" s="176">
        <f t="shared" si="100"/>
        <v>0</v>
      </c>
      <c r="V129" s="175">
        <f t="shared" si="114"/>
        <v>0</v>
      </c>
      <c r="W129" s="178"/>
      <c r="X129" s="179">
        <f>VLOOKUP(D129,PCTN!D138:W405,20,FALSE)</f>
        <v>0</v>
      </c>
      <c r="Y129" s="216">
        <f t="shared" si="101"/>
        <v>0</v>
      </c>
      <c r="Z129" s="216">
        <f t="shared" si="102"/>
        <v>3.66</v>
      </c>
      <c r="AA129" s="180">
        <f t="shared" si="103"/>
        <v>6588000</v>
      </c>
      <c r="AB129" s="180"/>
      <c r="AC129" s="180">
        <f t="shared" si="104"/>
        <v>0</v>
      </c>
      <c r="AD129" s="180">
        <f t="shared" si="116"/>
        <v>0</v>
      </c>
      <c r="AE129" s="180">
        <f t="shared" si="105"/>
        <v>6588000</v>
      </c>
      <c r="AF129" s="178">
        <f t="shared" si="106"/>
        <v>527040</v>
      </c>
      <c r="AG129" s="178">
        <f t="shared" si="107"/>
        <v>98820</v>
      </c>
      <c r="AH129" s="178">
        <f t="shared" si="108"/>
        <v>65880</v>
      </c>
      <c r="AI129" s="178"/>
      <c r="AJ129" s="178">
        <f t="shared" si="109"/>
        <v>691740</v>
      </c>
      <c r="AK129" s="215"/>
      <c r="AL129" s="182">
        <f t="shared" si="97"/>
        <v>0</v>
      </c>
      <c r="AM129" s="182"/>
      <c r="AN129" s="182"/>
      <c r="AO129" s="216"/>
      <c r="AP129" s="179"/>
      <c r="AQ129" s="194">
        <f t="shared" si="110"/>
        <v>0</v>
      </c>
      <c r="AR129" s="178">
        <f t="shared" si="111"/>
        <v>0</v>
      </c>
      <c r="AS129" s="178"/>
      <c r="AT129" s="178">
        <f t="shared" si="112"/>
        <v>5896260</v>
      </c>
      <c r="AU129" s="469">
        <f t="shared" si="115"/>
        <v>111</v>
      </c>
      <c r="AV129" s="195"/>
      <c r="AW129" s="242"/>
    </row>
    <row r="130" spans="1:59" s="189" customFormat="1" ht="38.25" customHeight="1" x14ac:dyDescent="0.25">
      <c r="A130" s="1056">
        <f t="shared" si="90"/>
        <v>112</v>
      </c>
      <c r="B130" s="1057" t="s">
        <v>1429</v>
      </c>
      <c r="C130" s="1081" t="s">
        <v>1414</v>
      </c>
      <c r="D130" s="1082" t="s">
        <v>1404</v>
      </c>
      <c r="E130" s="1060" t="s">
        <v>1470</v>
      </c>
      <c r="F130" s="1083"/>
      <c r="G130" s="1083"/>
      <c r="H130" s="1083"/>
      <c r="I130" s="1083"/>
      <c r="J130" s="1083"/>
      <c r="K130" s="1081"/>
      <c r="L130" s="1083"/>
      <c r="M130" s="1084"/>
      <c r="N130" s="1060" t="str">
        <f>VLOOKUP(D130,'[5]Bao cao So GDDT'!$D$14:$S$282,11,FALSE)</f>
        <v>Giảng viên
(hạng III)</v>
      </c>
      <c r="O130" s="1060" t="s">
        <v>807</v>
      </c>
      <c r="P130" s="1085"/>
      <c r="Q130" s="1085"/>
      <c r="R130" s="1086">
        <v>3</v>
      </c>
      <c r="S130" s="1087"/>
      <c r="T130" s="1083"/>
      <c r="U130" s="1087">
        <f t="shared" si="100"/>
        <v>0</v>
      </c>
      <c r="V130" s="1088"/>
      <c r="W130" s="1084">
        <v>0.35</v>
      </c>
      <c r="X130" s="1070">
        <v>0.16</v>
      </c>
      <c r="Y130" s="1089">
        <f t="shared" si="101"/>
        <v>0.53600000000000003</v>
      </c>
      <c r="Z130" s="1089">
        <f t="shared" si="102"/>
        <v>3.8860000000000001</v>
      </c>
      <c r="AA130" s="1090">
        <f t="shared" si="103"/>
        <v>6994800</v>
      </c>
      <c r="AB130" s="1090"/>
      <c r="AC130" s="1090">
        <f t="shared" si="104"/>
        <v>0</v>
      </c>
      <c r="AD130" s="1072">
        <f t="shared" si="116"/>
        <v>0</v>
      </c>
      <c r="AE130" s="1090">
        <f t="shared" si="105"/>
        <v>6994800</v>
      </c>
      <c r="AF130" s="1091">
        <f t="shared" si="106"/>
        <v>559584</v>
      </c>
      <c r="AG130" s="1091">
        <f t="shared" si="107"/>
        <v>104922</v>
      </c>
      <c r="AH130" s="1091">
        <f t="shared" si="108"/>
        <v>69948</v>
      </c>
      <c r="AI130" s="1091"/>
      <c r="AJ130" s="1091">
        <f t="shared" si="109"/>
        <v>734454</v>
      </c>
      <c r="AK130" s="1092"/>
      <c r="AL130" s="1075">
        <f t="shared" si="97"/>
        <v>0</v>
      </c>
      <c r="AM130" s="1093"/>
      <c r="AN130" s="1093"/>
      <c r="AO130" s="1094">
        <f>R130+U130+W130</f>
        <v>3.35</v>
      </c>
      <c r="AP130" s="1095">
        <v>0.25</v>
      </c>
      <c r="AQ130" s="1096">
        <f t="shared" si="110"/>
        <v>0.83750000000000002</v>
      </c>
      <c r="AR130" s="1073">
        <f t="shared" si="111"/>
        <v>1507500</v>
      </c>
      <c r="AS130" s="1091"/>
      <c r="AT130" s="1073">
        <f t="shared" si="112"/>
        <v>7767846</v>
      </c>
      <c r="AU130" s="1079">
        <f t="shared" si="115"/>
        <v>112</v>
      </c>
      <c r="AV130" s="1097"/>
      <c r="AW130" s="486"/>
    </row>
    <row r="131" spans="1:59" s="189" customFormat="1" ht="33.75" customHeight="1" x14ac:dyDescent="0.25">
      <c r="A131" s="900">
        <f t="shared" si="90"/>
        <v>113</v>
      </c>
      <c r="B131" s="168" t="str">
        <f>VLOOKUP(D131,[1]LuongBC_T01!$B$9:$C$292,2,FALSE)</f>
        <v>0016100006733004</v>
      </c>
      <c r="C131" s="865" t="s">
        <v>1022</v>
      </c>
      <c r="D131" s="230" t="s">
        <v>802</v>
      </c>
      <c r="E131" s="263" t="s">
        <v>1470</v>
      </c>
      <c r="F131" s="169"/>
      <c r="G131" s="170" t="s">
        <v>25</v>
      </c>
      <c r="H131" s="170"/>
      <c r="I131" s="170"/>
      <c r="J131" s="169"/>
      <c r="K131" s="170" t="str">
        <f>VLOOKUP(D131,[2]T3!$B$2:$D$328,3,FALSE)</f>
        <v>025442983</v>
      </c>
      <c r="L131" s="253"/>
      <c r="M131" s="253" t="s">
        <v>1022</v>
      </c>
      <c r="N131" s="835" t="str">
        <f>VLOOKUP(D131,'[5]Bao cao So GDDT'!$D$14:$S$282,11,FALSE)</f>
        <v>Chuyên viên</v>
      </c>
      <c r="O131" s="391" t="s">
        <v>39</v>
      </c>
      <c r="P131" s="222" t="s">
        <v>697</v>
      </c>
      <c r="Q131" s="172">
        <v>1</v>
      </c>
      <c r="R131" s="174">
        <v>3.33</v>
      </c>
      <c r="S131" s="176">
        <f t="shared" ref="S131:S143" si="117">U131+W131+Y131</f>
        <v>0</v>
      </c>
      <c r="T131" s="370"/>
      <c r="U131" s="176">
        <f t="shared" si="100"/>
        <v>0</v>
      </c>
      <c r="V131" s="175"/>
      <c r="W131" s="170"/>
      <c r="X131" s="179">
        <f>VLOOKUP(D131,PCTN!D144:W411,20,FALSE)</f>
        <v>0</v>
      </c>
      <c r="Y131" s="216">
        <f t="shared" si="101"/>
        <v>0</v>
      </c>
      <c r="Z131" s="216">
        <f t="shared" si="102"/>
        <v>3.33</v>
      </c>
      <c r="AA131" s="180">
        <f t="shared" si="103"/>
        <v>5994000</v>
      </c>
      <c r="AB131" s="180"/>
      <c r="AC131" s="180">
        <f t="shared" si="104"/>
        <v>0</v>
      </c>
      <c r="AD131" s="180">
        <f t="shared" si="116"/>
        <v>0</v>
      </c>
      <c r="AE131" s="180">
        <f t="shared" si="105"/>
        <v>5994000</v>
      </c>
      <c r="AF131" s="178">
        <f t="shared" si="106"/>
        <v>479520</v>
      </c>
      <c r="AG131" s="178">
        <f t="shared" si="107"/>
        <v>89910</v>
      </c>
      <c r="AH131" s="178">
        <f t="shared" si="108"/>
        <v>59940</v>
      </c>
      <c r="AI131" s="178"/>
      <c r="AJ131" s="178">
        <f t="shared" si="109"/>
        <v>629370</v>
      </c>
      <c r="AK131" s="192"/>
      <c r="AL131" s="182">
        <f t="shared" ref="AL131:AL146" si="118">AK131*$D$8</f>
        <v>0</v>
      </c>
      <c r="AM131" s="182"/>
      <c r="AN131" s="182"/>
      <c r="AO131" s="193">
        <f>R131+U131+W131</f>
        <v>3.33</v>
      </c>
      <c r="AP131" s="246"/>
      <c r="AQ131" s="194">
        <f t="shared" si="110"/>
        <v>0</v>
      </c>
      <c r="AR131" s="178">
        <f t="shared" si="111"/>
        <v>0</v>
      </c>
      <c r="AS131" s="178"/>
      <c r="AT131" s="178">
        <f t="shared" si="112"/>
        <v>5364630</v>
      </c>
      <c r="AU131" s="469">
        <f t="shared" si="115"/>
        <v>113</v>
      </c>
      <c r="AV131" s="195"/>
      <c r="AW131" s="825"/>
      <c r="AX131" s="29"/>
      <c r="AY131" s="29"/>
      <c r="AZ131" s="29"/>
      <c r="BA131" s="29"/>
      <c r="BB131" s="29"/>
      <c r="BC131" s="29"/>
      <c r="BD131" s="29"/>
      <c r="BE131" s="29"/>
      <c r="BF131" s="29"/>
      <c r="BG131" s="29"/>
    </row>
    <row r="132" spans="1:59" s="189" customFormat="1" ht="36.75" customHeight="1" x14ac:dyDescent="0.25">
      <c r="A132" s="900">
        <f t="shared" si="90"/>
        <v>114</v>
      </c>
      <c r="B132" s="168" t="str">
        <f>VLOOKUP(D132,[1]LuongBC_T01!$B$9:$C$292,2,FALSE)</f>
        <v>0016100006685007</v>
      </c>
      <c r="C132" s="199" t="s">
        <v>935</v>
      </c>
      <c r="D132" s="169" t="s">
        <v>653</v>
      </c>
      <c r="E132" s="263" t="s">
        <v>1470</v>
      </c>
      <c r="F132" s="169" t="s">
        <v>553</v>
      </c>
      <c r="G132" s="170" t="s">
        <v>25</v>
      </c>
      <c r="H132" s="169"/>
      <c r="I132" s="169" t="s">
        <v>284</v>
      </c>
      <c r="J132" s="169"/>
      <c r="K132" s="170" t="str">
        <f>VLOOKUP(D132,[2]T3!$B$2:$D$328,3,FALSE)</f>
        <v>030186001391</v>
      </c>
      <c r="L132" s="197">
        <v>1603205182575</v>
      </c>
      <c r="M132" s="197" t="s">
        <v>935</v>
      </c>
      <c r="N132" s="263" t="str">
        <f>VLOOKUP(D132,'[5]Bao cao So GDDT'!$D$14:$S$282,11,FALSE)</f>
        <v>Chuyên viên</v>
      </c>
      <c r="O132" s="393" t="s">
        <v>39</v>
      </c>
      <c r="P132" s="170" t="s">
        <v>698</v>
      </c>
      <c r="Q132" s="170">
        <v>6</v>
      </c>
      <c r="R132" s="192">
        <v>3.66</v>
      </c>
      <c r="S132" s="176">
        <f t="shared" si="117"/>
        <v>0</v>
      </c>
      <c r="T132" s="178"/>
      <c r="U132" s="176">
        <f t="shared" si="100"/>
        <v>0</v>
      </c>
      <c r="V132" s="175">
        <f t="shared" ref="V132:V139" si="119">R132*T132*$D$8/100</f>
        <v>0</v>
      </c>
      <c r="W132" s="178"/>
      <c r="X132" s="179">
        <f>VLOOKUP(D132,PCTN!D154:W421,20,FALSE)</f>
        <v>0</v>
      </c>
      <c r="Y132" s="216">
        <f t="shared" si="101"/>
        <v>0</v>
      </c>
      <c r="Z132" s="216">
        <f t="shared" si="102"/>
        <v>3.66</v>
      </c>
      <c r="AA132" s="180">
        <f t="shared" si="103"/>
        <v>6588000</v>
      </c>
      <c r="AB132" s="180"/>
      <c r="AC132" s="180">
        <f t="shared" si="104"/>
        <v>0</v>
      </c>
      <c r="AD132" s="180">
        <f t="shared" si="116"/>
        <v>0</v>
      </c>
      <c r="AE132" s="180">
        <f t="shared" si="105"/>
        <v>6588000</v>
      </c>
      <c r="AF132" s="178">
        <f t="shared" si="106"/>
        <v>527040</v>
      </c>
      <c r="AG132" s="178">
        <f t="shared" si="107"/>
        <v>98820</v>
      </c>
      <c r="AH132" s="178">
        <f t="shared" si="108"/>
        <v>65880</v>
      </c>
      <c r="AI132" s="178"/>
      <c r="AJ132" s="178">
        <f t="shared" si="109"/>
        <v>691740</v>
      </c>
      <c r="AK132" s="215"/>
      <c r="AL132" s="182">
        <f t="shared" si="118"/>
        <v>0</v>
      </c>
      <c r="AM132" s="182"/>
      <c r="AN132" s="182"/>
      <c r="AO132" s="216"/>
      <c r="AP132" s="179"/>
      <c r="AQ132" s="194">
        <f t="shared" si="110"/>
        <v>0</v>
      </c>
      <c r="AR132" s="178">
        <f t="shared" si="111"/>
        <v>0</v>
      </c>
      <c r="AS132" s="178"/>
      <c r="AT132" s="178">
        <f t="shared" si="112"/>
        <v>5896260</v>
      </c>
      <c r="AU132" s="469">
        <f t="shared" si="115"/>
        <v>114</v>
      </c>
      <c r="AV132" s="195"/>
      <c r="AW132" s="217">
        <f>3.99*1800000*1.8</f>
        <v>12927600</v>
      </c>
    </row>
    <row r="133" spans="1:59" s="189" customFormat="1" ht="39" customHeight="1" x14ac:dyDescent="0.25">
      <c r="A133" s="900">
        <f t="shared" si="90"/>
        <v>115</v>
      </c>
      <c r="B133" s="168" t="str">
        <f>VLOOKUP(D133,[1]LuongBC_T01!$B$9:$C$292,2,FALSE)</f>
        <v>0016100006648007</v>
      </c>
      <c r="C133" s="199" t="s">
        <v>941</v>
      </c>
      <c r="D133" s="169" t="s">
        <v>823</v>
      </c>
      <c r="E133" s="263" t="s">
        <v>1426</v>
      </c>
      <c r="F133" s="169"/>
      <c r="G133" s="170"/>
      <c r="H133" s="170"/>
      <c r="I133" s="170"/>
      <c r="J133" s="169"/>
      <c r="K133" s="170" t="str">
        <f>VLOOKUP(D133,[2]T3!$B$2:$D$328,3,FALSE)</f>
        <v>024858065</v>
      </c>
      <c r="L133" s="249"/>
      <c r="M133" s="249" t="s">
        <v>941</v>
      </c>
      <c r="N133" s="263" t="s">
        <v>1605</v>
      </c>
      <c r="O133" s="390" t="s">
        <v>1604</v>
      </c>
      <c r="P133" s="222" t="s">
        <v>692</v>
      </c>
      <c r="Q133" s="172">
        <v>5</v>
      </c>
      <c r="R133" s="174">
        <v>4.4000000000000004</v>
      </c>
      <c r="S133" s="176">
        <f t="shared" si="117"/>
        <v>1.323</v>
      </c>
      <c r="T133" s="370"/>
      <c r="U133" s="176">
        <f t="shared" si="100"/>
        <v>0</v>
      </c>
      <c r="V133" s="175">
        <f t="shared" si="119"/>
        <v>0</v>
      </c>
      <c r="W133" s="170">
        <v>0.45</v>
      </c>
      <c r="X133" s="179">
        <v>0.18</v>
      </c>
      <c r="Y133" s="216">
        <f t="shared" si="101"/>
        <v>0.873</v>
      </c>
      <c r="Z133" s="216">
        <f t="shared" si="102"/>
        <v>5.7230000000000008</v>
      </c>
      <c r="AA133" s="180">
        <f t="shared" si="103"/>
        <v>10301400</v>
      </c>
      <c r="AB133" s="180"/>
      <c r="AC133" s="180">
        <f t="shared" si="104"/>
        <v>0</v>
      </c>
      <c r="AD133" s="180">
        <f t="shared" si="116"/>
        <v>0</v>
      </c>
      <c r="AE133" s="180">
        <f t="shared" si="105"/>
        <v>10301400</v>
      </c>
      <c r="AF133" s="178">
        <f t="shared" si="106"/>
        <v>824112</v>
      </c>
      <c r="AG133" s="178">
        <f t="shared" si="107"/>
        <v>154521</v>
      </c>
      <c r="AH133" s="178">
        <f t="shared" si="108"/>
        <v>103014</v>
      </c>
      <c r="AI133" s="178"/>
      <c r="AJ133" s="178">
        <f t="shared" si="109"/>
        <v>1081647</v>
      </c>
      <c r="AK133" s="192"/>
      <c r="AL133" s="182">
        <f t="shared" si="118"/>
        <v>0</v>
      </c>
      <c r="AM133" s="182"/>
      <c r="AN133" s="182"/>
      <c r="AO133" s="193">
        <f>R133+U133+W133</f>
        <v>4.8500000000000005</v>
      </c>
      <c r="AP133" s="246">
        <v>0.25</v>
      </c>
      <c r="AQ133" s="194">
        <f t="shared" si="110"/>
        <v>1.2124999999999999</v>
      </c>
      <c r="AR133" s="178">
        <f t="shared" si="111"/>
        <v>2182500</v>
      </c>
      <c r="AS133" s="178"/>
      <c r="AT133" s="178">
        <f t="shared" si="112"/>
        <v>11402253</v>
      </c>
      <c r="AU133" s="469">
        <f t="shared" si="115"/>
        <v>115</v>
      </c>
      <c r="AV133" s="244"/>
      <c r="AW133" s="242">
        <f>3.66*1800000*1.8</f>
        <v>11858400</v>
      </c>
    </row>
    <row r="134" spans="1:59" s="189" customFormat="1" ht="33" customHeight="1" x14ac:dyDescent="0.25">
      <c r="A134" s="900">
        <f t="shared" si="90"/>
        <v>116</v>
      </c>
      <c r="B134" s="168" t="str">
        <f>VLOOKUP(D134,[1]LuongBC_T01!$B$9:$C$292,2,FALSE)</f>
        <v>0016100006548002</v>
      </c>
      <c r="C134" s="865" t="s">
        <v>911</v>
      </c>
      <c r="D134" s="230" t="s">
        <v>782</v>
      </c>
      <c r="E134" s="263" t="s">
        <v>1427</v>
      </c>
      <c r="F134" s="231"/>
      <c r="G134" s="231"/>
      <c r="H134" s="200"/>
      <c r="I134" s="200" t="s">
        <v>284</v>
      </c>
      <c r="J134" s="231"/>
      <c r="K134" s="170" t="str">
        <f>VLOOKUP(D134,[2]T3!$B$2:$D$328,3,FALSE)</f>
        <v>250411489</v>
      </c>
      <c r="L134" s="226" t="s">
        <v>791</v>
      </c>
      <c r="M134" s="226" t="s">
        <v>911</v>
      </c>
      <c r="N134" s="835" t="str">
        <f>VLOOKUP(D134,'[5]Bao cao So GDDT'!$D$14:$S$282,11,FALSE)</f>
        <v>Kỹ sư (hạng III)</v>
      </c>
      <c r="O134" s="393" t="s">
        <v>1116</v>
      </c>
      <c r="P134" s="170" t="s">
        <v>692</v>
      </c>
      <c r="Q134" s="170">
        <v>5</v>
      </c>
      <c r="R134" s="177">
        <v>4.32</v>
      </c>
      <c r="S134" s="176">
        <f t="shared" si="117"/>
        <v>0.45</v>
      </c>
      <c r="T134" s="169"/>
      <c r="U134" s="176">
        <f t="shared" si="100"/>
        <v>0</v>
      </c>
      <c r="V134" s="175">
        <f t="shared" si="119"/>
        <v>0</v>
      </c>
      <c r="W134" s="170">
        <v>0.45</v>
      </c>
      <c r="X134" s="179">
        <f>VLOOKUP(D134,PCTN!D103:W370,20,FALSE)</f>
        <v>0</v>
      </c>
      <c r="Y134" s="216">
        <f t="shared" si="101"/>
        <v>0</v>
      </c>
      <c r="Z134" s="216">
        <f t="shared" si="102"/>
        <v>4.7700000000000005</v>
      </c>
      <c r="AA134" s="180">
        <f t="shared" si="103"/>
        <v>8586000</v>
      </c>
      <c r="AB134" s="180"/>
      <c r="AC134" s="180">
        <f t="shared" si="104"/>
        <v>0</v>
      </c>
      <c r="AD134" s="180">
        <f t="shared" si="116"/>
        <v>0</v>
      </c>
      <c r="AE134" s="180">
        <f t="shared" si="105"/>
        <v>8586000</v>
      </c>
      <c r="AF134" s="178">
        <f t="shared" si="106"/>
        <v>686880</v>
      </c>
      <c r="AG134" s="178">
        <f t="shared" si="107"/>
        <v>128790</v>
      </c>
      <c r="AH134" s="178">
        <f t="shared" si="108"/>
        <v>85860</v>
      </c>
      <c r="AI134" s="178"/>
      <c r="AJ134" s="178">
        <f t="shared" si="109"/>
        <v>901530</v>
      </c>
      <c r="AK134" s="192"/>
      <c r="AL134" s="182">
        <f t="shared" si="118"/>
        <v>0</v>
      </c>
      <c r="AM134" s="182"/>
      <c r="AN134" s="182"/>
      <c r="AO134" s="183">
        <f>R134+U134+W134</f>
        <v>4.7700000000000005</v>
      </c>
      <c r="AP134" s="179"/>
      <c r="AQ134" s="194">
        <f t="shared" si="110"/>
        <v>0</v>
      </c>
      <c r="AR134" s="178">
        <f t="shared" si="111"/>
        <v>0</v>
      </c>
      <c r="AS134" s="178"/>
      <c r="AT134" s="178">
        <f t="shared" si="112"/>
        <v>7684470</v>
      </c>
      <c r="AU134" s="469">
        <f t="shared" si="115"/>
        <v>116</v>
      </c>
      <c r="AV134" s="195"/>
      <c r="AW134" s="259">
        <f>AW132-AW133</f>
        <v>1069200</v>
      </c>
      <c r="AX134" s="29"/>
      <c r="AY134" s="29"/>
      <c r="AZ134" s="29"/>
      <c r="BA134" s="29"/>
      <c r="BB134" s="29"/>
      <c r="BC134" s="29"/>
      <c r="BD134" s="29"/>
      <c r="BE134" s="29"/>
      <c r="BF134" s="29"/>
      <c r="BG134" s="29"/>
    </row>
    <row r="135" spans="1:59" s="189" customFormat="1" ht="33.75" customHeight="1" x14ac:dyDescent="0.25">
      <c r="A135" s="900">
        <f t="shared" si="90"/>
        <v>117</v>
      </c>
      <c r="B135" s="168" t="str">
        <f>VLOOKUP(D135,[1]LuongBC_T01!$B$9:$C$292,2,FALSE)</f>
        <v>0016100006640006</v>
      </c>
      <c r="C135" s="865" t="s">
        <v>1082</v>
      </c>
      <c r="D135" s="169" t="s">
        <v>741</v>
      </c>
      <c r="E135" s="263" t="s">
        <v>1301</v>
      </c>
      <c r="F135" s="169"/>
      <c r="G135" s="170" t="s">
        <v>25</v>
      </c>
      <c r="H135" s="170"/>
      <c r="I135" s="200"/>
      <c r="J135" s="220" t="s">
        <v>689</v>
      </c>
      <c r="K135" s="170" t="str">
        <f>VLOOKUP(D135,[2]T3!$B$2:$D$328,3,FALSE)</f>
        <v>025638694</v>
      </c>
      <c r="L135" s="201" t="s">
        <v>688</v>
      </c>
      <c r="M135" s="201" t="s">
        <v>1082</v>
      </c>
      <c r="N135" s="835" t="str">
        <f>VLOOKUP(D135,'[5]Bao cao So GDDT'!$D$14:$S$282,11,FALSE)</f>
        <v>Giáo viên Trung học</v>
      </c>
      <c r="O135" s="390" t="s">
        <v>39</v>
      </c>
      <c r="P135" s="172" t="s">
        <v>692</v>
      </c>
      <c r="Q135" s="173">
        <v>4</v>
      </c>
      <c r="R135" s="174">
        <v>3.99</v>
      </c>
      <c r="S135" s="176">
        <f t="shared" si="117"/>
        <v>0</v>
      </c>
      <c r="T135" s="370"/>
      <c r="U135" s="176">
        <f t="shared" si="100"/>
        <v>0</v>
      </c>
      <c r="V135" s="175">
        <f t="shared" si="119"/>
        <v>0</v>
      </c>
      <c r="W135" s="170"/>
      <c r="X135" s="179">
        <f>VLOOKUP(D135,PCTN!D279:W546,20,FALSE)</f>
        <v>0</v>
      </c>
      <c r="Y135" s="216">
        <f t="shared" si="101"/>
        <v>0</v>
      </c>
      <c r="Z135" s="216">
        <f t="shared" si="102"/>
        <v>3.99</v>
      </c>
      <c r="AA135" s="180">
        <f t="shared" si="103"/>
        <v>7182000</v>
      </c>
      <c r="AB135" s="180"/>
      <c r="AC135" s="180">
        <f t="shared" si="104"/>
        <v>0</v>
      </c>
      <c r="AD135" s="180">
        <f t="shared" si="116"/>
        <v>0</v>
      </c>
      <c r="AE135" s="180">
        <f t="shared" si="105"/>
        <v>7182000</v>
      </c>
      <c r="AF135" s="178">
        <f t="shared" si="106"/>
        <v>574560</v>
      </c>
      <c r="AG135" s="178">
        <f t="shared" si="107"/>
        <v>107730</v>
      </c>
      <c r="AH135" s="178">
        <f t="shared" si="108"/>
        <v>71820</v>
      </c>
      <c r="AI135" s="178"/>
      <c r="AJ135" s="178">
        <f t="shared" si="109"/>
        <v>754110</v>
      </c>
      <c r="AK135" s="192"/>
      <c r="AL135" s="182">
        <f t="shared" si="118"/>
        <v>0</v>
      </c>
      <c r="AM135" s="182"/>
      <c r="AN135" s="182"/>
      <c r="AO135" s="193">
        <f>R135+U135+W135</f>
        <v>3.99</v>
      </c>
      <c r="AP135" s="179">
        <v>0</v>
      </c>
      <c r="AQ135" s="194">
        <f t="shared" si="110"/>
        <v>0</v>
      </c>
      <c r="AR135" s="178">
        <f t="shared" si="111"/>
        <v>0</v>
      </c>
      <c r="AS135" s="178"/>
      <c r="AT135" s="178">
        <f t="shared" si="112"/>
        <v>6427890</v>
      </c>
      <c r="AU135" s="469">
        <f t="shared" si="115"/>
        <v>117</v>
      </c>
      <c r="AV135" s="195"/>
      <c r="AW135" s="825" t="s">
        <v>704</v>
      </c>
      <c r="AX135" s="29"/>
      <c r="AY135" s="29"/>
      <c r="AZ135" s="29"/>
      <c r="BA135" s="29"/>
      <c r="BB135" s="29"/>
      <c r="BC135" s="29"/>
      <c r="BD135" s="29"/>
      <c r="BE135" s="29"/>
      <c r="BF135" s="29"/>
      <c r="BG135" s="29"/>
    </row>
    <row r="136" spans="1:59" s="189" customFormat="1" ht="42" customHeight="1" x14ac:dyDescent="0.25">
      <c r="A136" s="900">
        <f t="shared" si="90"/>
        <v>118</v>
      </c>
      <c r="B136" s="168" t="str">
        <f>VLOOKUP(D136,[1]LuongBC_T01!$B$9:$C$292,2,FALSE)</f>
        <v>0016100006563001</v>
      </c>
      <c r="C136" s="199" t="s">
        <v>916</v>
      </c>
      <c r="D136" s="169" t="s">
        <v>1202</v>
      </c>
      <c r="E136" s="263" t="s">
        <v>1558</v>
      </c>
      <c r="F136" s="169" t="s">
        <v>549</v>
      </c>
      <c r="G136" s="170"/>
      <c r="H136" s="170"/>
      <c r="I136" s="170" t="s">
        <v>284</v>
      </c>
      <c r="J136" s="169" t="s">
        <v>279</v>
      </c>
      <c r="K136" s="170" t="str">
        <f>VLOOKUP(D136,[2]T3!$B$2:$D$328,3,FALSE)</f>
        <v>023809591</v>
      </c>
      <c r="L136" s="171" t="s">
        <v>143</v>
      </c>
      <c r="M136" s="171" t="s">
        <v>916</v>
      </c>
      <c r="N136" s="263" t="str">
        <f>VLOOKUP(D136,'[5]Bao cao So GDDT'!$D$14:$S$282,11,FALSE)</f>
        <v>Giảng viên GDNN LT (hạng III)</v>
      </c>
      <c r="O136" s="390" t="s">
        <v>1438</v>
      </c>
      <c r="P136" s="222" t="s">
        <v>692</v>
      </c>
      <c r="Q136" s="172">
        <v>3</v>
      </c>
      <c r="R136" s="174">
        <v>3.66</v>
      </c>
      <c r="S136" s="176">
        <f t="shared" si="117"/>
        <v>0.86099999999999999</v>
      </c>
      <c r="T136" s="370"/>
      <c r="U136" s="176">
        <f t="shared" si="100"/>
        <v>0</v>
      </c>
      <c r="V136" s="175">
        <f t="shared" si="119"/>
        <v>0</v>
      </c>
      <c r="W136" s="170">
        <v>0.45</v>
      </c>
      <c r="X136" s="179">
        <v>0.1</v>
      </c>
      <c r="Y136" s="216">
        <f t="shared" si="101"/>
        <v>0.41099999999999998</v>
      </c>
      <c r="Z136" s="216">
        <f t="shared" si="102"/>
        <v>4.5209999999999999</v>
      </c>
      <c r="AA136" s="180">
        <f t="shared" si="103"/>
        <v>8137800</v>
      </c>
      <c r="AB136" s="180"/>
      <c r="AC136" s="180">
        <f t="shared" si="104"/>
        <v>0</v>
      </c>
      <c r="AD136" s="180">
        <f t="shared" si="116"/>
        <v>0</v>
      </c>
      <c r="AE136" s="180">
        <f t="shared" si="105"/>
        <v>8137800</v>
      </c>
      <c r="AF136" s="178">
        <f t="shared" si="106"/>
        <v>651024</v>
      </c>
      <c r="AG136" s="178">
        <f t="shared" si="107"/>
        <v>122067</v>
      </c>
      <c r="AH136" s="178">
        <f t="shared" si="108"/>
        <v>81378</v>
      </c>
      <c r="AI136" s="178"/>
      <c r="AJ136" s="178">
        <f t="shared" si="109"/>
        <v>854469</v>
      </c>
      <c r="AK136" s="192"/>
      <c r="AL136" s="182">
        <f t="shared" si="118"/>
        <v>0</v>
      </c>
      <c r="AM136" s="182"/>
      <c r="AN136" s="182"/>
      <c r="AO136" s="193">
        <f>R136+U136+W136</f>
        <v>4.1100000000000003</v>
      </c>
      <c r="AP136" s="246">
        <v>0.25</v>
      </c>
      <c r="AQ136" s="194">
        <f t="shared" si="110"/>
        <v>1.0275000000000001</v>
      </c>
      <c r="AR136" s="178">
        <f t="shared" si="111"/>
        <v>1849500</v>
      </c>
      <c r="AS136" s="178"/>
      <c r="AT136" s="178">
        <f t="shared" si="112"/>
        <v>9132831</v>
      </c>
      <c r="AU136" s="469">
        <f t="shared" si="115"/>
        <v>118</v>
      </c>
      <c r="AV136" s="195"/>
      <c r="AW136" s="186" t="s">
        <v>715</v>
      </c>
      <c r="AX136" s="29"/>
      <c r="AY136" s="29">
        <f>(4.01+0.33)*1800000</f>
        <v>7812000</v>
      </c>
      <c r="AZ136" s="29"/>
      <c r="BA136" s="29"/>
      <c r="BB136" s="29"/>
      <c r="BC136" s="29"/>
      <c r="BD136" s="29"/>
      <c r="BE136" s="29"/>
      <c r="BF136" s="29"/>
      <c r="BG136" s="29"/>
    </row>
    <row r="137" spans="1:59" s="189" customFormat="1" ht="43.5" customHeight="1" x14ac:dyDescent="0.25">
      <c r="A137" s="900">
        <f t="shared" si="90"/>
        <v>119</v>
      </c>
      <c r="B137" s="168" t="str">
        <f>VLOOKUP(D137,[1]LuongBC_T01!$B$9:$C$292,2,FALSE)</f>
        <v>0016100006542004</v>
      </c>
      <c r="C137" s="199" t="s">
        <v>953</v>
      </c>
      <c r="D137" s="169" t="s">
        <v>756</v>
      </c>
      <c r="E137" s="263" t="s">
        <v>1403</v>
      </c>
      <c r="F137" s="169"/>
      <c r="G137" s="170"/>
      <c r="H137" s="170"/>
      <c r="I137" s="170"/>
      <c r="J137" s="169"/>
      <c r="K137" s="170" t="str">
        <f>VLOOKUP(D137,[2]T3!$B$2:$D$328,3,FALSE)</f>
        <v>079085002906</v>
      </c>
      <c r="L137" s="397" t="s">
        <v>764</v>
      </c>
      <c r="M137" s="397" t="s">
        <v>953</v>
      </c>
      <c r="N137" s="263" t="str">
        <f>VLOOKUP(D137,'[5]Bao cao So GDDT'!$D$14:$S$282,11,FALSE)</f>
        <v>Kỹ thuật viên (hạng IV)</v>
      </c>
      <c r="O137" s="390" t="s">
        <v>1118</v>
      </c>
      <c r="P137" s="222" t="s">
        <v>698</v>
      </c>
      <c r="Q137" s="172">
        <v>3</v>
      </c>
      <c r="R137" s="174">
        <v>3.26</v>
      </c>
      <c r="S137" s="176">
        <f t="shared" si="117"/>
        <v>0</v>
      </c>
      <c r="T137" s="370"/>
      <c r="U137" s="176">
        <f t="shared" si="100"/>
        <v>0</v>
      </c>
      <c r="V137" s="175">
        <f t="shared" si="119"/>
        <v>0</v>
      </c>
      <c r="W137" s="170"/>
      <c r="X137" s="179">
        <f>VLOOKUP(D137,PCTN!D167:W434,20,FALSE)</f>
        <v>0</v>
      </c>
      <c r="Y137" s="216">
        <f t="shared" si="101"/>
        <v>0</v>
      </c>
      <c r="Z137" s="216">
        <f t="shared" si="102"/>
        <v>3.26</v>
      </c>
      <c r="AA137" s="180">
        <f t="shared" si="103"/>
        <v>5868000</v>
      </c>
      <c r="AB137" s="180"/>
      <c r="AC137" s="180">
        <f t="shared" si="104"/>
        <v>0</v>
      </c>
      <c r="AD137" s="180">
        <v>0</v>
      </c>
      <c r="AE137" s="180">
        <f t="shared" si="105"/>
        <v>5868000</v>
      </c>
      <c r="AF137" s="178">
        <f t="shared" si="106"/>
        <v>469440</v>
      </c>
      <c r="AG137" s="178">
        <f t="shared" si="107"/>
        <v>88020</v>
      </c>
      <c r="AH137" s="178">
        <f t="shared" si="108"/>
        <v>58680</v>
      </c>
      <c r="AI137" s="178"/>
      <c r="AJ137" s="178">
        <f t="shared" si="109"/>
        <v>616140</v>
      </c>
      <c r="AK137" s="181"/>
      <c r="AL137" s="182">
        <f t="shared" si="118"/>
        <v>0</v>
      </c>
      <c r="AM137" s="182"/>
      <c r="AN137" s="182"/>
      <c r="AO137" s="193"/>
      <c r="AP137" s="179"/>
      <c r="AQ137" s="194">
        <f t="shared" si="110"/>
        <v>0</v>
      </c>
      <c r="AR137" s="178">
        <f t="shared" si="111"/>
        <v>0</v>
      </c>
      <c r="AS137" s="178"/>
      <c r="AT137" s="178">
        <f t="shared" si="112"/>
        <v>5251860</v>
      </c>
      <c r="AU137" s="469">
        <f t="shared" si="115"/>
        <v>119</v>
      </c>
      <c r="AV137" s="195"/>
      <c r="AW137" s="223"/>
      <c r="AY137" s="189">
        <f>AY136*10.5%</f>
        <v>820260</v>
      </c>
    </row>
    <row r="138" spans="1:59" s="189" customFormat="1" ht="42.75" customHeight="1" x14ac:dyDescent="0.25">
      <c r="A138" s="900">
        <f t="shared" si="90"/>
        <v>120</v>
      </c>
      <c r="B138" s="168" t="str">
        <f>VLOOKUP(D138,[1]LuongBC_T01!$B$9:$C$292,2,FALSE)</f>
        <v>0016100006562005</v>
      </c>
      <c r="C138" s="871" t="s">
        <v>1038</v>
      </c>
      <c r="D138" s="169" t="s">
        <v>783</v>
      </c>
      <c r="E138" s="263" t="s">
        <v>1403</v>
      </c>
      <c r="F138" s="169"/>
      <c r="G138" s="169"/>
      <c r="H138" s="169"/>
      <c r="I138" s="169" t="s">
        <v>284</v>
      </c>
      <c r="J138" s="169"/>
      <c r="K138" s="170" t="str">
        <f>VLOOKUP(D138,[2]T3!$B$2:$D$328,3,FALSE)</f>
        <v>025326360</v>
      </c>
      <c r="L138" s="213"/>
      <c r="M138" s="213" t="s">
        <v>1038</v>
      </c>
      <c r="N138" s="835" t="str">
        <f>VLOOKUP(D138,'[5]Bao cao So GDDT'!$D$14:$S$282,11,FALSE)</f>
        <v>Chuyên viên</v>
      </c>
      <c r="O138" s="393" t="s">
        <v>39</v>
      </c>
      <c r="P138" s="170" t="s">
        <v>692</v>
      </c>
      <c r="Q138" s="170">
        <v>3</v>
      </c>
      <c r="R138" s="192">
        <v>3.66</v>
      </c>
      <c r="S138" s="176">
        <f t="shared" si="117"/>
        <v>0</v>
      </c>
      <c r="T138" s="178"/>
      <c r="U138" s="176">
        <f t="shared" si="100"/>
        <v>0</v>
      </c>
      <c r="V138" s="175">
        <f t="shared" si="119"/>
        <v>0</v>
      </c>
      <c r="W138" s="178"/>
      <c r="X138" s="179">
        <f>VLOOKUP(D138,PCTN!D136:W403,20,FALSE)</f>
        <v>0</v>
      </c>
      <c r="Y138" s="216">
        <f t="shared" si="101"/>
        <v>0</v>
      </c>
      <c r="Z138" s="216">
        <f t="shared" si="102"/>
        <v>3.66</v>
      </c>
      <c r="AA138" s="180">
        <f t="shared" si="103"/>
        <v>6588000</v>
      </c>
      <c r="AB138" s="180"/>
      <c r="AC138" s="180">
        <f t="shared" si="104"/>
        <v>0</v>
      </c>
      <c r="AD138" s="180">
        <f t="shared" ref="AD138:AD143" si="120">AA138/24*AB138*75%</f>
        <v>0</v>
      </c>
      <c r="AE138" s="180">
        <f t="shared" si="105"/>
        <v>6588000</v>
      </c>
      <c r="AF138" s="178">
        <f t="shared" si="106"/>
        <v>527040</v>
      </c>
      <c r="AG138" s="178">
        <f t="shared" si="107"/>
        <v>98820</v>
      </c>
      <c r="AH138" s="178">
        <f t="shared" si="108"/>
        <v>65880</v>
      </c>
      <c r="AI138" s="178"/>
      <c r="AJ138" s="178">
        <f t="shared" si="109"/>
        <v>691740</v>
      </c>
      <c r="AK138" s="215"/>
      <c r="AL138" s="182">
        <f t="shared" si="118"/>
        <v>0</v>
      </c>
      <c r="AM138" s="182"/>
      <c r="AN138" s="182"/>
      <c r="AO138" s="193"/>
      <c r="AP138" s="179"/>
      <c r="AQ138" s="194">
        <f t="shared" si="110"/>
        <v>0</v>
      </c>
      <c r="AR138" s="178">
        <f t="shared" si="111"/>
        <v>0</v>
      </c>
      <c r="AS138" s="178"/>
      <c r="AT138" s="178">
        <f t="shared" si="112"/>
        <v>5896260</v>
      </c>
      <c r="AU138" s="469">
        <f t="shared" si="115"/>
        <v>120</v>
      </c>
      <c r="AV138" s="195"/>
      <c r="AW138" s="223"/>
      <c r="AX138" s="29"/>
      <c r="AY138" s="29">
        <f>AY136-AY137</f>
        <v>6991740</v>
      </c>
      <c r="AZ138" s="29"/>
      <c r="BA138" s="29"/>
      <c r="BB138" s="29"/>
      <c r="BC138" s="29"/>
      <c r="BD138" s="29"/>
      <c r="BE138" s="29"/>
      <c r="BF138" s="29"/>
      <c r="BG138" s="29"/>
    </row>
    <row r="139" spans="1:59" s="189" customFormat="1" ht="33" customHeight="1" x14ac:dyDescent="0.25">
      <c r="A139" s="1056">
        <f t="shared" si="90"/>
        <v>121</v>
      </c>
      <c r="B139" s="1057" t="str">
        <f>VLOOKUP(D139,[1]LuongBC_T01!$B$9:$C$292,2,FALSE)</f>
        <v>0016100006608005</v>
      </c>
      <c r="C139" s="1058" t="s">
        <v>942</v>
      </c>
      <c r="D139" s="1059" t="s">
        <v>818</v>
      </c>
      <c r="E139" s="1060" t="s">
        <v>1245</v>
      </c>
      <c r="F139" s="1059"/>
      <c r="G139" s="1061"/>
      <c r="H139" s="1061"/>
      <c r="I139" s="1061"/>
      <c r="J139" s="1059"/>
      <c r="K139" s="1061" t="str">
        <f>VLOOKUP(D139,[2]T3!$B$2:$D$328,3,FALSE)</f>
        <v>022962107</v>
      </c>
      <c r="L139" s="1062"/>
      <c r="M139" s="1062" t="s">
        <v>942</v>
      </c>
      <c r="N139" s="1060" t="str">
        <f>VLOOKUP(D139,'[5]Bao cao So GDDT'!$D$14:$S$282,11,FALSE)</f>
        <v>Giảng viên GDNN LT (hạng III)</v>
      </c>
      <c r="O139" s="1063" t="s">
        <v>1438</v>
      </c>
      <c r="P139" s="1064" t="s">
        <v>692</v>
      </c>
      <c r="Q139" s="1065">
        <v>4</v>
      </c>
      <c r="R139" s="1066">
        <v>3.99</v>
      </c>
      <c r="S139" s="1067">
        <f t="shared" si="117"/>
        <v>1.1604000000000001</v>
      </c>
      <c r="T139" s="1068"/>
      <c r="U139" s="1067">
        <f t="shared" si="100"/>
        <v>0</v>
      </c>
      <c r="V139" s="1069">
        <f t="shared" si="119"/>
        <v>0</v>
      </c>
      <c r="W139" s="1061">
        <v>0.45</v>
      </c>
      <c r="X139" s="1070">
        <v>0.16</v>
      </c>
      <c r="Y139" s="1071">
        <f t="shared" si="101"/>
        <v>0.71040000000000003</v>
      </c>
      <c r="Z139" s="1071">
        <f t="shared" si="102"/>
        <v>5.1504000000000003</v>
      </c>
      <c r="AA139" s="1072">
        <f t="shared" si="103"/>
        <v>9270720</v>
      </c>
      <c r="AB139" s="1072"/>
      <c r="AC139" s="1072">
        <f t="shared" si="104"/>
        <v>0</v>
      </c>
      <c r="AD139" s="1072">
        <f t="shared" si="120"/>
        <v>0</v>
      </c>
      <c r="AE139" s="1072">
        <f t="shared" si="105"/>
        <v>9270720</v>
      </c>
      <c r="AF139" s="1073">
        <f t="shared" si="106"/>
        <v>741657.59999999998</v>
      </c>
      <c r="AG139" s="1073">
        <f t="shared" si="107"/>
        <v>139060.79999999999</v>
      </c>
      <c r="AH139" s="1073">
        <f t="shared" si="108"/>
        <v>92707.199999999997</v>
      </c>
      <c r="AI139" s="1073"/>
      <c r="AJ139" s="1073">
        <f t="shared" si="109"/>
        <v>973425.59999999986</v>
      </c>
      <c r="AK139" s="1074"/>
      <c r="AL139" s="1075">
        <f t="shared" si="118"/>
        <v>0</v>
      </c>
      <c r="AM139" s="1075"/>
      <c r="AN139" s="1075"/>
      <c r="AO139" s="1076">
        <f t="shared" ref="AO139:AO178" si="121">R139+U139+W139</f>
        <v>4.4400000000000004</v>
      </c>
      <c r="AP139" s="1077">
        <v>0.25</v>
      </c>
      <c r="AQ139" s="1078">
        <f t="shared" si="110"/>
        <v>1.1100000000000001</v>
      </c>
      <c r="AR139" s="1073">
        <f t="shared" si="111"/>
        <v>1998000</v>
      </c>
      <c r="AS139" s="1073"/>
      <c r="AT139" s="1073">
        <f t="shared" si="112"/>
        <v>10295294</v>
      </c>
      <c r="AU139" s="1079">
        <f t="shared" si="115"/>
        <v>121</v>
      </c>
      <c r="AV139" s="1080"/>
      <c r="AW139" s="242"/>
    </row>
    <row r="140" spans="1:59" s="189" customFormat="1" ht="33" customHeight="1" x14ac:dyDescent="0.25">
      <c r="A140" s="900">
        <f t="shared" si="90"/>
        <v>122</v>
      </c>
      <c r="B140" s="168" t="str">
        <f>VLOOKUP(D140,[1]LuongBC_T01!$B$9:$C$292,2,FALSE)</f>
        <v>0016100006633007</v>
      </c>
      <c r="C140" s="865" t="s">
        <v>1030</v>
      </c>
      <c r="D140" s="230" t="s">
        <v>754</v>
      </c>
      <c r="E140" s="263" t="s">
        <v>1416</v>
      </c>
      <c r="F140" s="231"/>
      <c r="G140" s="251" t="s">
        <v>25</v>
      </c>
      <c r="H140" s="231"/>
      <c r="I140" s="231"/>
      <c r="J140" s="231"/>
      <c r="K140" s="170" t="str">
        <f>VLOOKUP(D140,[2]T3!$B$2:$D$328,3,FALSE)</f>
        <v>025548580</v>
      </c>
      <c r="L140" s="831" t="s">
        <v>763</v>
      </c>
      <c r="M140" s="831" t="s">
        <v>1030</v>
      </c>
      <c r="N140" s="835" t="str">
        <f>VLOOKUP(D140,'[5]Bao cao So GDDT'!$D$14:$S$282,11,FALSE)</f>
        <v>Thư viện viên (hạng 3)</v>
      </c>
      <c r="O140" s="393" t="s">
        <v>1121</v>
      </c>
      <c r="P140" s="170" t="s">
        <v>692</v>
      </c>
      <c r="Q140" s="170">
        <v>2</v>
      </c>
      <c r="R140" s="177">
        <v>3</v>
      </c>
      <c r="S140" s="176">
        <f t="shared" si="117"/>
        <v>0</v>
      </c>
      <c r="T140" s="169"/>
      <c r="U140" s="176">
        <f t="shared" si="100"/>
        <v>0</v>
      </c>
      <c r="V140" s="175"/>
      <c r="W140" s="170"/>
      <c r="X140" s="179">
        <f>VLOOKUP(D140,PCTN!D281:W548,20,FALSE)</f>
        <v>0</v>
      </c>
      <c r="Y140" s="216">
        <f t="shared" si="101"/>
        <v>0</v>
      </c>
      <c r="Z140" s="216">
        <f t="shared" si="102"/>
        <v>3</v>
      </c>
      <c r="AA140" s="180">
        <f t="shared" si="103"/>
        <v>5400000</v>
      </c>
      <c r="AB140" s="180"/>
      <c r="AC140" s="180">
        <f t="shared" si="104"/>
        <v>0</v>
      </c>
      <c r="AD140" s="180">
        <f t="shared" si="120"/>
        <v>0</v>
      </c>
      <c r="AE140" s="180">
        <f t="shared" si="105"/>
        <v>5400000</v>
      </c>
      <c r="AF140" s="178">
        <f t="shared" si="106"/>
        <v>432000</v>
      </c>
      <c r="AG140" s="178">
        <f t="shared" si="107"/>
        <v>81000</v>
      </c>
      <c r="AH140" s="178">
        <f t="shared" si="108"/>
        <v>54000</v>
      </c>
      <c r="AI140" s="178"/>
      <c r="AJ140" s="178">
        <f t="shared" si="109"/>
        <v>567000</v>
      </c>
      <c r="AK140" s="192"/>
      <c r="AL140" s="182">
        <f t="shared" si="118"/>
        <v>0</v>
      </c>
      <c r="AM140" s="182"/>
      <c r="AN140" s="182"/>
      <c r="AO140" s="183">
        <f t="shared" si="121"/>
        <v>3</v>
      </c>
      <c r="AP140" s="179"/>
      <c r="AQ140" s="194">
        <f t="shared" si="110"/>
        <v>0</v>
      </c>
      <c r="AR140" s="178">
        <f t="shared" si="111"/>
        <v>0</v>
      </c>
      <c r="AS140" s="178"/>
      <c r="AT140" s="178">
        <f t="shared" si="112"/>
        <v>4833000</v>
      </c>
      <c r="AU140" s="469">
        <f t="shared" si="115"/>
        <v>122</v>
      </c>
      <c r="AV140" s="195"/>
      <c r="AW140" s="827"/>
      <c r="AX140" s="29"/>
      <c r="AY140" s="29"/>
      <c r="AZ140" s="29"/>
      <c r="BA140" s="29"/>
      <c r="BB140" s="29"/>
      <c r="BC140" s="29"/>
      <c r="BD140" s="29"/>
      <c r="BE140" s="29"/>
      <c r="BF140" s="29"/>
      <c r="BG140" s="29"/>
    </row>
    <row r="141" spans="1:59" s="189" customFormat="1" ht="33" customHeight="1" x14ac:dyDescent="0.25">
      <c r="A141" s="900">
        <f t="shared" si="90"/>
        <v>123</v>
      </c>
      <c r="B141" s="168" t="str">
        <f>VLOOKUP(D141,[1]LuongBC_T01!$B$9:$C$292,2,FALSE)</f>
        <v>0016100006561009</v>
      </c>
      <c r="C141" s="871" t="s">
        <v>1043</v>
      </c>
      <c r="D141" s="230" t="s">
        <v>770</v>
      </c>
      <c r="E141" s="263" t="s">
        <v>1416</v>
      </c>
      <c r="F141" s="231"/>
      <c r="G141" s="251" t="s">
        <v>25</v>
      </c>
      <c r="H141" s="231"/>
      <c r="I141" s="169" t="s">
        <v>284</v>
      </c>
      <c r="J141" s="231"/>
      <c r="K141" s="170" t="str">
        <f>VLOOKUP(D141,[2]T3!$B$2:$D$328,3,FALSE)</f>
        <v>310895348</v>
      </c>
      <c r="L141" s="249">
        <v>1603205185623</v>
      </c>
      <c r="M141" s="249" t="s">
        <v>1043</v>
      </c>
      <c r="N141" s="263" t="str">
        <f>VLOOKUP(D141,'[5]Bao cao So GDDT'!$D$14:$S$282,11,FALSE)</f>
        <v>Chuyên viên</v>
      </c>
      <c r="O141" s="393" t="s">
        <v>39</v>
      </c>
      <c r="P141" s="170" t="s">
        <v>692</v>
      </c>
      <c r="Q141" s="170">
        <v>2</v>
      </c>
      <c r="R141" s="177">
        <v>3.33</v>
      </c>
      <c r="S141" s="176">
        <f t="shared" si="117"/>
        <v>0</v>
      </c>
      <c r="T141" s="169"/>
      <c r="U141" s="176">
        <f t="shared" si="100"/>
        <v>0</v>
      </c>
      <c r="V141" s="175">
        <f>R141*T141*$D$8/100</f>
        <v>0</v>
      </c>
      <c r="W141" s="170"/>
      <c r="X141" s="179">
        <f>VLOOKUP(D141,PCTN!D142:W409,20,FALSE)</f>
        <v>0</v>
      </c>
      <c r="Y141" s="216">
        <f t="shared" si="101"/>
        <v>0</v>
      </c>
      <c r="Z141" s="216">
        <f t="shared" si="102"/>
        <v>3.33</v>
      </c>
      <c r="AA141" s="180">
        <f t="shared" si="103"/>
        <v>5994000</v>
      </c>
      <c r="AB141" s="180"/>
      <c r="AC141" s="180">
        <f t="shared" si="104"/>
        <v>0</v>
      </c>
      <c r="AD141" s="180">
        <f t="shared" si="120"/>
        <v>0</v>
      </c>
      <c r="AE141" s="180">
        <f t="shared" si="105"/>
        <v>5994000</v>
      </c>
      <c r="AF141" s="178">
        <f t="shared" si="106"/>
        <v>479520</v>
      </c>
      <c r="AG141" s="178">
        <f t="shared" si="107"/>
        <v>89910</v>
      </c>
      <c r="AH141" s="178">
        <f t="shared" si="108"/>
        <v>59940</v>
      </c>
      <c r="AI141" s="178"/>
      <c r="AJ141" s="178">
        <f t="shared" si="109"/>
        <v>629370</v>
      </c>
      <c r="AK141" s="192"/>
      <c r="AL141" s="182">
        <f t="shared" si="118"/>
        <v>0</v>
      </c>
      <c r="AM141" s="182"/>
      <c r="AN141" s="182"/>
      <c r="AO141" s="183">
        <f t="shared" si="121"/>
        <v>3.33</v>
      </c>
      <c r="AP141" s="179"/>
      <c r="AQ141" s="194">
        <f t="shared" si="110"/>
        <v>0</v>
      </c>
      <c r="AR141" s="178">
        <f t="shared" si="111"/>
        <v>0</v>
      </c>
      <c r="AS141" s="178"/>
      <c r="AT141" s="178">
        <f t="shared" si="112"/>
        <v>5364630</v>
      </c>
      <c r="AU141" s="469">
        <f t="shared" si="115"/>
        <v>123</v>
      </c>
      <c r="AV141" s="195"/>
      <c r="AW141" s="239" t="s">
        <v>769</v>
      </c>
      <c r="AX141" s="29"/>
      <c r="AY141" s="29"/>
      <c r="AZ141" s="29"/>
      <c r="BA141" s="29"/>
      <c r="BB141" s="29"/>
      <c r="BC141" s="29"/>
      <c r="BD141" s="29"/>
      <c r="BE141" s="29"/>
      <c r="BF141" s="29"/>
      <c r="BG141" s="29"/>
    </row>
    <row r="142" spans="1:59" s="228" customFormat="1" ht="33" customHeight="1" x14ac:dyDescent="0.25">
      <c r="A142" s="900">
        <f t="shared" si="90"/>
        <v>124</v>
      </c>
      <c r="B142" s="168" t="str">
        <f>VLOOKUP(D142,[1]LuongBC_T01!$B$9:$C$292,2,FALSE)</f>
        <v>0016100006552007</v>
      </c>
      <c r="C142" s="199" t="s">
        <v>936</v>
      </c>
      <c r="D142" s="169" t="s">
        <v>1213</v>
      </c>
      <c r="E142" s="263" t="s">
        <v>1258</v>
      </c>
      <c r="F142" s="169" t="s">
        <v>553</v>
      </c>
      <c r="G142" s="170" t="s">
        <v>25</v>
      </c>
      <c r="H142" s="170"/>
      <c r="I142" s="170" t="s">
        <v>284</v>
      </c>
      <c r="J142" s="169" t="s">
        <v>277</v>
      </c>
      <c r="K142" s="170" t="str">
        <f>VLOOKUP(D142,[2]T3!$B$2:$D$328,3,FALSE)</f>
        <v>025530360</v>
      </c>
      <c r="L142" s="171" t="s">
        <v>130</v>
      </c>
      <c r="M142" s="171" t="s">
        <v>936</v>
      </c>
      <c r="N142" s="263" t="str">
        <f>VLOOKUP(D142,'[5]Bao cao So GDDT'!$D$14:$S$282,11,FALSE)</f>
        <v>Cán sự</v>
      </c>
      <c r="O142" s="391" t="s">
        <v>43</v>
      </c>
      <c r="P142" s="222" t="s">
        <v>698</v>
      </c>
      <c r="Q142" s="172">
        <v>6</v>
      </c>
      <c r="R142" s="174">
        <v>3.34</v>
      </c>
      <c r="S142" s="176">
        <f t="shared" si="117"/>
        <v>0</v>
      </c>
      <c r="T142" s="370"/>
      <c r="U142" s="176">
        <f t="shared" si="100"/>
        <v>0</v>
      </c>
      <c r="V142" s="175">
        <f>R142*T142*$D$8/100</f>
        <v>0</v>
      </c>
      <c r="W142" s="170"/>
      <c r="X142" s="179">
        <f>VLOOKUP(D142,PCTN!D155:W422,20,FALSE)</f>
        <v>0</v>
      </c>
      <c r="Y142" s="216">
        <f t="shared" si="101"/>
        <v>0</v>
      </c>
      <c r="Z142" s="216">
        <f t="shared" si="102"/>
        <v>3.34</v>
      </c>
      <c r="AA142" s="180">
        <f t="shared" si="103"/>
        <v>6012000</v>
      </c>
      <c r="AB142" s="180"/>
      <c r="AC142" s="180">
        <f t="shared" si="104"/>
        <v>0</v>
      </c>
      <c r="AD142" s="180">
        <f t="shared" si="120"/>
        <v>0</v>
      </c>
      <c r="AE142" s="180">
        <f t="shared" si="105"/>
        <v>6012000</v>
      </c>
      <c r="AF142" s="178">
        <f t="shared" si="106"/>
        <v>480960</v>
      </c>
      <c r="AG142" s="178">
        <f t="shared" si="107"/>
        <v>90180</v>
      </c>
      <c r="AH142" s="178">
        <f t="shared" si="108"/>
        <v>60120</v>
      </c>
      <c r="AI142" s="178"/>
      <c r="AJ142" s="178">
        <f t="shared" si="109"/>
        <v>631260</v>
      </c>
      <c r="AK142" s="192"/>
      <c r="AL142" s="182">
        <f t="shared" si="118"/>
        <v>0</v>
      </c>
      <c r="AM142" s="182"/>
      <c r="AN142" s="182"/>
      <c r="AO142" s="193">
        <f t="shared" si="121"/>
        <v>3.34</v>
      </c>
      <c r="AP142" s="179"/>
      <c r="AQ142" s="194">
        <f t="shared" si="110"/>
        <v>0</v>
      </c>
      <c r="AR142" s="178">
        <f t="shared" si="111"/>
        <v>0</v>
      </c>
      <c r="AS142" s="178"/>
      <c r="AT142" s="178">
        <f t="shared" si="112"/>
        <v>5380740</v>
      </c>
      <c r="AU142" s="469">
        <f t="shared" si="115"/>
        <v>124</v>
      </c>
      <c r="AV142" s="195"/>
      <c r="AW142" s="198" t="s">
        <v>701</v>
      </c>
    </row>
    <row r="143" spans="1:59" s="189" customFormat="1" ht="31.5" customHeight="1" x14ac:dyDescent="0.25">
      <c r="A143" s="900">
        <f t="shared" si="90"/>
        <v>125</v>
      </c>
      <c r="B143" s="168" t="str">
        <f>VLOOKUP(D143,[1]LuongBC_T01!$B$9:$C$292,2,FALSE)</f>
        <v>0016100007211001</v>
      </c>
      <c r="C143" s="170" t="s">
        <v>1318</v>
      </c>
      <c r="D143" s="169" t="s">
        <v>1281</v>
      </c>
      <c r="E143" s="263" t="s">
        <v>1371</v>
      </c>
      <c r="F143" s="169"/>
      <c r="G143" s="170"/>
      <c r="H143" s="170"/>
      <c r="I143" s="170"/>
      <c r="J143" s="169"/>
      <c r="K143" s="170" t="str">
        <f>VLOOKUP(D143,[2]T3!$B$2:$D$328,3,FALSE)</f>
        <v>240895328</v>
      </c>
      <c r="L143" s="249"/>
      <c r="M143" s="249"/>
      <c r="N143" s="263" t="str">
        <f>VLOOKUP(D143,'[5]Bao cao So GDDT'!$D$14:$S$282,11,FALSE)</f>
        <v>Giảng viên GDNN LT (hạng III)</v>
      </c>
      <c r="O143" s="390" t="s">
        <v>1438</v>
      </c>
      <c r="P143" s="222"/>
      <c r="Q143" s="172"/>
      <c r="R143" s="174">
        <v>3.66</v>
      </c>
      <c r="S143" s="176">
        <f t="shared" si="117"/>
        <v>0.94320000000000004</v>
      </c>
      <c r="T143" s="370"/>
      <c r="U143" s="176">
        <f t="shared" si="100"/>
        <v>0</v>
      </c>
      <c r="V143" s="175"/>
      <c r="W143" s="170">
        <v>0.45</v>
      </c>
      <c r="X143" s="179">
        <v>0.12</v>
      </c>
      <c r="Y143" s="216">
        <f t="shared" si="101"/>
        <v>0.49320000000000003</v>
      </c>
      <c r="Z143" s="216">
        <f t="shared" si="102"/>
        <v>4.6032000000000002</v>
      </c>
      <c r="AA143" s="180">
        <f t="shared" si="103"/>
        <v>8285760</v>
      </c>
      <c r="AB143" s="180"/>
      <c r="AC143" s="180">
        <f t="shared" si="104"/>
        <v>0</v>
      </c>
      <c r="AD143" s="180">
        <f t="shared" si="120"/>
        <v>0</v>
      </c>
      <c r="AE143" s="180">
        <f t="shared" si="105"/>
        <v>8285760</v>
      </c>
      <c r="AF143" s="178">
        <f t="shared" si="106"/>
        <v>662860.80000000005</v>
      </c>
      <c r="AG143" s="178">
        <f t="shared" si="107"/>
        <v>124286.39999999999</v>
      </c>
      <c r="AH143" s="178">
        <f t="shared" si="108"/>
        <v>82857.600000000006</v>
      </c>
      <c r="AI143" s="178"/>
      <c r="AJ143" s="178">
        <f t="shared" si="109"/>
        <v>870004.8</v>
      </c>
      <c r="AK143" s="192"/>
      <c r="AL143" s="182">
        <f t="shared" si="118"/>
        <v>0</v>
      </c>
      <c r="AM143" s="182"/>
      <c r="AN143" s="182"/>
      <c r="AO143" s="183">
        <f t="shared" si="121"/>
        <v>4.1100000000000003</v>
      </c>
      <c r="AP143" s="179">
        <v>0.25</v>
      </c>
      <c r="AQ143" s="194">
        <f t="shared" si="110"/>
        <v>1.0275000000000001</v>
      </c>
      <c r="AR143" s="178">
        <f t="shared" si="111"/>
        <v>1849500</v>
      </c>
      <c r="AS143" s="178"/>
      <c r="AT143" s="178">
        <f t="shared" si="112"/>
        <v>9265255</v>
      </c>
      <c r="AU143" s="469">
        <f t="shared" si="115"/>
        <v>125</v>
      </c>
      <c r="AV143" s="244"/>
      <c r="AW143" s="242"/>
      <c r="AY143" s="671"/>
    </row>
    <row r="144" spans="1:59" s="189" customFormat="1" ht="37.5" customHeight="1" x14ac:dyDescent="0.25">
      <c r="A144" s="900">
        <f t="shared" si="90"/>
        <v>126</v>
      </c>
      <c r="B144" s="168" t="s">
        <v>1505</v>
      </c>
      <c r="C144" s="872" t="s">
        <v>1570</v>
      </c>
      <c r="D144" s="169" t="s">
        <v>1440</v>
      </c>
      <c r="E144" s="263" t="s">
        <v>1441</v>
      </c>
      <c r="F144" s="220"/>
      <c r="G144" s="220"/>
      <c r="H144" s="220"/>
      <c r="I144" s="220"/>
      <c r="J144" s="220"/>
      <c r="K144" s="168"/>
      <c r="L144" s="491" t="s">
        <v>1444</v>
      </c>
      <c r="M144" s="170"/>
      <c r="N144" s="263" t="str">
        <f>VLOOKUP(D144,'[5]Bao cao So GDDT'!$D$14:$S$282,11,FALSE)</f>
        <v>Giảng viên GDNN LT (hạng III)</v>
      </c>
      <c r="O144" s="663" t="s">
        <v>1438</v>
      </c>
      <c r="P144" s="251"/>
      <c r="Q144" s="251"/>
      <c r="R144" s="170">
        <v>2.67</v>
      </c>
      <c r="S144" s="176"/>
      <c r="T144" s="220"/>
      <c r="U144" s="176">
        <f>ROUND(R144*T144/100,4)</f>
        <v>0</v>
      </c>
      <c r="V144" s="175"/>
      <c r="W144" s="170"/>
      <c r="X144" s="179">
        <f>VLOOKUP(D144,PCTN!D90:W357,20,FALSE)</f>
        <v>0</v>
      </c>
      <c r="Y144" s="216">
        <f>ROUND((R144+U144+W144)*X144,4)</f>
        <v>0</v>
      </c>
      <c r="Z144" s="216">
        <f>R144+U144+W144+Y144</f>
        <v>2.67</v>
      </c>
      <c r="AA144" s="180">
        <f>ROUND(Z144*$D$8,0)</f>
        <v>4806000</v>
      </c>
      <c r="AB144" s="180"/>
      <c r="AC144" s="180">
        <f>AA144/24*AB144</f>
        <v>0</v>
      </c>
      <c r="AD144" s="180">
        <f t="shared" ref="AD144:AD151" si="122">AA144/24*AB144*75%</f>
        <v>0</v>
      </c>
      <c r="AE144" s="180">
        <f>ROUND(AA144-AC144+AD144,0)</f>
        <v>4806000</v>
      </c>
      <c r="AF144" s="178">
        <f>AA144*8%</f>
        <v>384480</v>
      </c>
      <c r="AG144" s="178">
        <f>AA144*1.5%</f>
        <v>72090</v>
      </c>
      <c r="AH144" s="178">
        <f>AA144*1%</f>
        <v>48060</v>
      </c>
      <c r="AI144" s="178"/>
      <c r="AJ144" s="178">
        <f>SUM(AF144:AI144)</f>
        <v>504630</v>
      </c>
      <c r="AK144" s="192"/>
      <c r="AL144" s="182">
        <f t="shared" si="118"/>
        <v>0</v>
      </c>
      <c r="AM144" s="182"/>
      <c r="AN144" s="182"/>
      <c r="AO144" s="183">
        <f>R144+U144+W144</f>
        <v>2.67</v>
      </c>
      <c r="AP144" s="641">
        <v>0.25</v>
      </c>
      <c r="AQ144" s="185">
        <f>ROUND(AO144*AP144,4)</f>
        <v>0.66749999999999998</v>
      </c>
      <c r="AR144" s="178">
        <f>ROUND(AQ144*$D$8,0)</f>
        <v>1201500</v>
      </c>
      <c r="AS144" s="178"/>
      <c r="AT144" s="178">
        <f>ROUND(AE144-AJ144+AL144+AN144+AR144,0)</f>
        <v>5502870</v>
      </c>
      <c r="AU144" s="539">
        <f>A144</f>
        <v>126</v>
      </c>
      <c r="AV144" s="195"/>
      <c r="AW144" s="660"/>
      <c r="AX144" s="29"/>
      <c r="AY144" s="892">
        <f>3.66*1800000</f>
        <v>6588000</v>
      </c>
      <c r="AZ144" s="29"/>
      <c r="BA144" s="29"/>
      <c r="BB144" s="29"/>
      <c r="BC144" s="29"/>
      <c r="BD144" s="29"/>
      <c r="BE144" s="29"/>
      <c r="BF144" s="29"/>
      <c r="BG144" s="29"/>
    </row>
    <row r="145" spans="1:59" s="189" customFormat="1" ht="35.25" customHeight="1" x14ac:dyDescent="0.25">
      <c r="A145" s="900">
        <f t="shared" si="90"/>
        <v>127</v>
      </c>
      <c r="B145" s="168" t="s">
        <v>1499</v>
      </c>
      <c r="C145" s="661" t="s">
        <v>1569</v>
      </c>
      <c r="D145" s="169" t="s">
        <v>1486</v>
      </c>
      <c r="E145" s="263" t="s">
        <v>1487</v>
      </c>
      <c r="F145" s="220"/>
      <c r="G145" s="220"/>
      <c r="H145" s="220"/>
      <c r="I145" s="220"/>
      <c r="J145" s="220"/>
      <c r="K145" s="168">
        <v>273529511</v>
      </c>
      <c r="L145" s="491" t="s">
        <v>1490</v>
      </c>
      <c r="M145" s="170"/>
      <c r="N145" s="263" t="str">
        <f>VLOOKUP(D145,'[5]Bao cao So GDDT'!$D$14:$S$282,11,FALSE)</f>
        <v>Giảng viên GDNN LT (hạng III)</v>
      </c>
      <c r="O145" s="663" t="s">
        <v>1438</v>
      </c>
      <c r="P145" s="251"/>
      <c r="Q145" s="251"/>
      <c r="R145" s="170">
        <v>2.34</v>
      </c>
      <c r="S145" s="176"/>
      <c r="T145" s="220"/>
      <c r="U145" s="176">
        <f>ROUND(R145*T145/100,4)</f>
        <v>0</v>
      </c>
      <c r="V145" s="175"/>
      <c r="W145" s="170"/>
      <c r="X145" s="179">
        <v>0</v>
      </c>
      <c r="Y145" s="216">
        <f>ROUND((R145+U145+W145)*X145,4)</f>
        <v>0</v>
      </c>
      <c r="Z145" s="216">
        <f>R145+U145+W145+Y145</f>
        <v>2.34</v>
      </c>
      <c r="AA145" s="180">
        <f>ROUND(Z145*$D$8,0)</f>
        <v>4212000</v>
      </c>
      <c r="AB145" s="180"/>
      <c r="AC145" s="180">
        <f>AA145/24*AB145</f>
        <v>0</v>
      </c>
      <c r="AD145" s="180">
        <f t="shared" si="122"/>
        <v>0</v>
      </c>
      <c r="AE145" s="180">
        <f>ROUND(AA145-AC145+AD145,0)</f>
        <v>4212000</v>
      </c>
      <c r="AF145" s="178">
        <f>AA145*8%</f>
        <v>336960</v>
      </c>
      <c r="AG145" s="178">
        <f>AA145*1.5%</f>
        <v>63180</v>
      </c>
      <c r="AH145" s="178">
        <f>AA145*1%</f>
        <v>42120</v>
      </c>
      <c r="AI145" s="178"/>
      <c r="AJ145" s="178">
        <f>SUM(AF145:AI145)</f>
        <v>442260</v>
      </c>
      <c r="AK145" s="192"/>
      <c r="AL145" s="182">
        <f t="shared" si="118"/>
        <v>0</v>
      </c>
      <c r="AM145" s="182"/>
      <c r="AN145" s="182"/>
      <c r="AO145" s="183">
        <f>R145+U145+W145</f>
        <v>2.34</v>
      </c>
      <c r="AP145" s="641">
        <v>0.25</v>
      </c>
      <c r="AQ145" s="185">
        <f>ROUND(AO145*AP145,4)</f>
        <v>0.58499999999999996</v>
      </c>
      <c r="AR145" s="178">
        <f>ROUND(AQ145*$D$8,0)</f>
        <v>1053000</v>
      </c>
      <c r="AS145" s="178"/>
      <c r="AT145" s="178">
        <f>ROUND(AE145-AJ145+AL145+AN145+AR145,0)</f>
        <v>4822740</v>
      </c>
      <c r="AU145" s="539">
        <f>A145</f>
        <v>127</v>
      </c>
      <c r="AV145" s="195"/>
      <c r="AW145" s="195" t="s">
        <v>1484</v>
      </c>
      <c r="AX145" s="29"/>
      <c r="AY145" s="892">
        <f>AY144*60%</f>
        <v>3952800</v>
      </c>
      <c r="AZ145" s="29"/>
      <c r="BA145" s="29"/>
      <c r="BB145" s="29"/>
      <c r="BC145" s="29"/>
      <c r="BD145" s="29"/>
      <c r="BE145" s="29"/>
      <c r="BF145" s="29"/>
      <c r="BG145" s="29"/>
    </row>
    <row r="146" spans="1:59" s="189" customFormat="1" ht="31.5" customHeight="1" x14ac:dyDescent="0.25">
      <c r="A146" s="900">
        <f t="shared" si="90"/>
        <v>128</v>
      </c>
      <c r="B146" s="168" t="str">
        <f>VLOOKUP(D146,[1]LuongBC_T01!$B$9:$C$292,2,FALSE)</f>
        <v>0016100006603003</v>
      </c>
      <c r="C146" s="199" t="s">
        <v>945</v>
      </c>
      <c r="D146" s="169" t="s">
        <v>817</v>
      </c>
      <c r="E146" s="263" t="s">
        <v>1600</v>
      </c>
      <c r="F146" s="169"/>
      <c r="G146" s="170" t="s">
        <v>25</v>
      </c>
      <c r="H146" s="170"/>
      <c r="I146" s="170"/>
      <c r="J146" s="169"/>
      <c r="K146" s="170" t="str">
        <f>VLOOKUP(D146,[2]T3!$B$2:$D$328,3,FALSE)</f>
        <v>054182000015</v>
      </c>
      <c r="L146" s="249"/>
      <c r="M146" s="249" t="s">
        <v>945</v>
      </c>
      <c r="N146" s="263" t="str">
        <f>VLOOKUP(D146,'[5]Bao cao So GDDT'!$D$14:$S$282,11,FALSE)</f>
        <v>Giảng viên GDNN LT (hạng III)</v>
      </c>
      <c r="O146" s="390" t="s">
        <v>1438</v>
      </c>
      <c r="P146" s="222" t="s">
        <v>692</v>
      </c>
      <c r="Q146" s="172">
        <v>3</v>
      </c>
      <c r="R146" s="174">
        <v>3.66</v>
      </c>
      <c r="S146" s="176">
        <f t="shared" ref="S146:S153" si="123">U146+W146+Y146</f>
        <v>0.83119999999999994</v>
      </c>
      <c r="T146" s="370"/>
      <c r="U146" s="176">
        <f t="shared" si="100"/>
        <v>0</v>
      </c>
      <c r="V146" s="175">
        <f t="shared" ref="V146:V153" si="124">R146*T146*$D$8/100</f>
        <v>0</v>
      </c>
      <c r="W146" s="170">
        <v>0.35</v>
      </c>
      <c r="X146" s="179">
        <v>0.12</v>
      </c>
      <c r="Y146" s="216">
        <f t="shared" si="101"/>
        <v>0.48120000000000002</v>
      </c>
      <c r="Z146" s="216">
        <f t="shared" si="102"/>
        <v>4.4912000000000001</v>
      </c>
      <c r="AA146" s="180">
        <f t="shared" si="103"/>
        <v>8084160</v>
      </c>
      <c r="AB146" s="180"/>
      <c r="AC146" s="180">
        <f t="shared" si="104"/>
        <v>0</v>
      </c>
      <c r="AD146" s="180">
        <f t="shared" si="122"/>
        <v>0</v>
      </c>
      <c r="AE146" s="180">
        <f t="shared" si="105"/>
        <v>8084160</v>
      </c>
      <c r="AF146" s="178">
        <f t="shared" si="106"/>
        <v>646732.80000000005</v>
      </c>
      <c r="AG146" s="178">
        <f t="shared" si="107"/>
        <v>121262.39999999999</v>
      </c>
      <c r="AH146" s="178">
        <f t="shared" si="108"/>
        <v>80841.600000000006</v>
      </c>
      <c r="AI146" s="178"/>
      <c r="AJ146" s="178">
        <f t="shared" si="109"/>
        <v>848836.8</v>
      </c>
      <c r="AK146" s="192"/>
      <c r="AL146" s="182">
        <f t="shared" si="118"/>
        <v>0</v>
      </c>
      <c r="AM146" s="182"/>
      <c r="AN146" s="182"/>
      <c r="AO146" s="193">
        <f t="shared" si="121"/>
        <v>4.01</v>
      </c>
      <c r="AP146" s="246">
        <v>0.25</v>
      </c>
      <c r="AQ146" s="194">
        <f t="shared" si="110"/>
        <v>1.0024999999999999</v>
      </c>
      <c r="AR146" s="178">
        <f t="shared" si="111"/>
        <v>1804500</v>
      </c>
      <c r="AS146" s="178"/>
      <c r="AT146" s="178">
        <f t="shared" si="112"/>
        <v>9039823</v>
      </c>
      <c r="AU146" s="469">
        <f t="shared" si="115"/>
        <v>128</v>
      </c>
      <c r="AV146" s="244"/>
      <c r="AW146" s="242"/>
      <c r="AY146" s="671">
        <f>AY145*12</f>
        <v>47433600</v>
      </c>
    </row>
    <row r="147" spans="1:59" s="189" customFormat="1" ht="31.5" customHeight="1" x14ac:dyDescent="0.25">
      <c r="A147" s="900">
        <f t="shared" si="90"/>
        <v>129</v>
      </c>
      <c r="B147" s="168" t="str">
        <f>VLOOKUP(D147,[1]LuongBC_T01!$B$9:$C$292,2,FALSE)</f>
        <v>0016100006604007</v>
      </c>
      <c r="C147" s="199" t="s">
        <v>946</v>
      </c>
      <c r="D147" s="169" t="s">
        <v>819</v>
      </c>
      <c r="E147" s="263" t="s">
        <v>1471</v>
      </c>
      <c r="F147" s="169"/>
      <c r="G147" s="170" t="s">
        <v>25</v>
      </c>
      <c r="H147" s="170"/>
      <c r="I147" s="170"/>
      <c r="J147" s="169"/>
      <c r="K147" s="170" t="str">
        <f>VLOOKUP(D147,[2]T3!$B$2:$D$328,3,FALSE)</f>
        <v>025791269</v>
      </c>
      <c r="L147" s="249"/>
      <c r="M147" s="249" t="s">
        <v>946</v>
      </c>
      <c r="N147" s="263" t="str">
        <f>VLOOKUP(D147,'[5]Bao cao So GDDT'!$D$14:$S$282,11,FALSE)</f>
        <v>Giảng viên GDNN LT (hạng III)</v>
      </c>
      <c r="O147" s="390" t="s">
        <v>1438</v>
      </c>
      <c r="P147" s="222" t="s">
        <v>692</v>
      </c>
      <c r="Q147" s="172">
        <v>3</v>
      </c>
      <c r="R147" s="174">
        <v>3.66</v>
      </c>
      <c r="S147" s="176">
        <f t="shared" si="123"/>
        <v>0.71920000000000006</v>
      </c>
      <c r="T147" s="370"/>
      <c r="U147" s="176">
        <f t="shared" si="100"/>
        <v>0</v>
      </c>
      <c r="V147" s="175">
        <f t="shared" si="124"/>
        <v>0</v>
      </c>
      <c r="W147" s="170">
        <v>0.25</v>
      </c>
      <c r="X147" s="179">
        <v>0.12</v>
      </c>
      <c r="Y147" s="216">
        <f t="shared" si="101"/>
        <v>0.46920000000000001</v>
      </c>
      <c r="Z147" s="216">
        <f t="shared" si="102"/>
        <v>4.3792</v>
      </c>
      <c r="AA147" s="180">
        <f t="shared" si="103"/>
        <v>7882560</v>
      </c>
      <c r="AB147" s="180"/>
      <c r="AC147" s="180">
        <f t="shared" si="104"/>
        <v>0</v>
      </c>
      <c r="AD147" s="180">
        <f t="shared" si="122"/>
        <v>0</v>
      </c>
      <c r="AE147" s="180">
        <f t="shared" si="105"/>
        <v>7882560</v>
      </c>
      <c r="AF147" s="178">
        <f t="shared" si="106"/>
        <v>630604.80000000005</v>
      </c>
      <c r="AG147" s="178">
        <f t="shared" si="107"/>
        <v>118238.39999999999</v>
      </c>
      <c r="AH147" s="178">
        <f t="shared" si="108"/>
        <v>78825.600000000006</v>
      </c>
      <c r="AI147" s="178"/>
      <c r="AJ147" s="178">
        <f t="shared" si="109"/>
        <v>827668.8</v>
      </c>
      <c r="AK147" s="192"/>
      <c r="AL147" s="182">
        <f t="shared" ref="AL147:AL153" si="125">AK147*$D$8</f>
        <v>0</v>
      </c>
      <c r="AM147" s="182"/>
      <c r="AN147" s="182"/>
      <c r="AO147" s="193">
        <f t="shared" si="121"/>
        <v>3.91</v>
      </c>
      <c r="AP147" s="246">
        <v>0.25</v>
      </c>
      <c r="AQ147" s="194">
        <f t="shared" si="110"/>
        <v>0.97750000000000004</v>
      </c>
      <c r="AR147" s="178">
        <f t="shared" si="111"/>
        <v>1759500</v>
      </c>
      <c r="AS147" s="178"/>
      <c r="AT147" s="178">
        <f t="shared" si="112"/>
        <v>8814391</v>
      </c>
      <c r="AU147" s="469">
        <f t="shared" si="115"/>
        <v>129</v>
      </c>
      <c r="AV147" s="244"/>
      <c r="AW147" s="242"/>
      <c r="AY147" s="671"/>
    </row>
    <row r="148" spans="1:59" s="189" customFormat="1" ht="42" customHeight="1" x14ac:dyDescent="0.25">
      <c r="A148" s="900">
        <f t="shared" si="90"/>
        <v>130</v>
      </c>
      <c r="B148" s="168"/>
      <c r="C148" s="661"/>
      <c r="D148" s="169" t="s">
        <v>1586</v>
      </c>
      <c r="E148" s="263" t="s">
        <v>1259</v>
      </c>
      <c r="F148" s="220"/>
      <c r="G148" s="220"/>
      <c r="H148" s="220"/>
      <c r="I148" s="220"/>
      <c r="J148" s="220"/>
      <c r="K148" s="168"/>
      <c r="L148" s="491"/>
      <c r="M148" s="170"/>
      <c r="N148" s="263" t="s">
        <v>1608</v>
      </c>
      <c r="O148" s="663" t="s">
        <v>1438</v>
      </c>
      <c r="P148" s="251"/>
      <c r="Q148" s="251"/>
      <c r="R148" s="170">
        <v>3.33</v>
      </c>
      <c r="S148" s="176"/>
      <c r="T148" s="220"/>
      <c r="U148" s="176">
        <f>ROUND(R148*T148/100,4)</f>
        <v>0</v>
      </c>
      <c r="V148" s="175"/>
      <c r="W148" s="170"/>
      <c r="X148" s="179">
        <v>0.1</v>
      </c>
      <c r="Y148" s="216">
        <f>ROUND((R148+U148+W148)*X148,4)</f>
        <v>0.33300000000000002</v>
      </c>
      <c r="Z148" s="216">
        <f>R148+U148+W148+Y148</f>
        <v>3.6630000000000003</v>
      </c>
      <c r="AA148" s="180">
        <f>ROUND(Z148*$D$8,0)</f>
        <v>6593400</v>
      </c>
      <c r="AB148" s="180"/>
      <c r="AC148" s="180">
        <f>AA148/24*AB148</f>
        <v>0</v>
      </c>
      <c r="AD148" s="180">
        <v>0</v>
      </c>
      <c r="AE148" s="180">
        <f>ROUND(AA148-AC148+AD148,0)</f>
        <v>6593400</v>
      </c>
      <c r="AF148" s="178">
        <f>AA148*8%</f>
        <v>527472</v>
      </c>
      <c r="AG148" s="178">
        <f>AA148*1.5%</f>
        <v>98901</v>
      </c>
      <c r="AH148" s="178">
        <f>AA148*1%</f>
        <v>65934</v>
      </c>
      <c r="AI148" s="178"/>
      <c r="AJ148" s="178">
        <f>SUM(AF148:AI148)</f>
        <v>692307</v>
      </c>
      <c r="AK148" s="192"/>
      <c r="AL148" s="182">
        <f t="shared" si="125"/>
        <v>0</v>
      </c>
      <c r="AM148" s="182"/>
      <c r="AN148" s="182"/>
      <c r="AO148" s="183">
        <f>R148+U148+W148</f>
        <v>3.33</v>
      </c>
      <c r="AP148" s="246">
        <v>0.25</v>
      </c>
      <c r="AQ148" s="185">
        <f>ROUND(AO148*AP148,4)</f>
        <v>0.83250000000000002</v>
      </c>
      <c r="AR148" s="178">
        <f>ROUND(AQ148*$D$8,0)</f>
        <v>1498500</v>
      </c>
      <c r="AS148" s="178"/>
      <c r="AT148" s="178">
        <f>ROUND(AE148-AJ148+AL148+AN148+AR148,0)</f>
        <v>7399593</v>
      </c>
      <c r="AU148" s="469">
        <f>A148</f>
        <v>130</v>
      </c>
      <c r="AV148" s="195"/>
      <c r="AW148" s="724" t="s">
        <v>1587</v>
      </c>
      <c r="AY148" s="671"/>
    </row>
    <row r="149" spans="1:59" s="189" customFormat="1" ht="40.5" customHeight="1" x14ac:dyDescent="0.25">
      <c r="A149" s="900">
        <f t="shared" si="90"/>
        <v>131</v>
      </c>
      <c r="B149" s="168"/>
      <c r="C149" s="992"/>
      <c r="D149" s="169" t="s">
        <v>1590</v>
      </c>
      <c r="E149" s="263" t="s">
        <v>1259</v>
      </c>
      <c r="F149" s="169"/>
      <c r="G149" s="170"/>
      <c r="H149" s="170"/>
      <c r="I149" s="170"/>
      <c r="J149" s="169"/>
      <c r="K149" s="170"/>
      <c r="L149" s="249"/>
      <c r="M149" s="249"/>
      <c r="N149" s="263" t="s">
        <v>1608</v>
      </c>
      <c r="O149" s="390" t="s">
        <v>1438</v>
      </c>
      <c r="P149" s="222"/>
      <c r="Q149" s="172"/>
      <c r="R149" s="174">
        <v>3.66</v>
      </c>
      <c r="S149" s="176"/>
      <c r="T149" s="370"/>
      <c r="U149" s="176">
        <f t="shared" si="100"/>
        <v>0</v>
      </c>
      <c r="V149" s="175"/>
      <c r="W149" s="170"/>
      <c r="X149" s="179">
        <v>0.11</v>
      </c>
      <c r="Y149" s="216">
        <f t="shared" si="101"/>
        <v>0.40260000000000001</v>
      </c>
      <c r="Z149" s="216">
        <f t="shared" si="102"/>
        <v>4.0625999999999998</v>
      </c>
      <c r="AA149" s="180">
        <f t="shared" si="103"/>
        <v>7312680</v>
      </c>
      <c r="AB149" s="180"/>
      <c r="AC149" s="180">
        <f t="shared" si="104"/>
        <v>0</v>
      </c>
      <c r="AD149" s="180">
        <f t="shared" si="122"/>
        <v>0</v>
      </c>
      <c r="AE149" s="180">
        <f t="shared" si="105"/>
        <v>7312680</v>
      </c>
      <c r="AF149" s="178">
        <f t="shared" si="106"/>
        <v>585014.4</v>
      </c>
      <c r="AG149" s="178">
        <f t="shared" si="107"/>
        <v>109690.2</v>
      </c>
      <c r="AH149" s="178">
        <f t="shared" si="108"/>
        <v>73126.8</v>
      </c>
      <c r="AI149" s="178"/>
      <c r="AJ149" s="178">
        <f t="shared" si="109"/>
        <v>767831.4</v>
      </c>
      <c r="AK149" s="192"/>
      <c r="AL149" s="182">
        <f t="shared" si="125"/>
        <v>0</v>
      </c>
      <c r="AM149" s="182"/>
      <c r="AN149" s="182"/>
      <c r="AO149" s="193">
        <f t="shared" si="121"/>
        <v>3.66</v>
      </c>
      <c r="AP149" s="246">
        <v>0.25</v>
      </c>
      <c r="AQ149" s="194">
        <f t="shared" si="110"/>
        <v>0.91500000000000004</v>
      </c>
      <c r="AR149" s="178">
        <f t="shared" si="111"/>
        <v>1647000</v>
      </c>
      <c r="AS149" s="178"/>
      <c r="AT149" s="178">
        <f t="shared" si="112"/>
        <v>8191849</v>
      </c>
      <c r="AU149" s="469">
        <f t="shared" si="115"/>
        <v>131</v>
      </c>
      <c r="AV149" s="244"/>
      <c r="AW149" s="223"/>
      <c r="AY149" s="671"/>
    </row>
    <row r="150" spans="1:59" s="189" customFormat="1" ht="40.5" customHeight="1" x14ac:dyDescent="0.25">
      <c r="A150" s="1012">
        <f t="shared" si="90"/>
        <v>132</v>
      </c>
      <c r="B150" s="1013"/>
      <c r="C150" s="1014"/>
      <c r="D150" s="1015" t="s">
        <v>1644</v>
      </c>
      <c r="E150" s="1016" t="s">
        <v>1259</v>
      </c>
      <c r="F150" s="1017"/>
      <c r="G150" s="1018"/>
      <c r="H150" s="1018"/>
      <c r="I150" s="1018"/>
      <c r="J150" s="1017"/>
      <c r="K150" s="1018"/>
      <c r="L150" s="1019"/>
      <c r="M150" s="1019"/>
      <c r="N150" s="1016"/>
      <c r="O150" s="1020" t="s">
        <v>807</v>
      </c>
      <c r="P150" s="1021"/>
      <c r="Q150" s="1022"/>
      <c r="R150" s="1023">
        <v>3.66</v>
      </c>
      <c r="S150" s="1024"/>
      <c r="T150" s="1025"/>
      <c r="U150" s="1024">
        <f t="shared" si="100"/>
        <v>0</v>
      </c>
      <c r="V150" s="1026"/>
      <c r="W150" s="1018"/>
      <c r="X150" s="1027">
        <v>0.11</v>
      </c>
      <c r="Y150" s="1003">
        <f t="shared" si="101"/>
        <v>0.40260000000000001</v>
      </c>
      <c r="Z150" s="1003">
        <f t="shared" si="102"/>
        <v>4.0625999999999998</v>
      </c>
      <c r="AA150" s="1004">
        <f t="shared" si="103"/>
        <v>7312680</v>
      </c>
      <c r="AB150" s="1004"/>
      <c r="AC150" s="1004">
        <f t="shared" si="104"/>
        <v>0</v>
      </c>
      <c r="AD150" s="1004">
        <f t="shared" si="122"/>
        <v>0</v>
      </c>
      <c r="AE150" s="1004">
        <f t="shared" si="105"/>
        <v>7312680</v>
      </c>
      <c r="AF150" s="1005">
        <f t="shared" si="106"/>
        <v>585014.4</v>
      </c>
      <c r="AG150" s="1005">
        <f t="shared" si="107"/>
        <v>109690.2</v>
      </c>
      <c r="AH150" s="1005">
        <f t="shared" si="108"/>
        <v>73126.8</v>
      </c>
      <c r="AI150" s="1005"/>
      <c r="AJ150" s="1005">
        <f t="shared" si="109"/>
        <v>767831.4</v>
      </c>
      <c r="AK150" s="1006"/>
      <c r="AL150" s="1007"/>
      <c r="AM150" s="1007"/>
      <c r="AN150" s="1007"/>
      <c r="AO150" s="1008">
        <f t="shared" si="121"/>
        <v>3.66</v>
      </c>
      <c r="AP150" s="1009">
        <v>0.25</v>
      </c>
      <c r="AQ150" s="1010">
        <f t="shared" si="110"/>
        <v>0.91500000000000004</v>
      </c>
      <c r="AR150" s="1005">
        <f t="shared" si="111"/>
        <v>1647000</v>
      </c>
      <c r="AS150" s="1005"/>
      <c r="AT150" s="1005">
        <f t="shared" si="112"/>
        <v>8191849</v>
      </c>
      <c r="AU150" s="469">
        <f t="shared" si="115"/>
        <v>132</v>
      </c>
      <c r="AV150" s="1011" t="s">
        <v>1645</v>
      </c>
      <c r="AW150" s="223"/>
      <c r="AY150" s="671"/>
    </row>
    <row r="151" spans="1:59" s="189" customFormat="1" ht="31.5" customHeight="1" x14ac:dyDescent="0.25">
      <c r="A151" s="900">
        <f t="shared" si="90"/>
        <v>133</v>
      </c>
      <c r="B151" s="168" t="str">
        <f>VLOOKUP(D151,[1]LuongBC_T01!$B$9:$C$292,2,FALSE)</f>
        <v>0016100006606002</v>
      </c>
      <c r="C151" s="387" t="s">
        <v>900</v>
      </c>
      <c r="D151" s="169" t="s">
        <v>808</v>
      </c>
      <c r="E151" s="263" t="s">
        <v>1259</v>
      </c>
      <c r="F151" s="220"/>
      <c r="G151" s="220" t="s">
        <v>25</v>
      </c>
      <c r="H151" s="220"/>
      <c r="I151" s="220"/>
      <c r="J151" s="220"/>
      <c r="K151" s="170" t="str">
        <f>VLOOKUP(D151,[2]T3!$B$2:$D$328,3,FALSE)</f>
        <v>285085296</v>
      </c>
      <c r="L151" s="220"/>
      <c r="M151" s="170" t="s">
        <v>900</v>
      </c>
      <c r="N151" s="263" t="str">
        <f>VLOOKUP(D151,'[5]Bao cao So GDDT'!$D$14:$S$282,11,FALSE)</f>
        <v>Giảng viên GDNN LT (hạng III)</v>
      </c>
      <c r="O151" s="390" t="s">
        <v>1438</v>
      </c>
      <c r="P151" s="170" t="s">
        <v>692</v>
      </c>
      <c r="Q151" s="170">
        <v>2</v>
      </c>
      <c r="R151" s="177">
        <v>3.33</v>
      </c>
      <c r="S151" s="176">
        <f t="shared" si="123"/>
        <v>0.2331</v>
      </c>
      <c r="T151" s="220"/>
      <c r="U151" s="176">
        <f t="shared" si="100"/>
        <v>0</v>
      </c>
      <c r="V151" s="175">
        <f t="shared" si="124"/>
        <v>0</v>
      </c>
      <c r="W151" s="170"/>
      <c r="X151" s="179">
        <v>7.0000000000000007E-2</v>
      </c>
      <c r="Y151" s="216">
        <f t="shared" si="101"/>
        <v>0.2331</v>
      </c>
      <c r="Z151" s="216">
        <f t="shared" si="102"/>
        <v>3.5630999999999999</v>
      </c>
      <c r="AA151" s="180">
        <f t="shared" si="103"/>
        <v>6413580</v>
      </c>
      <c r="AB151" s="180"/>
      <c r="AC151" s="180">
        <f t="shared" si="104"/>
        <v>0</v>
      </c>
      <c r="AD151" s="180">
        <f t="shared" si="122"/>
        <v>0</v>
      </c>
      <c r="AE151" s="180">
        <f t="shared" si="105"/>
        <v>6413580</v>
      </c>
      <c r="AF151" s="178">
        <f t="shared" si="106"/>
        <v>513086.4</v>
      </c>
      <c r="AG151" s="178">
        <f t="shared" si="107"/>
        <v>96203.7</v>
      </c>
      <c r="AH151" s="178">
        <f t="shared" si="108"/>
        <v>64135.8</v>
      </c>
      <c r="AI151" s="178"/>
      <c r="AJ151" s="178">
        <f t="shared" si="109"/>
        <v>673425.9</v>
      </c>
      <c r="AK151" s="192"/>
      <c r="AL151" s="182">
        <f t="shared" si="125"/>
        <v>0</v>
      </c>
      <c r="AM151" s="182"/>
      <c r="AN151" s="182"/>
      <c r="AO151" s="183">
        <f t="shared" si="121"/>
        <v>3.33</v>
      </c>
      <c r="AP151" s="246">
        <v>0.25</v>
      </c>
      <c r="AQ151" s="185">
        <f t="shared" si="110"/>
        <v>0.83250000000000002</v>
      </c>
      <c r="AR151" s="178">
        <f t="shared" si="111"/>
        <v>1498500</v>
      </c>
      <c r="AS151" s="178"/>
      <c r="AT151" s="178">
        <f t="shared" si="112"/>
        <v>7238654</v>
      </c>
      <c r="AU151" s="469">
        <f t="shared" si="115"/>
        <v>133</v>
      </c>
      <c r="AV151" s="195"/>
      <c r="AW151" s="198"/>
      <c r="AY151" s="927"/>
    </row>
    <row r="152" spans="1:59" s="189" customFormat="1" ht="31.5" customHeight="1" x14ac:dyDescent="0.25">
      <c r="A152" s="900">
        <f t="shared" si="90"/>
        <v>134</v>
      </c>
      <c r="B152" s="168" t="str">
        <f>VLOOKUP(D152,[1]LuongBC_T01!$B$9:$C$292,2,FALSE)</f>
        <v>0016100006637005</v>
      </c>
      <c r="C152" s="199">
        <v>51200000905</v>
      </c>
      <c r="D152" s="169" t="s">
        <v>811</v>
      </c>
      <c r="E152" s="263" t="s">
        <v>1259</v>
      </c>
      <c r="F152" s="220"/>
      <c r="G152" s="220" t="s">
        <v>25</v>
      </c>
      <c r="H152" s="220"/>
      <c r="I152" s="220"/>
      <c r="J152" s="220"/>
      <c r="K152" s="170" t="str">
        <f>VLOOKUP(D152,[2]T3!$B$2:$D$328,3,FALSE)</f>
        <v>024383666</v>
      </c>
      <c r="L152" s="220"/>
      <c r="M152" s="170">
        <v>51200000905</v>
      </c>
      <c r="N152" s="263" t="str">
        <f>VLOOKUP(D152,'[5]Bao cao So GDDT'!$D$14:$S$282,11,FALSE)</f>
        <v>Giảng viên GDNN LT (hạng III)</v>
      </c>
      <c r="O152" s="390" t="s">
        <v>1438</v>
      </c>
      <c r="P152" s="170" t="s">
        <v>692</v>
      </c>
      <c r="Q152" s="170">
        <v>1</v>
      </c>
      <c r="R152" s="177">
        <v>3</v>
      </c>
      <c r="S152" s="176">
        <f t="shared" si="123"/>
        <v>0.21</v>
      </c>
      <c r="T152" s="220"/>
      <c r="U152" s="176">
        <f t="shared" si="100"/>
        <v>0</v>
      </c>
      <c r="V152" s="175">
        <f t="shared" si="124"/>
        <v>0</v>
      </c>
      <c r="W152" s="170"/>
      <c r="X152" s="179">
        <v>7.0000000000000007E-2</v>
      </c>
      <c r="Y152" s="216">
        <f t="shared" si="101"/>
        <v>0.21</v>
      </c>
      <c r="Z152" s="216">
        <f t="shared" si="102"/>
        <v>3.21</v>
      </c>
      <c r="AA152" s="180">
        <f t="shared" si="103"/>
        <v>5778000</v>
      </c>
      <c r="AB152" s="180"/>
      <c r="AC152" s="180">
        <f t="shared" si="104"/>
        <v>0</v>
      </c>
      <c r="AD152" s="180">
        <v>0</v>
      </c>
      <c r="AE152" s="180">
        <f t="shared" si="105"/>
        <v>5778000</v>
      </c>
      <c r="AF152" s="178">
        <f t="shared" si="106"/>
        <v>462240</v>
      </c>
      <c r="AG152" s="178">
        <f t="shared" si="107"/>
        <v>86670</v>
      </c>
      <c r="AH152" s="178">
        <f t="shared" si="108"/>
        <v>57780</v>
      </c>
      <c r="AI152" s="178"/>
      <c r="AJ152" s="178">
        <f t="shared" si="109"/>
        <v>606690</v>
      </c>
      <c r="AK152" s="192"/>
      <c r="AL152" s="182">
        <f t="shared" si="125"/>
        <v>0</v>
      </c>
      <c r="AM152" s="182"/>
      <c r="AN152" s="182"/>
      <c r="AO152" s="183">
        <f t="shared" si="121"/>
        <v>3</v>
      </c>
      <c r="AP152" s="246">
        <v>0.25</v>
      </c>
      <c r="AQ152" s="185">
        <f t="shared" si="110"/>
        <v>0.75</v>
      </c>
      <c r="AR152" s="178">
        <f t="shared" si="111"/>
        <v>1350000</v>
      </c>
      <c r="AS152" s="178"/>
      <c r="AT152" s="178">
        <f t="shared" si="112"/>
        <v>6521310</v>
      </c>
      <c r="AU152" s="469">
        <f t="shared" si="115"/>
        <v>134</v>
      </c>
      <c r="AV152" s="195"/>
      <c r="AW152" s="198"/>
      <c r="AY152" s="927"/>
    </row>
    <row r="153" spans="1:59" s="189" customFormat="1" ht="31.5" customHeight="1" x14ac:dyDescent="0.25">
      <c r="A153" s="900">
        <f t="shared" si="90"/>
        <v>135</v>
      </c>
      <c r="B153" s="168" t="str">
        <f>VLOOKUP(D153,[1]LuongBC_T01!$B$9:$C$292,2,FALSE)</f>
        <v>0016100006605006</v>
      </c>
      <c r="C153" s="199" t="s">
        <v>947</v>
      </c>
      <c r="D153" s="169" t="s">
        <v>816</v>
      </c>
      <c r="E153" s="263" t="s">
        <v>1259</v>
      </c>
      <c r="F153" s="169"/>
      <c r="G153" s="170" t="s">
        <v>25</v>
      </c>
      <c r="H153" s="170"/>
      <c r="I153" s="170"/>
      <c r="J153" s="169"/>
      <c r="K153" s="170" t="str">
        <f>VLOOKUP(D153,[2]T3!$B$2:$D$328,3,FALSE)</f>
        <v>025180149</v>
      </c>
      <c r="L153" s="249"/>
      <c r="M153" s="249" t="s">
        <v>947</v>
      </c>
      <c r="N153" s="263" t="str">
        <f>VLOOKUP(D153,'[5]Bao cao So GDDT'!$D$14:$S$282,11,FALSE)</f>
        <v>Giảng viên GDNN LT (hạng III)</v>
      </c>
      <c r="O153" s="390" t="s">
        <v>1438</v>
      </c>
      <c r="P153" s="222" t="s">
        <v>692</v>
      </c>
      <c r="Q153" s="172">
        <v>3</v>
      </c>
      <c r="R153" s="174">
        <v>3.66</v>
      </c>
      <c r="S153" s="176">
        <f t="shared" si="123"/>
        <v>0.62219999999999998</v>
      </c>
      <c r="T153" s="370"/>
      <c r="U153" s="176">
        <f t="shared" si="100"/>
        <v>0</v>
      </c>
      <c r="V153" s="175">
        <f t="shared" si="124"/>
        <v>0</v>
      </c>
      <c r="W153" s="170"/>
      <c r="X153" s="179">
        <v>0.17</v>
      </c>
      <c r="Y153" s="216">
        <f t="shared" si="101"/>
        <v>0.62219999999999998</v>
      </c>
      <c r="Z153" s="216">
        <f t="shared" si="102"/>
        <v>4.2822000000000005</v>
      </c>
      <c r="AA153" s="180">
        <f t="shared" si="103"/>
        <v>7707960</v>
      </c>
      <c r="AB153" s="180"/>
      <c r="AC153" s="180">
        <f t="shared" si="104"/>
        <v>0</v>
      </c>
      <c r="AD153" s="180">
        <f t="shared" ref="AD153:AD165" si="126">AA153/24*AB153*75%</f>
        <v>0</v>
      </c>
      <c r="AE153" s="180">
        <f t="shared" si="105"/>
        <v>7707960</v>
      </c>
      <c r="AF153" s="178">
        <f t="shared" si="106"/>
        <v>616636.80000000005</v>
      </c>
      <c r="AG153" s="178">
        <f t="shared" si="107"/>
        <v>115619.4</v>
      </c>
      <c r="AH153" s="178">
        <f t="shared" si="108"/>
        <v>77079.600000000006</v>
      </c>
      <c r="AI153" s="178"/>
      <c r="AJ153" s="178">
        <f t="shared" si="109"/>
        <v>809335.8</v>
      </c>
      <c r="AK153" s="192"/>
      <c r="AL153" s="182">
        <f t="shared" si="125"/>
        <v>0</v>
      </c>
      <c r="AM153" s="182"/>
      <c r="AN153" s="182"/>
      <c r="AO153" s="193">
        <f t="shared" si="121"/>
        <v>3.66</v>
      </c>
      <c r="AP153" s="246">
        <v>0.25</v>
      </c>
      <c r="AQ153" s="194">
        <f t="shared" si="110"/>
        <v>0.91500000000000004</v>
      </c>
      <c r="AR153" s="178">
        <f t="shared" si="111"/>
        <v>1647000</v>
      </c>
      <c r="AS153" s="178"/>
      <c r="AT153" s="178">
        <f t="shared" si="112"/>
        <v>8545624</v>
      </c>
      <c r="AU153" s="469">
        <f t="shared" si="115"/>
        <v>135</v>
      </c>
      <c r="AV153" s="244"/>
      <c r="AW153" s="242"/>
      <c r="AY153" s="927"/>
    </row>
    <row r="154" spans="1:59" s="189" customFormat="1" ht="31.5" customHeight="1" x14ac:dyDescent="0.25">
      <c r="A154" s="900">
        <f t="shared" ref="A154:A217" si="127">A153+1</f>
        <v>136</v>
      </c>
      <c r="B154" s="168" t="str">
        <f>VLOOKUP(D154,[1]LuongBC_T01!$B$9:$C$292,2,FALSE)</f>
        <v>0016100006516003</v>
      </c>
      <c r="C154" s="566" t="s">
        <v>1412</v>
      </c>
      <c r="D154" s="545" t="s">
        <v>1410</v>
      </c>
      <c r="E154" s="263" t="s">
        <v>1259</v>
      </c>
      <c r="F154" s="565"/>
      <c r="G154" s="565"/>
      <c r="H154" s="565"/>
      <c r="I154" s="565"/>
      <c r="J154" s="565"/>
      <c r="K154" s="566"/>
      <c r="L154" s="565"/>
      <c r="M154" s="546"/>
      <c r="N154" s="263" t="str">
        <f>VLOOKUP(D154,'[5]Bao cao So GDDT'!$D$14:$S$282,11,FALSE)</f>
        <v>Giảng viên GDNN LT (hạng III)</v>
      </c>
      <c r="O154" s="263" t="s">
        <v>1438</v>
      </c>
      <c r="P154" s="567"/>
      <c r="Q154" s="567"/>
      <c r="R154" s="552">
        <v>3</v>
      </c>
      <c r="S154" s="547"/>
      <c r="T154" s="565"/>
      <c r="U154" s="547">
        <f t="shared" si="100"/>
        <v>0</v>
      </c>
      <c r="V154" s="548"/>
      <c r="W154" s="546"/>
      <c r="X154" s="179">
        <v>0</v>
      </c>
      <c r="Y154" s="549">
        <f t="shared" si="101"/>
        <v>0</v>
      </c>
      <c r="Z154" s="549">
        <f t="shared" si="102"/>
        <v>3</v>
      </c>
      <c r="AA154" s="550">
        <f t="shared" si="103"/>
        <v>5400000</v>
      </c>
      <c r="AB154" s="550"/>
      <c r="AC154" s="550">
        <f t="shared" si="104"/>
        <v>0</v>
      </c>
      <c r="AD154" s="550">
        <f t="shared" si="126"/>
        <v>0</v>
      </c>
      <c r="AE154" s="550">
        <f t="shared" si="105"/>
        <v>5400000</v>
      </c>
      <c r="AF154" s="551">
        <f t="shared" si="106"/>
        <v>432000</v>
      </c>
      <c r="AG154" s="551">
        <f t="shared" si="107"/>
        <v>81000</v>
      </c>
      <c r="AH154" s="551">
        <f t="shared" si="108"/>
        <v>54000</v>
      </c>
      <c r="AI154" s="551"/>
      <c r="AJ154" s="551">
        <f t="shared" si="109"/>
        <v>567000</v>
      </c>
      <c r="AK154" s="568"/>
      <c r="AL154" s="182">
        <f t="shared" ref="AL154:AL163" si="128">AK154*$D$8</f>
        <v>0</v>
      </c>
      <c r="AM154" s="569"/>
      <c r="AN154" s="569"/>
      <c r="AO154" s="570">
        <f t="shared" si="121"/>
        <v>3</v>
      </c>
      <c r="AP154" s="641">
        <v>0.25</v>
      </c>
      <c r="AQ154" s="185">
        <f t="shared" si="110"/>
        <v>0.75</v>
      </c>
      <c r="AR154" s="178">
        <f t="shared" si="111"/>
        <v>1350000</v>
      </c>
      <c r="AS154" s="551"/>
      <c r="AT154" s="178">
        <f t="shared" si="112"/>
        <v>6183000</v>
      </c>
      <c r="AU154" s="469">
        <f t="shared" si="115"/>
        <v>136</v>
      </c>
      <c r="AV154" s="195"/>
      <c r="AW154" s="486"/>
    </row>
    <row r="155" spans="1:59" s="189" customFormat="1" ht="31.5" customHeight="1" x14ac:dyDescent="0.25">
      <c r="A155" s="900">
        <f t="shared" si="127"/>
        <v>137</v>
      </c>
      <c r="B155" s="168" t="str">
        <f>VLOOKUP(D155,[1]LuongBC_T01!$B$9:$C$292,2,FALSE)</f>
        <v>0016100006638001</v>
      </c>
      <c r="C155" s="873" t="s">
        <v>1313</v>
      </c>
      <c r="D155" s="169" t="s">
        <v>1135</v>
      </c>
      <c r="E155" s="263" t="s">
        <v>1259</v>
      </c>
      <c r="F155" s="220"/>
      <c r="G155" s="220"/>
      <c r="H155" s="220"/>
      <c r="I155" s="220"/>
      <c r="J155" s="220"/>
      <c r="K155" s="170" t="str">
        <f>VLOOKUP(D155,[2]T3!$B$2:$D$328,3,FALSE)</f>
        <v>385523828</v>
      </c>
      <c r="L155" s="220"/>
      <c r="M155" s="170"/>
      <c r="N155" s="835" t="str">
        <f>VLOOKUP(D155,'[5]Bao cao So GDDT'!$D$14:$S$282,11,FALSE)</f>
        <v>Giảng viên GDNN LT (hạng III)</v>
      </c>
      <c r="O155" s="390" t="s">
        <v>1438</v>
      </c>
      <c r="P155" s="251"/>
      <c r="Q155" s="251">
        <v>2</v>
      </c>
      <c r="R155" s="177">
        <v>3</v>
      </c>
      <c r="S155" s="176"/>
      <c r="T155" s="220"/>
      <c r="U155" s="176">
        <f t="shared" si="100"/>
        <v>0</v>
      </c>
      <c r="V155" s="175"/>
      <c r="W155" s="170"/>
      <c r="X155" s="179">
        <f>VLOOKUP(D155,PCTN!D257:W524,20,FALSE)</f>
        <v>0</v>
      </c>
      <c r="Y155" s="216">
        <f t="shared" si="101"/>
        <v>0</v>
      </c>
      <c r="Z155" s="216">
        <f t="shared" si="102"/>
        <v>3</v>
      </c>
      <c r="AA155" s="180">
        <f t="shared" si="103"/>
        <v>5400000</v>
      </c>
      <c r="AB155" s="180"/>
      <c r="AC155" s="180">
        <f t="shared" si="104"/>
        <v>0</v>
      </c>
      <c r="AD155" s="180">
        <f t="shared" si="126"/>
        <v>0</v>
      </c>
      <c r="AE155" s="180">
        <f t="shared" si="105"/>
        <v>5400000</v>
      </c>
      <c r="AF155" s="178">
        <f t="shared" si="106"/>
        <v>432000</v>
      </c>
      <c r="AG155" s="178">
        <f t="shared" si="107"/>
        <v>81000</v>
      </c>
      <c r="AH155" s="178">
        <f t="shared" si="108"/>
        <v>54000</v>
      </c>
      <c r="AI155" s="178"/>
      <c r="AJ155" s="178">
        <f t="shared" si="109"/>
        <v>567000</v>
      </c>
      <c r="AK155" s="568"/>
      <c r="AL155" s="182">
        <f t="shared" si="128"/>
        <v>0</v>
      </c>
      <c r="AM155" s="182"/>
      <c r="AN155" s="182"/>
      <c r="AO155" s="183">
        <f t="shared" si="121"/>
        <v>3</v>
      </c>
      <c r="AP155" s="246">
        <v>0.25</v>
      </c>
      <c r="AQ155" s="185">
        <f t="shared" si="110"/>
        <v>0.75</v>
      </c>
      <c r="AR155" s="178">
        <f t="shared" si="111"/>
        <v>1350000</v>
      </c>
      <c r="AS155" s="178"/>
      <c r="AT155" s="178">
        <f t="shared" si="112"/>
        <v>6183000</v>
      </c>
      <c r="AU155" s="469">
        <f t="shared" si="115"/>
        <v>137</v>
      </c>
      <c r="AV155" s="195"/>
      <c r="AW155" s="830" t="s">
        <v>1139</v>
      </c>
      <c r="AX155" s="29"/>
      <c r="AY155" s="29"/>
      <c r="AZ155" s="29"/>
      <c r="BA155" s="29"/>
      <c r="BB155" s="29"/>
      <c r="BC155" s="29"/>
      <c r="BD155" s="29"/>
      <c r="BE155" s="29"/>
      <c r="BF155" s="29"/>
      <c r="BG155" s="29"/>
    </row>
    <row r="156" spans="1:59" s="189" customFormat="1" ht="31.5" customHeight="1" x14ac:dyDescent="0.25">
      <c r="A156" s="900">
        <f t="shared" si="127"/>
        <v>138</v>
      </c>
      <c r="B156" s="168" t="str">
        <f>VLOOKUP(D156,[1]LuongBC_T01!$B$9:$C$292,2,FALSE)</f>
        <v>0016100006602007</v>
      </c>
      <c r="C156" s="873" t="s">
        <v>1312</v>
      </c>
      <c r="D156" s="169" t="s">
        <v>1137</v>
      </c>
      <c r="E156" s="263" t="s">
        <v>1259</v>
      </c>
      <c r="F156" s="220"/>
      <c r="G156" s="220"/>
      <c r="H156" s="220"/>
      <c r="I156" s="220"/>
      <c r="J156" s="220"/>
      <c r="K156" s="170" t="str">
        <f>VLOOKUP(D156,[2]T3!$B$2:$D$328,3,FALSE)</f>
        <v>025522918</v>
      </c>
      <c r="L156" s="220"/>
      <c r="M156" s="170"/>
      <c r="N156" s="835" t="str">
        <f>VLOOKUP(D156,'[5]Bao cao So GDDT'!$D$14:$S$282,11,FALSE)</f>
        <v>Giảng viên GDNN LT (hạng III)</v>
      </c>
      <c r="O156" s="390" t="s">
        <v>1438</v>
      </c>
      <c r="P156" s="251"/>
      <c r="Q156" s="251">
        <v>2</v>
      </c>
      <c r="R156" s="177">
        <v>3</v>
      </c>
      <c r="S156" s="176"/>
      <c r="T156" s="220"/>
      <c r="U156" s="176">
        <f t="shared" ref="U156:U194" si="129">ROUND(R156*T156/100,4)</f>
        <v>0</v>
      </c>
      <c r="V156" s="175"/>
      <c r="W156" s="170"/>
      <c r="X156" s="179">
        <f>VLOOKUP(D156,PCTN!D258:W525,20,FALSE)</f>
        <v>0</v>
      </c>
      <c r="Y156" s="216">
        <f t="shared" ref="Y156:Y194" si="130">ROUND((R156+U156+W156)*X156,4)</f>
        <v>0</v>
      </c>
      <c r="Z156" s="216">
        <f t="shared" ref="Z156:Z194" si="131">R156+U156+W156+Y156</f>
        <v>3</v>
      </c>
      <c r="AA156" s="180">
        <f t="shared" ref="AA156:AA194" si="132">ROUND(Z156*$D$8,0)</f>
        <v>5400000</v>
      </c>
      <c r="AB156" s="180"/>
      <c r="AC156" s="180">
        <f t="shared" ref="AC156:AC194" si="133">AA156/24*AB156</f>
        <v>0</v>
      </c>
      <c r="AD156" s="180">
        <f t="shared" si="126"/>
        <v>0</v>
      </c>
      <c r="AE156" s="180">
        <f t="shared" ref="AE156:AE194" si="134">ROUND(AA156-AC156+AD156,0)</f>
        <v>5400000</v>
      </c>
      <c r="AF156" s="178">
        <f t="shared" ref="AF156:AF183" si="135">AA156*8%</f>
        <v>432000</v>
      </c>
      <c r="AG156" s="178">
        <f t="shared" ref="AG156:AG183" si="136">AA156*1.5%</f>
        <v>81000</v>
      </c>
      <c r="AH156" s="178">
        <f t="shared" ref="AH156:AH183" si="137">AA156*1%</f>
        <v>54000</v>
      </c>
      <c r="AI156" s="178"/>
      <c r="AJ156" s="178">
        <f t="shared" ref="AJ156:AJ194" si="138">SUM(AF156:AI156)</f>
        <v>567000</v>
      </c>
      <c r="AK156" s="568"/>
      <c r="AL156" s="182">
        <f t="shared" si="128"/>
        <v>0</v>
      </c>
      <c r="AM156" s="182"/>
      <c r="AN156" s="182"/>
      <c r="AO156" s="183">
        <f t="shared" si="121"/>
        <v>3</v>
      </c>
      <c r="AP156" s="246">
        <v>0.25</v>
      </c>
      <c r="AQ156" s="185">
        <f t="shared" ref="AQ156:AQ194" si="139">ROUND(AO156*AP156,4)</f>
        <v>0.75</v>
      </c>
      <c r="AR156" s="178">
        <f t="shared" ref="AR156:AR194" si="140">ROUND(AQ156*$D$8,0)</f>
        <v>1350000</v>
      </c>
      <c r="AS156" s="178"/>
      <c r="AT156" s="178">
        <f t="shared" ref="AT156:AT194" si="141">ROUND(AE156-AJ156+AL156+AN156+AR156,0)</f>
        <v>6183000</v>
      </c>
      <c r="AU156" s="469">
        <f t="shared" ref="AU156:AU194" si="142">A156</f>
        <v>138</v>
      </c>
      <c r="AV156" s="195"/>
      <c r="AW156" s="830" t="s">
        <v>1139</v>
      </c>
      <c r="AX156" s="29"/>
      <c r="AY156" s="29"/>
      <c r="AZ156" s="29"/>
      <c r="BA156" s="29"/>
      <c r="BB156" s="29"/>
      <c r="BC156" s="29"/>
      <c r="BD156" s="29"/>
      <c r="BE156" s="29"/>
      <c r="BF156" s="29"/>
      <c r="BG156" s="29"/>
    </row>
    <row r="157" spans="1:59" s="189" customFormat="1" ht="30.75" customHeight="1" x14ac:dyDescent="0.25">
      <c r="A157" s="900">
        <f t="shared" si="127"/>
        <v>139</v>
      </c>
      <c r="B157" s="168" t="str">
        <f>VLOOKUP(D157,[1]LuongBC_T01!$B$9:$C$292,2,FALSE)</f>
        <v>0016100007755001</v>
      </c>
      <c r="C157" s="170" t="s">
        <v>1323</v>
      </c>
      <c r="D157" s="169" t="s">
        <v>1290</v>
      </c>
      <c r="E157" s="263" t="s">
        <v>1300</v>
      </c>
      <c r="F157" s="220"/>
      <c r="G157" s="220"/>
      <c r="H157" s="220"/>
      <c r="I157" s="220"/>
      <c r="J157" s="220"/>
      <c r="K157" s="170" t="str">
        <f>VLOOKUP(D157,[2]T3!$B$2:$D$328,3,FALSE)</f>
        <v>072089003417</v>
      </c>
      <c r="L157" s="220"/>
      <c r="M157" s="170"/>
      <c r="N157" s="263" t="str">
        <f>VLOOKUP(D157,'[5]Bao cao So GDDT'!$D$14:$S$282,11,FALSE)</f>
        <v>Giảng viên GDNN LT (hạng III)</v>
      </c>
      <c r="O157" s="390" t="s">
        <v>1438</v>
      </c>
      <c r="P157" s="251"/>
      <c r="Q157" s="251"/>
      <c r="R157" s="177">
        <v>3</v>
      </c>
      <c r="S157" s="176"/>
      <c r="T157" s="220"/>
      <c r="U157" s="176">
        <f t="shared" ref="U157:U162" si="143">ROUND(R157*T157/100,4)</f>
        <v>0</v>
      </c>
      <c r="V157" s="175"/>
      <c r="W157" s="170"/>
      <c r="X157" s="179">
        <f>VLOOKUP(D157,PCTN!D266:W533,20,FALSE)</f>
        <v>0</v>
      </c>
      <c r="Y157" s="216">
        <f t="shared" si="130"/>
        <v>0</v>
      </c>
      <c r="Z157" s="216">
        <f t="shared" si="131"/>
        <v>3</v>
      </c>
      <c r="AA157" s="180">
        <f t="shared" si="132"/>
        <v>5400000</v>
      </c>
      <c r="AB157" s="180"/>
      <c r="AC157" s="180">
        <f t="shared" si="133"/>
        <v>0</v>
      </c>
      <c r="AD157" s="180">
        <f t="shared" si="126"/>
        <v>0</v>
      </c>
      <c r="AE157" s="180">
        <f t="shared" si="134"/>
        <v>5400000</v>
      </c>
      <c r="AF157" s="178">
        <f t="shared" si="135"/>
        <v>432000</v>
      </c>
      <c r="AG157" s="178">
        <f t="shared" si="136"/>
        <v>81000</v>
      </c>
      <c r="AH157" s="178">
        <f t="shared" si="137"/>
        <v>54000</v>
      </c>
      <c r="AI157" s="178"/>
      <c r="AJ157" s="178">
        <f t="shared" si="138"/>
        <v>567000</v>
      </c>
      <c r="AK157" s="568"/>
      <c r="AL157" s="182">
        <f t="shared" si="128"/>
        <v>0</v>
      </c>
      <c r="AM157" s="182"/>
      <c r="AN157" s="182"/>
      <c r="AO157" s="183">
        <f t="shared" si="121"/>
        <v>3</v>
      </c>
      <c r="AP157" s="246">
        <v>0.25</v>
      </c>
      <c r="AQ157" s="185">
        <f t="shared" si="139"/>
        <v>0.75</v>
      </c>
      <c r="AR157" s="178">
        <f t="shared" si="140"/>
        <v>1350000</v>
      </c>
      <c r="AS157" s="178"/>
      <c r="AT157" s="178">
        <f t="shared" si="141"/>
        <v>6183000</v>
      </c>
      <c r="AU157" s="469">
        <f t="shared" si="142"/>
        <v>139</v>
      </c>
      <c r="AV157" s="195"/>
      <c r="AW157" s="486"/>
      <c r="AX157" s="29"/>
      <c r="AY157" s="29"/>
      <c r="AZ157" s="29"/>
      <c r="BA157" s="29"/>
      <c r="BB157" s="29"/>
      <c r="BC157" s="29"/>
      <c r="BD157" s="29"/>
      <c r="BE157" s="29"/>
      <c r="BF157" s="29"/>
      <c r="BG157" s="29"/>
    </row>
    <row r="158" spans="1:59" s="189" customFormat="1" ht="42.75" customHeight="1" x14ac:dyDescent="0.25">
      <c r="A158" s="900">
        <f t="shared" si="127"/>
        <v>140</v>
      </c>
      <c r="B158" s="168"/>
      <c r="C158" s="168"/>
      <c r="D158" s="169" t="s">
        <v>1594</v>
      </c>
      <c r="E158" s="263" t="s">
        <v>1259</v>
      </c>
      <c r="F158" s="220"/>
      <c r="G158" s="220"/>
      <c r="H158" s="220"/>
      <c r="I158" s="220"/>
      <c r="J158" s="220"/>
      <c r="K158" s="168"/>
      <c r="L158" s="491"/>
      <c r="M158" s="170"/>
      <c r="N158" s="263" t="s">
        <v>1608</v>
      </c>
      <c r="O158" s="263" t="s">
        <v>1438</v>
      </c>
      <c r="P158" s="170"/>
      <c r="Q158" s="170"/>
      <c r="R158" s="177">
        <v>3</v>
      </c>
      <c r="S158" s="176"/>
      <c r="T158" s="220"/>
      <c r="U158" s="176">
        <f t="shared" si="143"/>
        <v>0</v>
      </c>
      <c r="V158" s="175"/>
      <c r="W158" s="170"/>
      <c r="X158" s="179">
        <v>0</v>
      </c>
      <c r="Y158" s="216">
        <f t="shared" ref="Y158:Y162" si="144">ROUND((R158+U158+W158)*X158,4)</f>
        <v>0</v>
      </c>
      <c r="Z158" s="216">
        <f t="shared" ref="Z158:Z162" si="145">R158+U158+W158+Y158</f>
        <v>3</v>
      </c>
      <c r="AA158" s="180">
        <f t="shared" ref="AA158:AA162" si="146">ROUND(Z158*$D$8,0)</f>
        <v>5400000</v>
      </c>
      <c r="AB158" s="180"/>
      <c r="AC158" s="180">
        <f>AA158/24*AB158</f>
        <v>0</v>
      </c>
      <c r="AD158" s="180">
        <v>0</v>
      </c>
      <c r="AE158" s="180">
        <f t="shared" ref="AE158:AE162" si="147">ROUND(AA158-AC158+AD158,0)</f>
        <v>5400000</v>
      </c>
      <c r="AF158" s="178">
        <f t="shared" ref="AF158:AF162" si="148">AA158*8%</f>
        <v>432000</v>
      </c>
      <c r="AG158" s="178">
        <f>AA158*1.5%</f>
        <v>81000</v>
      </c>
      <c r="AH158" s="178">
        <f t="shared" ref="AH158:AH162" si="149">AA158*1%</f>
        <v>54000</v>
      </c>
      <c r="AI158" s="178"/>
      <c r="AJ158" s="178">
        <f t="shared" ref="AJ158:AJ162" si="150">SUM(AF158:AI158)</f>
        <v>567000</v>
      </c>
      <c r="AK158" s="568"/>
      <c r="AL158" s="182">
        <f t="shared" si="128"/>
        <v>0</v>
      </c>
      <c r="AM158" s="182"/>
      <c r="AN158" s="182"/>
      <c r="AO158" s="183">
        <f t="shared" ref="AO158:AO162" si="151">R158+U158+W158</f>
        <v>3</v>
      </c>
      <c r="AP158" s="246">
        <v>0.25</v>
      </c>
      <c r="AQ158" s="185">
        <f t="shared" ref="AQ158:AQ162" si="152">ROUND(AO158*AP158,4)</f>
        <v>0.75</v>
      </c>
      <c r="AR158" s="178">
        <f t="shared" ref="AR158:AR162" si="153">ROUND(AQ158*$D$8,0)</f>
        <v>1350000</v>
      </c>
      <c r="AS158" s="178"/>
      <c r="AT158" s="178">
        <f t="shared" ref="AT158:AT162" si="154">ROUND(AE158-AJ158+AL158+AN158+AR158,0)</f>
        <v>6183000</v>
      </c>
      <c r="AU158" s="469">
        <f t="shared" ref="AU158:AU162" si="155">A158</f>
        <v>140</v>
      </c>
      <c r="AV158" s="195"/>
      <c r="AW158" s="195" t="s">
        <v>1593</v>
      </c>
    </row>
    <row r="159" spans="1:59" s="189" customFormat="1" ht="37.5" customHeight="1" x14ac:dyDescent="0.25">
      <c r="A159" s="900">
        <f t="shared" si="127"/>
        <v>141</v>
      </c>
      <c r="B159" s="168" t="s">
        <v>1513</v>
      </c>
      <c r="C159" s="867" t="s">
        <v>1562</v>
      </c>
      <c r="D159" s="545" t="s">
        <v>1497</v>
      </c>
      <c r="E159" s="564" t="s">
        <v>1259</v>
      </c>
      <c r="F159" s="565"/>
      <c r="G159" s="565"/>
      <c r="H159" s="565"/>
      <c r="I159" s="565"/>
      <c r="J159" s="565"/>
      <c r="K159" s="566"/>
      <c r="L159" s="723" t="s">
        <v>1512</v>
      </c>
      <c r="M159" s="546"/>
      <c r="N159" s="263" t="str">
        <f>VLOOKUP(D159,'[5]Bao cao So GDDT'!$D$14:$S$282,11,FALSE)</f>
        <v>Giảng viên GDNN LT (hạng III)</v>
      </c>
      <c r="O159" s="663" t="s">
        <v>1438</v>
      </c>
      <c r="P159" s="567"/>
      <c r="Q159" s="567"/>
      <c r="R159" s="546">
        <v>2.34</v>
      </c>
      <c r="S159" s="547"/>
      <c r="T159" s="565"/>
      <c r="U159" s="547">
        <f t="shared" si="143"/>
        <v>0</v>
      </c>
      <c r="V159" s="548"/>
      <c r="W159" s="546"/>
      <c r="X159" s="179">
        <v>0</v>
      </c>
      <c r="Y159" s="216">
        <f t="shared" si="144"/>
        <v>0</v>
      </c>
      <c r="Z159" s="216">
        <f t="shared" si="145"/>
        <v>2.34</v>
      </c>
      <c r="AA159" s="180">
        <f t="shared" si="146"/>
        <v>4212000</v>
      </c>
      <c r="AB159" s="550"/>
      <c r="AC159" s="180">
        <f>AA159/24*AB159</f>
        <v>0</v>
      </c>
      <c r="AD159" s="180">
        <f>AA159/24*AB159*75%</f>
        <v>0</v>
      </c>
      <c r="AE159" s="180">
        <f t="shared" si="147"/>
        <v>4212000</v>
      </c>
      <c r="AF159" s="178">
        <f t="shared" si="148"/>
        <v>336960</v>
      </c>
      <c r="AG159" s="178">
        <f>AA159*1.5%</f>
        <v>63180</v>
      </c>
      <c r="AH159" s="178">
        <f t="shared" si="149"/>
        <v>42120</v>
      </c>
      <c r="AI159" s="551"/>
      <c r="AJ159" s="178">
        <f t="shared" si="150"/>
        <v>442260</v>
      </c>
      <c r="AK159" s="568"/>
      <c r="AL159" s="182">
        <f t="shared" si="128"/>
        <v>0</v>
      </c>
      <c r="AM159" s="569"/>
      <c r="AN159" s="569"/>
      <c r="AO159" s="570">
        <f t="shared" si="151"/>
        <v>2.34</v>
      </c>
      <c r="AP159" s="641">
        <v>0.25</v>
      </c>
      <c r="AQ159" s="185">
        <f t="shared" si="152"/>
        <v>0.58499999999999996</v>
      </c>
      <c r="AR159" s="178">
        <f t="shared" si="153"/>
        <v>1053000</v>
      </c>
      <c r="AS159" s="551"/>
      <c r="AT159" s="178">
        <f t="shared" si="154"/>
        <v>4822740</v>
      </c>
      <c r="AU159" s="539">
        <f t="shared" si="155"/>
        <v>141</v>
      </c>
      <c r="AV159" s="724"/>
      <c r="AW159" s="724" t="s">
        <v>1496</v>
      </c>
      <c r="AX159" s="29"/>
      <c r="AY159" s="29"/>
      <c r="AZ159" s="29"/>
      <c r="BA159" s="29"/>
      <c r="BB159" s="29"/>
      <c r="BC159" s="29"/>
      <c r="BD159" s="29"/>
      <c r="BE159" s="29"/>
      <c r="BF159" s="29"/>
      <c r="BG159" s="29"/>
    </row>
    <row r="160" spans="1:59" s="189" customFormat="1" ht="78.75" customHeight="1" x14ac:dyDescent="0.25">
      <c r="A160" s="900">
        <f t="shared" si="127"/>
        <v>142</v>
      </c>
      <c r="B160" s="906" t="s">
        <v>1514</v>
      </c>
      <c r="C160" s="907" t="s">
        <v>1565</v>
      </c>
      <c r="D160" s="908" t="s">
        <v>1498</v>
      </c>
      <c r="E160" s="909" t="s">
        <v>1259</v>
      </c>
      <c r="F160" s="910"/>
      <c r="G160" s="910"/>
      <c r="H160" s="910"/>
      <c r="I160" s="910"/>
      <c r="J160" s="910"/>
      <c r="K160" s="906"/>
      <c r="L160" s="911" t="s">
        <v>1515</v>
      </c>
      <c r="M160" s="912"/>
      <c r="N160" s="909" t="str">
        <f>VLOOKUP(D160,'[5]Bao cao So GDDT'!$D$14:$S$282,11,FALSE)</f>
        <v>Giảng viên GDNN LT (hạng III)</v>
      </c>
      <c r="O160" s="913" t="s">
        <v>1438</v>
      </c>
      <c r="P160" s="914"/>
      <c r="Q160" s="914"/>
      <c r="R160" s="912">
        <v>2.34</v>
      </c>
      <c r="S160" s="915"/>
      <c r="T160" s="910"/>
      <c r="U160" s="915">
        <f t="shared" si="143"/>
        <v>0</v>
      </c>
      <c r="V160" s="916"/>
      <c r="W160" s="912"/>
      <c r="X160" s="917">
        <v>0</v>
      </c>
      <c r="Y160" s="918">
        <f t="shared" si="144"/>
        <v>0</v>
      </c>
      <c r="Z160" s="918">
        <f t="shared" si="145"/>
        <v>2.34</v>
      </c>
      <c r="AA160" s="919">
        <f t="shared" si="146"/>
        <v>4212000</v>
      </c>
      <c r="AB160" s="919">
        <v>0.4</v>
      </c>
      <c r="AC160" s="919">
        <f>AA160*60%</f>
        <v>2527200</v>
      </c>
      <c r="AD160" s="919">
        <v>0</v>
      </c>
      <c r="AE160" s="919">
        <f t="shared" si="147"/>
        <v>1684800</v>
      </c>
      <c r="AF160" s="920">
        <f t="shared" si="148"/>
        <v>336960</v>
      </c>
      <c r="AG160" s="934"/>
      <c r="AH160" s="920">
        <f t="shared" si="149"/>
        <v>42120</v>
      </c>
      <c r="AI160" s="920"/>
      <c r="AJ160" s="920">
        <f t="shared" si="150"/>
        <v>379080</v>
      </c>
      <c r="AK160" s="940"/>
      <c r="AL160" s="921">
        <f t="shared" si="128"/>
        <v>0</v>
      </c>
      <c r="AM160" s="921"/>
      <c r="AN160" s="921"/>
      <c r="AO160" s="922">
        <f t="shared" si="151"/>
        <v>2.34</v>
      </c>
      <c r="AP160" s="923">
        <v>0</v>
      </c>
      <c r="AQ160" s="924">
        <f t="shared" si="152"/>
        <v>0</v>
      </c>
      <c r="AR160" s="920">
        <f t="shared" si="153"/>
        <v>0</v>
      </c>
      <c r="AS160" s="920"/>
      <c r="AT160" s="920">
        <f t="shared" si="154"/>
        <v>1305720</v>
      </c>
      <c r="AU160" s="925">
        <f t="shared" si="155"/>
        <v>142</v>
      </c>
      <c r="AV160" s="926" t="s">
        <v>1609</v>
      </c>
      <c r="AW160" s="724" t="s">
        <v>1612</v>
      </c>
    </row>
    <row r="161" spans="1:59" s="189" customFormat="1" ht="38.25" customHeight="1" x14ac:dyDescent="0.25">
      <c r="A161" s="900">
        <f t="shared" si="127"/>
        <v>143</v>
      </c>
      <c r="B161" s="168" t="s">
        <v>1508</v>
      </c>
      <c r="C161" s="661" t="s">
        <v>1564</v>
      </c>
      <c r="D161" s="169" t="s">
        <v>1455</v>
      </c>
      <c r="E161" s="263" t="s">
        <v>1259</v>
      </c>
      <c r="F161" s="220"/>
      <c r="G161" s="220"/>
      <c r="H161" s="220"/>
      <c r="I161" s="220"/>
      <c r="J161" s="220"/>
      <c r="K161" s="168"/>
      <c r="L161" s="491"/>
      <c r="M161" s="170"/>
      <c r="N161" s="263" t="str">
        <f>VLOOKUP(D161,'[5]Bao cao So GDDT'!$D$14:$S$282,11,FALSE)</f>
        <v>Giảng viên GDNN LT (hạng III)</v>
      </c>
      <c r="O161" s="663" t="s">
        <v>1438</v>
      </c>
      <c r="P161" s="251"/>
      <c r="Q161" s="251"/>
      <c r="R161" s="170">
        <v>2.34</v>
      </c>
      <c r="S161" s="176"/>
      <c r="T161" s="220"/>
      <c r="U161" s="176">
        <f t="shared" si="143"/>
        <v>0</v>
      </c>
      <c r="V161" s="175"/>
      <c r="W161" s="170"/>
      <c r="X161" s="179">
        <f>VLOOKUP(D161,PCTN!D94:W361,20,FALSE)</f>
        <v>0</v>
      </c>
      <c r="Y161" s="216">
        <f t="shared" si="144"/>
        <v>0</v>
      </c>
      <c r="Z161" s="216">
        <f t="shared" si="145"/>
        <v>2.34</v>
      </c>
      <c r="AA161" s="180">
        <f t="shared" si="146"/>
        <v>4212000</v>
      </c>
      <c r="AB161" s="180"/>
      <c r="AC161" s="180">
        <f>AA161/24*AB161</f>
        <v>0</v>
      </c>
      <c r="AD161" s="180">
        <v>0</v>
      </c>
      <c r="AE161" s="180">
        <f t="shared" si="147"/>
        <v>4212000</v>
      </c>
      <c r="AF161" s="178">
        <f t="shared" si="148"/>
        <v>336960</v>
      </c>
      <c r="AG161" s="178">
        <f>AA161*1.5%</f>
        <v>63180</v>
      </c>
      <c r="AH161" s="178">
        <f t="shared" si="149"/>
        <v>42120</v>
      </c>
      <c r="AI161" s="178"/>
      <c r="AJ161" s="178">
        <f t="shared" si="150"/>
        <v>442260</v>
      </c>
      <c r="AK161" s="192"/>
      <c r="AL161" s="182">
        <f t="shared" si="128"/>
        <v>0</v>
      </c>
      <c r="AM161" s="182"/>
      <c r="AN161" s="182"/>
      <c r="AO161" s="183">
        <f t="shared" si="151"/>
        <v>2.34</v>
      </c>
      <c r="AP161" s="246">
        <v>0.25</v>
      </c>
      <c r="AQ161" s="185">
        <f t="shared" si="152"/>
        <v>0.58499999999999996</v>
      </c>
      <c r="AR161" s="178">
        <f t="shared" si="153"/>
        <v>1053000</v>
      </c>
      <c r="AS161" s="178"/>
      <c r="AT161" s="178">
        <f t="shared" si="154"/>
        <v>4822740</v>
      </c>
      <c r="AU161" s="469">
        <f t="shared" si="155"/>
        <v>143</v>
      </c>
      <c r="AV161" s="195"/>
      <c r="AW161" s="660"/>
      <c r="AX161" s="29"/>
      <c r="AY161" s="29"/>
      <c r="AZ161" s="29"/>
      <c r="BA161" s="29"/>
      <c r="BB161" s="29"/>
      <c r="BC161" s="29"/>
      <c r="BD161" s="29"/>
      <c r="BE161" s="29"/>
      <c r="BF161" s="29"/>
      <c r="BG161" s="29"/>
    </row>
    <row r="162" spans="1:59" s="189" customFormat="1" ht="42.75" customHeight="1" x14ac:dyDescent="0.25">
      <c r="A162" s="900">
        <f t="shared" si="127"/>
        <v>144</v>
      </c>
      <c r="B162" s="168"/>
      <c r="C162" s="168"/>
      <c r="D162" s="169" t="s">
        <v>1585</v>
      </c>
      <c r="E162" s="263" t="s">
        <v>1259</v>
      </c>
      <c r="F162" s="220"/>
      <c r="G162" s="220"/>
      <c r="H162" s="220"/>
      <c r="I162" s="220"/>
      <c r="J162" s="220"/>
      <c r="K162" s="168"/>
      <c r="L162" s="491"/>
      <c r="M162" s="170"/>
      <c r="N162" s="263"/>
      <c r="O162" s="263" t="s">
        <v>1438</v>
      </c>
      <c r="P162" s="170"/>
      <c r="Q162" s="170"/>
      <c r="R162" s="170">
        <v>2.34</v>
      </c>
      <c r="S162" s="176"/>
      <c r="T162" s="220"/>
      <c r="U162" s="176">
        <f t="shared" si="143"/>
        <v>0</v>
      </c>
      <c r="V162" s="175"/>
      <c r="W162" s="170"/>
      <c r="X162" s="179">
        <v>0</v>
      </c>
      <c r="Y162" s="216">
        <f t="shared" si="144"/>
        <v>0</v>
      </c>
      <c r="Z162" s="216">
        <f t="shared" si="145"/>
        <v>2.34</v>
      </c>
      <c r="AA162" s="180">
        <f t="shared" si="146"/>
        <v>4212000</v>
      </c>
      <c r="AB162" s="180"/>
      <c r="AC162" s="180">
        <f>AA162/24*AB162</f>
        <v>0</v>
      </c>
      <c r="AD162" s="180">
        <v>0</v>
      </c>
      <c r="AE162" s="180">
        <f t="shared" si="147"/>
        <v>4212000</v>
      </c>
      <c r="AF162" s="178">
        <f t="shared" si="148"/>
        <v>336960</v>
      </c>
      <c r="AG162" s="178">
        <f>AA162*1.5%</f>
        <v>63180</v>
      </c>
      <c r="AH162" s="178">
        <f t="shared" si="149"/>
        <v>42120</v>
      </c>
      <c r="AI162" s="178"/>
      <c r="AJ162" s="178">
        <f t="shared" si="150"/>
        <v>442260</v>
      </c>
      <c r="AK162" s="192"/>
      <c r="AL162" s="182"/>
      <c r="AM162" s="182"/>
      <c r="AN162" s="182"/>
      <c r="AO162" s="183">
        <f t="shared" si="151"/>
        <v>2.34</v>
      </c>
      <c r="AP162" s="246">
        <v>0.25</v>
      </c>
      <c r="AQ162" s="185">
        <f t="shared" si="152"/>
        <v>0.58499999999999996</v>
      </c>
      <c r="AR162" s="178">
        <f t="shared" si="153"/>
        <v>1053000</v>
      </c>
      <c r="AS162" s="178"/>
      <c r="AT162" s="178">
        <f t="shared" si="154"/>
        <v>4822740</v>
      </c>
      <c r="AU162" s="469">
        <f t="shared" si="155"/>
        <v>144</v>
      </c>
      <c r="AV162" s="195"/>
      <c r="AW162" s="724" t="s">
        <v>1587</v>
      </c>
    </row>
    <row r="163" spans="1:59" s="189" customFormat="1" ht="30.75" customHeight="1" x14ac:dyDescent="0.25">
      <c r="A163" s="900">
        <f t="shared" si="127"/>
        <v>145</v>
      </c>
      <c r="B163" s="485" t="str">
        <f>VLOOKUP(D163,[1]LuongBC_T01!$B$9:$C$292,2,FALSE)</f>
        <v>0016100006630008</v>
      </c>
      <c r="C163" s="513" t="s">
        <v>1011</v>
      </c>
      <c r="D163" s="521" t="s">
        <v>560</v>
      </c>
      <c r="E163" s="522" t="s">
        <v>1463</v>
      </c>
      <c r="F163" s="523"/>
      <c r="G163" s="523"/>
      <c r="H163" s="523"/>
      <c r="I163" s="523"/>
      <c r="J163" s="523"/>
      <c r="K163" s="526" t="str">
        <f>VLOOKUP(D163,[2]T3!$B$2:$D$328,3,FALSE)</f>
        <v>025076575</v>
      </c>
      <c r="L163" s="993" t="s">
        <v>744</v>
      </c>
      <c r="M163" s="993" t="s">
        <v>1011</v>
      </c>
      <c r="N163" s="522" t="str">
        <f>VLOOKUP(D163,'[5]Bao cao So GDDT'!$D$14:$S$282,11,FALSE)</f>
        <v>Giảng viên GDNN LT (hạng III)</v>
      </c>
      <c r="O163" s="852" t="s">
        <v>1438</v>
      </c>
      <c r="P163" s="526" t="s">
        <v>692</v>
      </c>
      <c r="Q163" s="526">
        <v>2</v>
      </c>
      <c r="R163" s="529">
        <v>3.33</v>
      </c>
      <c r="S163" s="463">
        <f>U163+W163+Y163</f>
        <v>0.82800000000000007</v>
      </c>
      <c r="T163" s="525"/>
      <c r="U163" s="463">
        <f t="shared" si="129"/>
        <v>0</v>
      </c>
      <c r="V163" s="530">
        <f>R163*T163*$D$8/100</f>
        <v>0</v>
      </c>
      <c r="W163" s="529">
        <v>0.45</v>
      </c>
      <c r="X163" s="531">
        <v>0.1</v>
      </c>
      <c r="Y163" s="532">
        <f t="shared" si="130"/>
        <v>0.378</v>
      </c>
      <c r="Z163" s="532">
        <f t="shared" si="131"/>
        <v>4.1580000000000004</v>
      </c>
      <c r="AA163" s="533">
        <f t="shared" si="132"/>
        <v>7484400</v>
      </c>
      <c r="AB163" s="533"/>
      <c r="AC163" s="533">
        <f t="shared" si="133"/>
        <v>0</v>
      </c>
      <c r="AD163" s="533">
        <f t="shared" si="126"/>
        <v>0</v>
      </c>
      <c r="AE163" s="533">
        <f t="shared" si="134"/>
        <v>7484400</v>
      </c>
      <c r="AF163" s="534">
        <f t="shared" si="135"/>
        <v>598752</v>
      </c>
      <c r="AG163" s="534">
        <f t="shared" si="136"/>
        <v>112266</v>
      </c>
      <c r="AH163" s="534">
        <f t="shared" si="137"/>
        <v>74844</v>
      </c>
      <c r="AI163" s="534"/>
      <c r="AJ163" s="534">
        <f t="shared" si="138"/>
        <v>785862</v>
      </c>
      <c r="AK163" s="535"/>
      <c r="AL163" s="182">
        <f t="shared" si="128"/>
        <v>0</v>
      </c>
      <c r="AM163" s="536"/>
      <c r="AN163" s="536"/>
      <c r="AO163" s="537">
        <f t="shared" si="121"/>
        <v>3.7800000000000002</v>
      </c>
      <c r="AP163" s="878">
        <v>0.25</v>
      </c>
      <c r="AQ163" s="538">
        <f t="shared" si="139"/>
        <v>0.94499999999999995</v>
      </c>
      <c r="AR163" s="534">
        <f t="shared" si="140"/>
        <v>1701000</v>
      </c>
      <c r="AS163" s="534"/>
      <c r="AT163" s="534">
        <f t="shared" si="141"/>
        <v>8399538</v>
      </c>
      <c r="AU163" s="539">
        <f t="shared" si="142"/>
        <v>145</v>
      </c>
      <c r="AV163" s="540"/>
      <c r="AW163" s="198" t="s">
        <v>708</v>
      </c>
    </row>
    <row r="164" spans="1:59" s="228" customFormat="1" ht="37.5" customHeight="1" x14ac:dyDescent="0.25">
      <c r="A164" s="900">
        <f t="shared" si="127"/>
        <v>146</v>
      </c>
      <c r="B164" s="168" t="str">
        <f>VLOOKUP(D164,[1]LuongBC_T01!$B$9:$C$292,2,FALSE)</f>
        <v>0016100006571004</v>
      </c>
      <c r="C164" s="199" t="s">
        <v>988</v>
      </c>
      <c r="D164" s="169" t="s">
        <v>571</v>
      </c>
      <c r="E164" s="263" t="s">
        <v>1373</v>
      </c>
      <c r="F164" s="169" t="s">
        <v>549</v>
      </c>
      <c r="G164" s="200" t="s">
        <v>25</v>
      </c>
      <c r="H164" s="200"/>
      <c r="I164" s="200" t="s">
        <v>283</v>
      </c>
      <c r="J164" s="200" t="s">
        <v>588</v>
      </c>
      <c r="K164" s="170" t="str">
        <f>VLOOKUP(D164,[2]T3!$B$2:$D$328,3,FALSE)</f>
        <v>023922977</v>
      </c>
      <c r="L164" s="226" t="s">
        <v>610</v>
      </c>
      <c r="M164" s="226" t="s">
        <v>988</v>
      </c>
      <c r="N164" s="263" t="str">
        <f>VLOOKUP(D164,'[5]Bao cao So GDDT'!$D$14:$S$282,11,FALSE)</f>
        <v>Giảng viên GDNN LT (hạng III)</v>
      </c>
      <c r="O164" s="390" t="s">
        <v>1438</v>
      </c>
      <c r="P164" s="170" t="s">
        <v>692</v>
      </c>
      <c r="Q164" s="170">
        <v>3</v>
      </c>
      <c r="R164" s="177">
        <v>3.66</v>
      </c>
      <c r="S164" s="176">
        <f>U164+W164+Y164</f>
        <v>0.4758</v>
      </c>
      <c r="T164" s="220"/>
      <c r="U164" s="176">
        <f t="shared" si="129"/>
        <v>0</v>
      </c>
      <c r="V164" s="175">
        <f>R164*T164*$D$8/100</f>
        <v>0</v>
      </c>
      <c r="W164" s="170"/>
      <c r="X164" s="179">
        <v>0.13</v>
      </c>
      <c r="Y164" s="216">
        <f t="shared" si="130"/>
        <v>0.4758</v>
      </c>
      <c r="Z164" s="216">
        <f t="shared" si="131"/>
        <v>4.1357999999999997</v>
      </c>
      <c r="AA164" s="180">
        <f t="shared" si="132"/>
        <v>7444440</v>
      </c>
      <c r="AB164" s="180"/>
      <c r="AC164" s="180">
        <f t="shared" si="133"/>
        <v>0</v>
      </c>
      <c r="AD164" s="180">
        <f t="shared" si="126"/>
        <v>0</v>
      </c>
      <c r="AE164" s="180">
        <f t="shared" si="134"/>
        <v>7444440</v>
      </c>
      <c r="AF164" s="178">
        <f t="shared" si="135"/>
        <v>595555.20000000007</v>
      </c>
      <c r="AG164" s="178">
        <f t="shared" si="136"/>
        <v>111666.59999999999</v>
      </c>
      <c r="AH164" s="178">
        <f t="shared" si="137"/>
        <v>74444.400000000009</v>
      </c>
      <c r="AI164" s="178"/>
      <c r="AJ164" s="178">
        <f t="shared" si="138"/>
        <v>781666.20000000007</v>
      </c>
      <c r="AK164" s="192"/>
      <c r="AL164" s="182">
        <f t="shared" ref="AL164:AL169" si="156">AK164*$D$8</f>
        <v>0</v>
      </c>
      <c r="AM164" s="182"/>
      <c r="AN164" s="182"/>
      <c r="AO164" s="193">
        <f t="shared" si="121"/>
        <v>3.66</v>
      </c>
      <c r="AP164" s="246">
        <v>0.25</v>
      </c>
      <c r="AQ164" s="194">
        <f t="shared" si="139"/>
        <v>0.91500000000000004</v>
      </c>
      <c r="AR164" s="178">
        <f t="shared" si="140"/>
        <v>1647000</v>
      </c>
      <c r="AS164" s="178"/>
      <c r="AT164" s="178">
        <f t="shared" si="141"/>
        <v>8309774</v>
      </c>
      <c r="AU164" s="469">
        <f t="shared" si="142"/>
        <v>146</v>
      </c>
      <c r="AV164" s="195"/>
      <c r="AW164" s="227" t="s">
        <v>708</v>
      </c>
    </row>
    <row r="165" spans="1:59" s="189" customFormat="1" ht="30.75" customHeight="1" x14ac:dyDescent="0.25">
      <c r="A165" s="900">
        <f t="shared" si="127"/>
        <v>147</v>
      </c>
      <c r="B165" s="168" t="str">
        <f>VLOOKUP(D165,[1]LuongBC_T01!$B$9:$C$292,2,FALSE)</f>
        <v>0016100006547006</v>
      </c>
      <c r="C165" s="199" t="s">
        <v>998</v>
      </c>
      <c r="D165" s="169" t="s">
        <v>574</v>
      </c>
      <c r="E165" s="263" t="s">
        <v>1382</v>
      </c>
      <c r="F165" s="169" t="s">
        <v>549</v>
      </c>
      <c r="G165" s="170" t="s">
        <v>25</v>
      </c>
      <c r="H165" s="200" t="s">
        <v>283</v>
      </c>
      <c r="I165" s="200" t="s">
        <v>283</v>
      </c>
      <c r="J165" s="200" t="s">
        <v>595</v>
      </c>
      <c r="K165" s="170" t="str">
        <f>VLOOKUP(D165,[2]T3!$B$2:$D$328,3,FALSE)</f>
        <v>311759209</v>
      </c>
      <c r="L165" s="226" t="s">
        <v>616</v>
      </c>
      <c r="M165" s="226" t="s">
        <v>998</v>
      </c>
      <c r="N165" s="263" t="str">
        <f>VLOOKUP(D165,'[5]Bao cao So GDDT'!$D$14:$S$282,11,FALSE)</f>
        <v>Giảng viên GDNN LT (hạng III)</v>
      </c>
      <c r="O165" s="390" t="s">
        <v>1438</v>
      </c>
      <c r="P165" s="170" t="s">
        <v>692</v>
      </c>
      <c r="Q165" s="173">
        <v>3</v>
      </c>
      <c r="R165" s="177">
        <v>3.66</v>
      </c>
      <c r="S165" s="176">
        <f>U165+W165+Y165</f>
        <v>0.43919999999999998</v>
      </c>
      <c r="T165" s="370"/>
      <c r="U165" s="176">
        <f t="shared" si="129"/>
        <v>0</v>
      </c>
      <c r="V165" s="175">
        <f>R165*T165*$D$8/100</f>
        <v>0</v>
      </c>
      <c r="W165" s="170"/>
      <c r="X165" s="179">
        <v>0.12</v>
      </c>
      <c r="Y165" s="216">
        <f t="shared" si="130"/>
        <v>0.43919999999999998</v>
      </c>
      <c r="Z165" s="216">
        <f t="shared" si="131"/>
        <v>4.0991999999999997</v>
      </c>
      <c r="AA165" s="180">
        <f t="shared" si="132"/>
        <v>7378560</v>
      </c>
      <c r="AB165" s="180"/>
      <c r="AC165" s="180">
        <f t="shared" si="133"/>
        <v>0</v>
      </c>
      <c r="AD165" s="180">
        <f t="shared" si="126"/>
        <v>0</v>
      </c>
      <c r="AE165" s="180">
        <f t="shared" si="134"/>
        <v>7378560</v>
      </c>
      <c r="AF165" s="178">
        <f t="shared" si="135"/>
        <v>590284.80000000005</v>
      </c>
      <c r="AG165" s="178">
        <f t="shared" si="136"/>
        <v>110678.39999999999</v>
      </c>
      <c r="AH165" s="178">
        <f t="shared" si="137"/>
        <v>73785.600000000006</v>
      </c>
      <c r="AI165" s="178"/>
      <c r="AJ165" s="178">
        <f t="shared" si="138"/>
        <v>774748.8</v>
      </c>
      <c r="AK165" s="192"/>
      <c r="AL165" s="182">
        <f t="shared" si="156"/>
        <v>0</v>
      </c>
      <c r="AM165" s="182"/>
      <c r="AN165" s="182"/>
      <c r="AO165" s="193">
        <f t="shared" si="121"/>
        <v>3.66</v>
      </c>
      <c r="AP165" s="246">
        <v>0.25</v>
      </c>
      <c r="AQ165" s="194">
        <f t="shared" si="139"/>
        <v>0.91500000000000004</v>
      </c>
      <c r="AR165" s="178">
        <f t="shared" si="140"/>
        <v>1647000</v>
      </c>
      <c r="AS165" s="178"/>
      <c r="AT165" s="178">
        <f t="shared" si="141"/>
        <v>8250811</v>
      </c>
      <c r="AU165" s="469">
        <f t="shared" si="142"/>
        <v>147</v>
      </c>
      <c r="AV165" s="195"/>
      <c r="AW165" s="198" t="s">
        <v>708</v>
      </c>
    </row>
    <row r="166" spans="1:59" s="189" customFormat="1" ht="30.75" customHeight="1" x14ac:dyDescent="0.25">
      <c r="A166" s="900">
        <f t="shared" si="127"/>
        <v>148</v>
      </c>
      <c r="B166" s="168" t="str">
        <f>VLOOKUP(D166,[1]LuongBC_T01!$B$9:$C$292,2,FALSE)</f>
        <v>0016100006631007</v>
      </c>
      <c r="C166" s="199" t="s">
        <v>1007</v>
      </c>
      <c r="D166" s="230" t="s">
        <v>559</v>
      </c>
      <c r="E166" s="263" t="s">
        <v>1373</v>
      </c>
      <c r="F166" s="231"/>
      <c r="G166" s="251" t="s">
        <v>25</v>
      </c>
      <c r="H166" s="231"/>
      <c r="I166" s="231"/>
      <c r="J166" s="231"/>
      <c r="K166" s="170" t="str">
        <f>VLOOKUP(D166,[2]T3!$B$2:$D$328,3,FALSE)</f>
        <v>025695766</v>
      </c>
      <c r="L166" s="378">
        <v>1603205353742</v>
      </c>
      <c r="M166" s="378" t="s">
        <v>1007</v>
      </c>
      <c r="N166" s="263" t="str">
        <f>VLOOKUP(D166,'[5]Bao cao So GDDT'!$D$14:$S$282,11,FALSE)</f>
        <v>Giảng viên GDNN LT (hạng III)</v>
      </c>
      <c r="O166" s="390" t="s">
        <v>1438</v>
      </c>
      <c r="P166" s="170" t="s">
        <v>692</v>
      </c>
      <c r="Q166" s="170">
        <v>2</v>
      </c>
      <c r="R166" s="177">
        <v>3.33</v>
      </c>
      <c r="S166" s="176">
        <f>U166+W166+Y166</f>
        <v>0.33300000000000002</v>
      </c>
      <c r="T166" s="169"/>
      <c r="U166" s="176">
        <f t="shared" si="129"/>
        <v>0</v>
      </c>
      <c r="V166" s="175">
        <f>R166*T166*$D$8/100</f>
        <v>0</v>
      </c>
      <c r="W166" s="170"/>
      <c r="X166" s="179">
        <v>0.1</v>
      </c>
      <c r="Y166" s="216">
        <f t="shared" si="130"/>
        <v>0.33300000000000002</v>
      </c>
      <c r="Z166" s="216">
        <f t="shared" si="131"/>
        <v>3.6630000000000003</v>
      </c>
      <c r="AA166" s="180">
        <f t="shared" si="132"/>
        <v>6593400</v>
      </c>
      <c r="AB166" s="180"/>
      <c r="AC166" s="180">
        <f t="shared" si="133"/>
        <v>0</v>
      </c>
      <c r="AD166" s="180">
        <v>0</v>
      </c>
      <c r="AE166" s="180">
        <f t="shared" si="134"/>
        <v>6593400</v>
      </c>
      <c r="AF166" s="178">
        <f t="shared" si="135"/>
        <v>527472</v>
      </c>
      <c r="AG166" s="178">
        <f t="shared" si="136"/>
        <v>98901</v>
      </c>
      <c r="AH166" s="178">
        <f t="shared" si="137"/>
        <v>65934</v>
      </c>
      <c r="AI166" s="178"/>
      <c r="AJ166" s="178">
        <f t="shared" si="138"/>
        <v>692307</v>
      </c>
      <c r="AK166" s="192"/>
      <c r="AL166" s="182">
        <f t="shared" si="156"/>
        <v>0</v>
      </c>
      <c r="AM166" s="182"/>
      <c r="AN166" s="182"/>
      <c r="AO166" s="183">
        <f t="shared" si="121"/>
        <v>3.33</v>
      </c>
      <c r="AP166" s="246">
        <v>0.25</v>
      </c>
      <c r="AQ166" s="194">
        <f t="shared" si="139"/>
        <v>0.83250000000000002</v>
      </c>
      <c r="AR166" s="178">
        <f t="shared" si="140"/>
        <v>1498500</v>
      </c>
      <c r="AS166" s="178"/>
      <c r="AT166" s="178">
        <f t="shared" si="141"/>
        <v>7399593</v>
      </c>
      <c r="AU166" s="469">
        <f t="shared" si="142"/>
        <v>148</v>
      </c>
      <c r="AV166" s="195"/>
      <c r="AW166" s="198" t="s">
        <v>708</v>
      </c>
    </row>
    <row r="167" spans="1:59" s="189" customFormat="1" ht="30.75" customHeight="1" x14ac:dyDescent="0.25">
      <c r="A167" s="900">
        <f t="shared" si="127"/>
        <v>149</v>
      </c>
      <c r="B167" s="168" t="str">
        <f>VLOOKUP(D167,[1]LuongBC_T01!$B$9:$C$292,2,FALSE)</f>
        <v>0016100006573007</v>
      </c>
      <c r="C167" s="199" t="s">
        <v>1016</v>
      </c>
      <c r="D167" s="230" t="s">
        <v>750</v>
      </c>
      <c r="E167" s="263" t="s">
        <v>1373</v>
      </c>
      <c r="F167" s="231"/>
      <c r="G167" s="251" t="s">
        <v>25</v>
      </c>
      <c r="H167" s="231"/>
      <c r="I167" s="231"/>
      <c r="J167" s="231"/>
      <c r="K167" s="170" t="str">
        <f>VLOOKUP(D167,[2]T3!$B$2:$D$328,3,FALSE)</f>
        <v>025537038</v>
      </c>
      <c r="L167" s="726" t="s">
        <v>757</v>
      </c>
      <c r="M167" s="726" t="s">
        <v>1016</v>
      </c>
      <c r="N167" s="263" t="str">
        <f>VLOOKUP(D167,'[5]Bao cao So GDDT'!$D$14:$S$282,11,FALSE)</f>
        <v>Giảng viên GDNN LT (hạng III)</v>
      </c>
      <c r="O167" s="390" t="s">
        <v>1438</v>
      </c>
      <c r="P167" s="170" t="s">
        <v>692</v>
      </c>
      <c r="Q167" s="170">
        <v>2</v>
      </c>
      <c r="R167" s="177">
        <v>3.33</v>
      </c>
      <c r="S167" s="176">
        <f>U167+W167+Y167</f>
        <v>0.26640000000000003</v>
      </c>
      <c r="T167" s="169"/>
      <c r="U167" s="176">
        <f t="shared" si="129"/>
        <v>0</v>
      </c>
      <c r="V167" s="175"/>
      <c r="W167" s="170"/>
      <c r="X167" s="179">
        <v>0.08</v>
      </c>
      <c r="Y167" s="216">
        <f t="shared" si="130"/>
        <v>0.26640000000000003</v>
      </c>
      <c r="Z167" s="216">
        <f t="shared" si="131"/>
        <v>3.5964</v>
      </c>
      <c r="AA167" s="180">
        <f t="shared" si="132"/>
        <v>6473520</v>
      </c>
      <c r="AB167" s="180"/>
      <c r="AC167" s="180">
        <f t="shared" si="133"/>
        <v>0</v>
      </c>
      <c r="AD167" s="180">
        <f>AA167/24*AB167*75%</f>
        <v>0</v>
      </c>
      <c r="AE167" s="180">
        <f t="shared" si="134"/>
        <v>6473520</v>
      </c>
      <c r="AF167" s="178">
        <f t="shared" si="135"/>
        <v>517881.60000000003</v>
      </c>
      <c r="AG167" s="178">
        <f t="shared" si="136"/>
        <v>97102.8</v>
      </c>
      <c r="AH167" s="178">
        <f t="shared" si="137"/>
        <v>64735.200000000004</v>
      </c>
      <c r="AI167" s="178"/>
      <c r="AJ167" s="178">
        <f t="shared" si="138"/>
        <v>679719.6</v>
      </c>
      <c r="AK167" s="192"/>
      <c r="AL167" s="182">
        <f t="shared" si="156"/>
        <v>0</v>
      </c>
      <c r="AM167" s="182"/>
      <c r="AN167" s="182"/>
      <c r="AO167" s="183">
        <f t="shared" si="121"/>
        <v>3.33</v>
      </c>
      <c r="AP167" s="246">
        <v>0.25</v>
      </c>
      <c r="AQ167" s="194">
        <f t="shared" si="139"/>
        <v>0.83250000000000002</v>
      </c>
      <c r="AR167" s="178">
        <f t="shared" si="140"/>
        <v>1498500</v>
      </c>
      <c r="AS167" s="178"/>
      <c r="AT167" s="178">
        <f t="shared" si="141"/>
        <v>7292300</v>
      </c>
      <c r="AU167" s="469">
        <f t="shared" si="142"/>
        <v>149</v>
      </c>
      <c r="AV167" s="195"/>
      <c r="AW167" s="196">
        <f>AT260/20</f>
        <v>367297.35</v>
      </c>
    </row>
    <row r="168" spans="1:59" s="189" customFormat="1" ht="30.75" customHeight="1" x14ac:dyDescent="0.25">
      <c r="A168" s="900">
        <f t="shared" si="127"/>
        <v>150</v>
      </c>
      <c r="B168" s="168" t="str">
        <f>VLOOKUP(D168,[1]LuongBC_T01!$B$9:$C$292,2,FALSE)</f>
        <v>0016100006570008</v>
      </c>
      <c r="C168" s="879" t="s">
        <v>1314</v>
      </c>
      <c r="D168" s="169" t="s">
        <v>1134</v>
      </c>
      <c r="E168" s="263" t="s">
        <v>1373</v>
      </c>
      <c r="F168" s="220"/>
      <c r="G168" s="220"/>
      <c r="H168" s="220"/>
      <c r="I168" s="220"/>
      <c r="J168" s="220"/>
      <c r="K168" s="170">
        <f>VLOOKUP(D168,[2]T3!$B$2:$D$328,3,FALSE)</f>
        <v>381574642</v>
      </c>
      <c r="L168" s="220"/>
      <c r="M168" s="170"/>
      <c r="N168" s="263" t="str">
        <f>VLOOKUP(D168,'[5]Bao cao So GDDT'!$D$14:$S$282,11,FALSE)</f>
        <v>Giảng viên GDNN LT (hạng III)</v>
      </c>
      <c r="O168" s="390" t="s">
        <v>1438</v>
      </c>
      <c r="P168" s="251"/>
      <c r="Q168" s="251">
        <v>2</v>
      </c>
      <c r="R168" s="177">
        <v>3</v>
      </c>
      <c r="S168" s="176"/>
      <c r="T168" s="220"/>
      <c r="U168" s="176">
        <f t="shared" si="129"/>
        <v>0</v>
      </c>
      <c r="V168" s="175"/>
      <c r="W168" s="170"/>
      <c r="X168" s="179">
        <f>VLOOKUP(D168,PCTN!D256:W523,20,FALSE)</f>
        <v>0</v>
      </c>
      <c r="Y168" s="216">
        <f t="shared" si="130"/>
        <v>0</v>
      </c>
      <c r="Z168" s="216">
        <f t="shared" si="131"/>
        <v>3</v>
      </c>
      <c r="AA168" s="180">
        <f t="shared" si="132"/>
        <v>5400000</v>
      </c>
      <c r="AB168" s="180"/>
      <c r="AC168" s="180">
        <f t="shared" si="133"/>
        <v>0</v>
      </c>
      <c r="AD168" s="180">
        <f>AA168/24*AB168*75%</f>
        <v>0</v>
      </c>
      <c r="AE168" s="180">
        <f t="shared" si="134"/>
        <v>5400000</v>
      </c>
      <c r="AF168" s="178">
        <f t="shared" si="135"/>
        <v>432000</v>
      </c>
      <c r="AG168" s="178">
        <f t="shared" si="136"/>
        <v>81000</v>
      </c>
      <c r="AH168" s="178">
        <f t="shared" si="137"/>
        <v>54000</v>
      </c>
      <c r="AI168" s="178"/>
      <c r="AJ168" s="178">
        <f t="shared" si="138"/>
        <v>567000</v>
      </c>
      <c r="AK168" s="192"/>
      <c r="AL168" s="182">
        <f t="shared" si="156"/>
        <v>0</v>
      </c>
      <c r="AM168" s="182"/>
      <c r="AN168" s="182"/>
      <c r="AO168" s="183">
        <f t="shared" si="121"/>
        <v>3</v>
      </c>
      <c r="AP168" s="246">
        <v>0.25</v>
      </c>
      <c r="AQ168" s="185">
        <f t="shared" si="139"/>
        <v>0.75</v>
      </c>
      <c r="AR168" s="178">
        <f t="shared" si="140"/>
        <v>1350000</v>
      </c>
      <c r="AS168" s="178"/>
      <c r="AT168" s="178">
        <f t="shared" si="141"/>
        <v>6183000</v>
      </c>
      <c r="AU168" s="469">
        <f t="shared" si="142"/>
        <v>150</v>
      </c>
      <c r="AV168" s="195"/>
      <c r="AW168" s="486" t="s">
        <v>1139</v>
      </c>
      <c r="AX168" s="29"/>
      <c r="AY168" s="29"/>
      <c r="AZ168" s="29"/>
      <c r="BA168" s="29"/>
      <c r="BB168" s="29"/>
      <c r="BC168" s="29"/>
      <c r="BD168" s="29"/>
      <c r="BE168" s="29"/>
      <c r="BF168" s="29"/>
      <c r="BG168" s="29"/>
    </row>
    <row r="169" spans="1:59" s="189" customFormat="1" ht="30.75" customHeight="1" x14ac:dyDescent="0.25">
      <c r="A169" s="900">
        <f t="shared" si="127"/>
        <v>151</v>
      </c>
      <c r="B169" s="168" t="str">
        <f>VLOOKUP(D169,[1]LuongBC_T01!$B$9:$C$292,2,FALSE)</f>
        <v>0016100007787008</v>
      </c>
      <c r="C169" s="170" t="s">
        <v>1324</v>
      </c>
      <c r="D169" s="169" t="s">
        <v>1291</v>
      </c>
      <c r="E169" s="263" t="s">
        <v>1408</v>
      </c>
      <c r="F169" s="220"/>
      <c r="G169" s="220"/>
      <c r="H169" s="220"/>
      <c r="I169" s="220"/>
      <c r="J169" s="220"/>
      <c r="K169" s="170" t="str">
        <f>VLOOKUP(D169,[2]T3!$B$2:$D$328,3,FALSE)</f>
        <v>024058374</v>
      </c>
      <c r="L169" s="220"/>
      <c r="M169" s="170"/>
      <c r="N169" s="263" t="str">
        <f>VLOOKUP(D169,'[5]Bao cao So GDDT'!$D$14:$S$282,11,FALSE)</f>
        <v>Giảng viên GDNN LT (hạng III)</v>
      </c>
      <c r="O169" s="390" t="s">
        <v>1438</v>
      </c>
      <c r="P169" s="251"/>
      <c r="Q169" s="251"/>
      <c r="R169" s="177">
        <v>3</v>
      </c>
      <c r="S169" s="176"/>
      <c r="T169" s="220"/>
      <c r="U169" s="176">
        <f t="shared" si="129"/>
        <v>0</v>
      </c>
      <c r="V169" s="175"/>
      <c r="W169" s="170"/>
      <c r="X169" s="179">
        <f>VLOOKUP(D169,PCTN!D267:W534,20,FALSE)</f>
        <v>0</v>
      </c>
      <c r="Y169" s="216">
        <f t="shared" si="130"/>
        <v>0</v>
      </c>
      <c r="Z169" s="216">
        <f t="shared" si="131"/>
        <v>3</v>
      </c>
      <c r="AA169" s="180">
        <f t="shared" si="132"/>
        <v>5400000</v>
      </c>
      <c r="AB169" s="180"/>
      <c r="AC169" s="180">
        <f t="shared" si="133"/>
        <v>0</v>
      </c>
      <c r="AD169" s="180">
        <f>AA169/24*AB169*75%</f>
        <v>0</v>
      </c>
      <c r="AE169" s="180">
        <f t="shared" si="134"/>
        <v>5400000</v>
      </c>
      <c r="AF169" s="178">
        <f t="shared" si="135"/>
        <v>432000</v>
      </c>
      <c r="AG169" s="178">
        <f t="shared" si="136"/>
        <v>81000</v>
      </c>
      <c r="AH169" s="178">
        <f t="shared" si="137"/>
        <v>54000</v>
      </c>
      <c r="AI169" s="178"/>
      <c r="AJ169" s="178">
        <f t="shared" si="138"/>
        <v>567000</v>
      </c>
      <c r="AK169" s="192"/>
      <c r="AL169" s="182">
        <f t="shared" si="156"/>
        <v>0</v>
      </c>
      <c r="AM169" s="182"/>
      <c r="AN169" s="182"/>
      <c r="AO169" s="183">
        <f t="shared" si="121"/>
        <v>3</v>
      </c>
      <c r="AP169" s="246">
        <v>0.25</v>
      </c>
      <c r="AQ169" s="185">
        <f t="shared" si="139"/>
        <v>0.75</v>
      </c>
      <c r="AR169" s="178">
        <f t="shared" si="140"/>
        <v>1350000</v>
      </c>
      <c r="AS169" s="178"/>
      <c r="AT169" s="178">
        <f t="shared" si="141"/>
        <v>6183000</v>
      </c>
      <c r="AU169" s="469">
        <f t="shared" si="142"/>
        <v>151</v>
      </c>
      <c r="AV169" s="195"/>
      <c r="AW169" s="486"/>
      <c r="AX169" s="29"/>
      <c r="AY169" s="29"/>
      <c r="AZ169" s="29"/>
      <c r="BA169" s="29"/>
      <c r="BB169" s="29"/>
      <c r="BC169" s="29"/>
      <c r="BD169" s="29"/>
      <c r="BE169" s="29"/>
      <c r="BF169" s="29"/>
      <c r="BG169" s="29"/>
    </row>
    <row r="170" spans="1:59" s="189" customFormat="1" ht="30.75" customHeight="1" x14ac:dyDescent="0.25">
      <c r="A170" s="1035">
        <f t="shared" si="127"/>
        <v>152</v>
      </c>
      <c r="B170" s="683" t="str">
        <f>VLOOKUP(D170,[1]LuongBC_T01!$B$9:$C$292,2,FALSE)</f>
        <v>0016100006572008</v>
      </c>
      <c r="C170" s="1043" t="s">
        <v>1053</v>
      </c>
      <c r="D170" s="1037" t="s">
        <v>1233</v>
      </c>
      <c r="E170" s="685" t="s">
        <v>1373</v>
      </c>
      <c r="F170" s="1038"/>
      <c r="G170" s="769" t="s">
        <v>25</v>
      </c>
      <c r="H170" s="1038"/>
      <c r="I170" s="1038"/>
      <c r="J170" s="1038"/>
      <c r="K170" s="686" t="str">
        <f>VLOOKUP(D170,[2]T3!$B$2:$D$328,3,FALSE)</f>
        <v>025121375</v>
      </c>
      <c r="L170" s="1044">
        <v>1603205357136</v>
      </c>
      <c r="M170" s="1044" t="s">
        <v>1053</v>
      </c>
      <c r="N170" s="685" t="str">
        <f>VLOOKUP(D170,'[5]Bao cao So GDDT'!$D$14:$S$282,11,FALSE)</f>
        <v>Giảng viên GDNN LT (hạng III)</v>
      </c>
      <c r="O170" s="687" t="s">
        <v>1438</v>
      </c>
      <c r="P170" s="686" t="s">
        <v>692</v>
      </c>
      <c r="Q170" s="686">
        <v>2</v>
      </c>
      <c r="R170" s="1041">
        <v>3.33</v>
      </c>
      <c r="S170" s="691">
        <f t="shared" ref="S170:S218" si="157">U170+W170+Y170</f>
        <v>0.33300000000000002</v>
      </c>
      <c r="T170" s="684"/>
      <c r="U170" s="691">
        <f t="shared" si="129"/>
        <v>0</v>
      </c>
      <c r="V170" s="693">
        <f t="shared" ref="V170:V185" si="158">R170*T170*$D$8/100</f>
        <v>0</v>
      </c>
      <c r="W170" s="686"/>
      <c r="X170" s="694">
        <v>0.1</v>
      </c>
      <c r="Y170" s="695">
        <f t="shared" si="130"/>
        <v>0.33300000000000002</v>
      </c>
      <c r="Z170" s="695">
        <f t="shared" si="131"/>
        <v>3.6630000000000003</v>
      </c>
      <c r="AA170" s="696">
        <f t="shared" si="132"/>
        <v>6593400</v>
      </c>
      <c r="AB170" s="696"/>
      <c r="AC170" s="696">
        <f t="shared" si="133"/>
        <v>0</v>
      </c>
      <c r="AD170" s="696">
        <f>AA170/24*AB170*75%</f>
        <v>0</v>
      </c>
      <c r="AE170" s="696">
        <f t="shared" si="134"/>
        <v>6593400</v>
      </c>
      <c r="AF170" s="697">
        <f t="shared" si="135"/>
        <v>527472</v>
      </c>
      <c r="AG170" s="697">
        <f t="shared" si="136"/>
        <v>98901</v>
      </c>
      <c r="AH170" s="697">
        <f t="shared" si="137"/>
        <v>65934</v>
      </c>
      <c r="AI170" s="697"/>
      <c r="AJ170" s="697">
        <f t="shared" si="138"/>
        <v>692307</v>
      </c>
      <c r="AK170" s="702"/>
      <c r="AL170" s="698">
        <f t="shared" ref="AL170:AL206" si="159">AK170*$D$8</f>
        <v>0</v>
      </c>
      <c r="AM170" s="698"/>
      <c r="AN170" s="698"/>
      <c r="AO170" s="765">
        <f t="shared" si="121"/>
        <v>3.33</v>
      </c>
      <c r="AP170" s="703">
        <v>0.25</v>
      </c>
      <c r="AQ170" s="705">
        <f t="shared" si="139"/>
        <v>0.83250000000000002</v>
      </c>
      <c r="AR170" s="697">
        <f t="shared" si="140"/>
        <v>1498500</v>
      </c>
      <c r="AS170" s="697"/>
      <c r="AT170" s="697">
        <f t="shared" si="141"/>
        <v>7399593</v>
      </c>
      <c r="AU170" s="699">
        <f t="shared" si="142"/>
        <v>152</v>
      </c>
      <c r="AV170" s="1034"/>
      <c r="AW170" s="198" t="s">
        <v>708</v>
      </c>
      <c r="AX170" s="29"/>
      <c r="AY170" s="29"/>
      <c r="AZ170" s="29"/>
      <c r="BA170" s="29"/>
      <c r="BB170" s="29"/>
      <c r="BC170" s="29"/>
      <c r="BD170" s="29"/>
      <c r="BE170" s="29"/>
      <c r="BF170" s="29"/>
      <c r="BG170" s="29"/>
    </row>
    <row r="171" spans="1:59" s="191" customFormat="1" ht="30.75" customHeight="1" x14ac:dyDescent="0.25">
      <c r="A171" s="900">
        <f t="shared" si="127"/>
        <v>153</v>
      </c>
      <c r="B171" s="168" t="str">
        <f>VLOOKUP(D171,[1]LuongBC_T01!$B$9:$C$292,2,FALSE)</f>
        <v>0016100006619007</v>
      </c>
      <c r="C171" s="199" t="s">
        <v>959</v>
      </c>
      <c r="D171" s="169" t="s">
        <v>1208</v>
      </c>
      <c r="E171" s="263" t="s">
        <v>1557</v>
      </c>
      <c r="F171" s="169" t="s">
        <v>549</v>
      </c>
      <c r="G171" s="170"/>
      <c r="H171" s="170" t="s">
        <v>283</v>
      </c>
      <c r="I171" s="200" t="s">
        <v>283</v>
      </c>
      <c r="J171" s="220" t="s">
        <v>257</v>
      </c>
      <c r="K171" s="168" t="s">
        <v>1366</v>
      </c>
      <c r="L171" s="171" t="s">
        <v>121</v>
      </c>
      <c r="M171" s="171" t="s">
        <v>959</v>
      </c>
      <c r="N171" s="263" t="str">
        <f>VLOOKUP(D171,'[5]Bao cao So GDDT'!$D$14:$S$282,11,FALSE)</f>
        <v>Giảng viên
(hạng III)</v>
      </c>
      <c r="O171" s="390" t="s">
        <v>807</v>
      </c>
      <c r="P171" s="172" t="s">
        <v>692</v>
      </c>
      <c r="Q171" s="173">
        <v>4</v>
      </c>
      <c r="R171" s="174">
        <v>3.99</v>
      </c>
      <c r="S171" s="176">
        <f t="shared" si="157"/>
        <v>1.3524</v>
      </c>
      <c r="T171" s="370"/>
      <c r="U171" s="176">
        <f t="shared" si="129"/>
        <v>0</v>
      </c>
      <c r="V171" s="175">
        <f t="shared" si="158"/>
        <v>0</v>
      </c>
      <c r="W171" s="170">
        <f>0.25</f>
        <v>0.25</v>
      </c>
      <c r="X171" s="179">
        <v>0.26</v>
      </c>
      <c r="Y171" s="216">
        <f t="shared" si="130"/>
        <v>1.1024</v>
      </c>
      <c r="Z171" s="216">
        <f t="shared" si="131"/>
        <v>5.3424000000000005</v>
      </c>
      <c r="AA171" s="180">
        <f t="shared" si="132"/>
        <v>9616320</v>
      </c>
      <c r="AB171" s="180"/>
      <c r="AC171" s="180">
        <f t="shared" si="133"/>
        <v>0</v>
      </c>
      <c r="AD171" s="180">
        <f>AA171/24*AB171*75%</f>
        <v>0</v>
      </c>
      <c r="AE171" s="180">
        <f t="shared" si="134"/>
        <v>9616320</v>
      </c>
      <c r="AF171" s="178">
        <f t="shared" si="135"/>
        <v>769305.59999999998</v>
      </c>
      <c r="AG171" s="178">
        <f t="shared" si="136"/>
        <v>144244.79999999999</v>
      </c>
      <c r="AH171" s="178">
        <f t="shared" si="137"/>
        <v>96163.199999999997</v>
      </c>
      <c r="AI171" s="178"/>
      <c r="AJ171" s="178">
        <f t="shared" si="138"/>
        <v>1009713.5999999999</v>
      </c>
      <c r="AK171" s="192"/>
      <c r="AL171" s="182">
        <f t="shared" si="159"/>
        <v>0</v>
      </c>
      <c r="AM171" s="182"/>
      <c r="AN171" s="182"/>
      <c r="AO171" s="193">
        <f t="shared" si="121"/>
        <v>4.24</v>
      </c>
      <c r="AP171" s="246">
        <v>0.25</v>
      </c>
      <c r="AQ171" s="194">
        <f t="shared" si="139"/>
        <v>1.06</v>
      </c>
      <c r="AR171" s="178">
        <f t="shared" si="140"/>
        <v>1908000</v>
      </c>
      <c r="AS171" s="178"/>
      <c r="AT171" s="178">
        <f t="shared" si="141"/>
        <v>10514606</v>
      </c>
      <c r="AU171" s="469">
        <f t="shared" si="142"/>
        <v>153</v>
      </c>
      <c r="AV171" s="195"/>
      <c r="AW171" s="198" t="s">
        <v>710</v>
      </c>
    </row>
    <row r="172" spans="1:59" s="189" customFormat="1" ht="30.75" customHeight="1" x14ac:dyDescent="0.25">
      <c r="A172" s="900">
        <f t="shared" si="127"/>
        <v>154</v>
      </c>
      <c r="B172" s="168" t="str">
        <f>VLOOKUP(D172,[1]LuongBC_T01!$B$9:$C$292,2,FALSE)</f>
        <v>0016100006684003</v>
      </c>
      <c r="C172" s="199" t="s">
        <v>1080</v>
      </c>
      <c r="D172" s="169" t="s">
        <v>1235</v>
      </c>
      <c r="E172" s="263" t="s">
        <v>1094</v>
      </c>
      <c r="F172" s="169" t="s">
        <v>549</v>
      </c>
      <c r="G172" s="170"/>
      <c r="H172" s="170"/>
      <c r="I172" s="200" t="s">
        <v>283</v>
      </c>
      <c r="J172" s="220" t="s">
        <v>264</v>
      </c>
      <c r="K172" s="170" t="str">
        <f>VLOOKUP(D172,[2]T3!$B$2:$D$328,3,FALSE)</f>
        <v>024345241</v>
      </c>
      <c r="L172" s="171" t="s">
        <v>132</v>
      </c>
      <c r="M172" s="171" t="s">
        <v>1080</v>
      </c>
      <c r="N172" s="263" t="str">
        <f>VLOOKUP(D172,'[5]Bao cao So GDDT'!$D$14:$S$282,11,FALSE)</f>
        <v>Giảng viên
(hạng III)</v>
      </c>
      <c r="O172" s="263" t="s">
        <v>807</v>
      </c>
      <c r="P172" s="172" t="s">
        <v>692</v>
      </c>
      <c r="Q172" s="173">
        <v>5</v>
      </c>
      <c r="R172" s="174">
        <v>4.32</v>
      </c>
      <c r="S172" s="176">
        <f t="shared" si="157"/>
        <v>0.82079999999999997</v>
      </c>
      <c r="T172" s="370"/>
      <c r="U172" s="176">
        <f t="shared" si="129"/>
        <v>0</v>
      </c>
      <c r="V172" s="175">
        <f t="shared" si="158"/>
        <v>0</v>
      </c>
      <c r="W172" s="170"/>
      <c r="X172" s="179">
        <v>0.19</v>
      </c>
      <c r="Y172" s="216">
        <f t="shared" si="130"/>
        <v>0.82079999999999997</v>
      </c>
      <c r="Z172" s="216">
        <f t="shared" si="131"/>
        <v>5.1408000000000005</v>
      </c>
      <c r="AA172" s="180">
        <f t="shared" si="132"/>
        <v>9253440</v>
      </c>
      <c r="AB172" s="180"/>
      <c r="AC172" s="180">
        <f t="shared" si="133"/>
        <v>0</v>
      </c>
      <c r="AD172" s="180">
        <v>0</v>
      </c>
      <c r="AE172" s="180">
        <f t="shared" si="134"/>
        <v>9253440</v>
      </c>
      <c r="AF172" s="178">
        <f t="shared" si="135"/>
        <v>740275.20000000007</v>
      </c>
      <c r="AG172" s="178">
        <f t="shared" si="136"/>
        <v>138801.60000000001</v>
      </c>
      <c r="AH172" s="178">
        <f t="shared" si="137"/>
        <v>92534.400000000009</v>
      </c>
      <c r="AI172" s="178"/>
      <c r="AJ172" s="178">
        <f t="shared" si="138"/>
        <v>971611.20000000007</v>
      </c>
      <c r="AK172" s="192"/>
      <c r="AL172" s="182">
        <f t="shared" si="159"/>
        <v>0</v>
      </c>
      <c r="AM172" s="182"/>
      <c r="AN172" s="182"/>
      <c r="AO172" s="193">
        <f t="shared" si="121"/>
        <v>4.32</v>
      </c>
      <c r="AP172" s="246">
        <v>0.25</v>
      </c>
      <c r="AQ172" s="194">
        <f t="shared" si="139"/>
        <v>1.08</v>
      </c>
      <c r="AR172" s="178">
        <f t="shared" si="140"/>
        <v>1944000</v>
      </c>
      <c r="AS172" s="178"/>
      <c r="AT172" s="178">
        <f t="shared" si="141"/>
        <v>10225829</v>
      </c>
      <c r="AU172" s="469">
        <f t="shared" si="142"/>
        <v>154</v>
      </c>
      <c r="AV172" s="195"/>
      <c r="AW172" s="198"/>
      <c r="AX172" s="29"/>
      <c r="AY172" s="29"/>
      <c r="AZ172" s="29"/>
      <c r="BA172" s="29"/>
      <c r="BB172" s="29"/>
      <c r="BC172" s="29"/>
      <c r="BD172" s="29"/>
      <c r="BE172" s="29"/>
      <c r="BF172" s="29"/>
      <c r="BG172" s="29"/>
    </row>
    <row r="173" spans="1:59" s="189" customFormat="1" ht="30.75" customHeight="1" x14ac:dyDescent="0.25">
      <c r="A173" s="900">
        <f t="shared" si="127"/>
        <v>155</v>
      </c>
      <c r="B173" s="168" t="str">
        <f>VLOOKUP(D173,[1]LuongBC_T01!$B$9:$C$292,2,FALSE)</f>
        <v>0016100006701005</v>
      </c>
      <c r="C173" s="199" t="s">
        <v>955</v>
      </c>
      <c r="D173" s="169" t="s">
        <v>313</v>
      </c>
      <c r="E173" s="263" t="s">
        <v>1094</v>
      </c>
      <c r="F173" s="169" t="s">
        <v>549</v>
      </c>
      <c r="G173" s="200"/>
      <c r="H173" s="170" t="s">
        <v>283</v>
      </c>
      <c r="I173" s="200" t="s">
        <v>283</v>
      </c>
      <c r="J173" s="169" t="s">
        <v>541</v>
      </c>
      <c r="K173" s="170" t="str">
        <f>VLOOKUP(D173,[2]T3!$B$2:$D$328,3,FALSE)</f>
        <v>024960154</v>
      </c>
      <c r="L173" s="171" t="s">
        <v>326</v>
      </c>
      <c r="M173" s="171" t="s">
        <v>955</v>
      </c>
      <c r="N173" s="263" t="str">
        <f>VLOOKUP(D173,'[5]Bao cao So GDDT'!$D$14:$S$282,11,FALSE)</f>
        <v>Giảng viên
(hạng III)</v>
      </c>
      <c r="O173" s="390" t="s">
        <v>807</v>
      </c>
      <c r="P173" s="172" t="s">
        <v>692</v>
      </c>
      <c r="Q173" s="173">
        <v>5</v>
      </c>
      <c r="R173" s="174">
        <v>3.99</v>
      </c>
      <c r="S173" s="176">
        <f t="shared" si="157"/>
        <v>0.83789999999999998</v>
      </c>
      <c r="T173" s="370"/>
      <c r="U173" s="176">
        <f t="shared" si="129"/>
        <v>0</v>
      </c>
      <c r="V173" s="175">
        <f t="shared" si="158"/>
        <v>0</v>
      </c>
      <c r="W173" s="170"/>
      <c r="X173" s="179">
        <v>0.21</v>
      </c>
      <c r="Y173" s="216">
        <f t="shared" si="130"/>
        <v>0.83789999999999998</v>
      </c>
      <c r="Z173" s="216">
        <f t="shared" si="131"/>
        <v>4.8279000000000005</v>
      </c>
      <c r="AA173" s="180">
        <f t="shared" si="132"/>
        <v>8690220</v>
      </c>
      <c r="AB173" s="180"/>
      <c r="AC173" s="180">
        <f t="shared" si="133"/>
        <v>0</v>
      </c>
      <c r="AD173" s="180">
        <f t="shared" ref="AD173:AD181" si="160">AA173/24*AB173*75%</f>
        <v>0</v>
      </c>
      <c r="AE173" s="180">
        <f t="shared" si="134"/>
        <v>8690220</v>
      </c>
      <c r="AF173" s="178">
        <f t="shared" si="135"/>
        <v>695217.6</v>
      </c>
      <c r="AG173" s="178">
        <f t="shared" si="136"/>
        <v>130353.29999999999</v>
      </c>
      <c r="AH173" s="178">
        <f t="shared" si="137"/>
        <v>86902.2</v>
      </c>
      <c r="AI173" s="178"/>
      <c r="AJ173" s="178">
        <f t="shared" si="138"/>
        <v>912473.09999999986</v>
      </c>
      <c r="AK173" s="192"/>
      <c r="AL173" s="182">
        <f t="shared" si="159"/>
        <v>0</v>
      </c>
      <c r="AM173" s="182"/>
      <c r="AN173" s="182"/>
      <c r="AO173" s="193">
        <f t="shared" si="121"/>
        <v>3.99</v>
      </c>
      <c r="AP173" s="246">
        <v>0.25</v>
      </c>
      <c r="AQ173" s="194">
        <f t="shared" si="139"/>
        <v>0.99750000000000005</v>
      </c>
      <c r="AR173" s="178">
        <f t="shared" si="140"/>
        <v>1795500</v>
      </c>
      <c r="AS173" s="178"/>
      <c r="AT173" s="178">
        <f t="shared" si="141"/>
        <v>9573247</v>
      </c>
      <c r="AU173" s="469">
        <f t="shared" si="142"/>
        <v>155</v>
      </c>
      <c r="AV173" s="195"/>
      <c r="AW173" s="187" t="s">
        <v>710</v>
      </c>
    </row>
    <row r="174" spans="1:59" s="191" customFormat="1" ht="30.75" customHeight="1" x14ac:dyDescent="0.25">
      <c r="A174" s="900">
        <f t="shared" si="127"/>
        <v>156</v>
      </c>
      <c r="B174" s="168" t="str">
        <f>VLOOKUP(D174,[1]LuongBC_T01!$B$9:$C$292,2,FALSE)</f>
        <v>0016100006775009</v>
      </c>
      <c r="C174" s="199" t="s">
        <v>958</v>
      </c>
      <c r="D174" s="169" t="s">
        <v>1220</v>
      </c>
      <c r="E174" s="263" t="s">
        <v>1094</v>
      </c>
      <c r="F174" s="169" t="s">
        <v>550</v>
      </c>
      <c r="G174" s="170" t="s">
        <v>25</v>
      </c>
      <c r="H174" s="170" t="s">
        <v>283</v>
      </c>
      <c r="I174" s="170" t="s">
        <v>283</v>
      </c>
      <c r="J174" s="169" t="s">
        <v>256</v>
      </c>
      <c r="K174" s="170" t="str">
        <f>VLOOKUP(D174,[2]T3!$B$2:$D$328,3,FALSE)</f>
        <v>023621571</v>
      </c>
      <c r="L174" s="171" t="s">
        <v>165</v>
      </c>
      <c r="M174" s="171" t="s">
        <v>958</v>
      </c>
      <c r="N174" s="263" t="str">
        <f>VLOOKUP(D174,'[5]Bao cao So GDDT'!$D$14:$S$282,11,FALSE)</f>
        <v>Giảng viên
(hạng III)</v>
      </c>
      <c r="O174" s="390" t="s">
        <v>807</v>
      </c>
      <c r="P174" s="172" t="s">
        <v>692</v>
      </c>
      <c r="Q174" s="173">
        <v>5</v>
      </c>
      <c r="R174" s="174">
        <v>4.32</v>
      </c>
      <c r="S174" s="176">
        <f t="shared" si="157"/>
        <v>0.73440000000000005</v>
      </c>
      <c r="T174" s="370"/>
      <c r="U174" s="176">
        <f t="shared" si="129"/>
        <v>0</v>
      </c>
      <c r="V174" s="175">
        <f t="shared" si="158"/>
        <v>0</v>
      </c>
      <c r="W174" s="200"/>
      <c r="X174" s="179">
        <v>0.17</v>
      </c>
      <c r="Y174" s="216">
        <f t="shared" si="130"/>
        <v>0.73440000000000005</v>
      </c>
      <c r="Z174" s="216">
        <f t="shared" si="131"/>
        <v>5.0544000000000002</v>
      </c>
      <c r="AA174" s="180">
        <f t="shared" si="132"/>
        <v>9097920</v>
      </c>
      <c r="AB174" s="180"/>
      <c r="AC174" s="180">
        <f t="shared" si="133"/>
        <v>0</v>
      </c>
      <c r="AD174" s="180">
        <f t="shared" si="160"/>
        <v>0</v>
      </c>
      <c r="AE174" s="180">
        <f t="shared" si="134"/>
        <v>9097920</v>
      </c>
      <c r="AF174" s="178">
        <f t="shared" si="135"/>
        <v>727833.59999999998</v>
      </c>
      <c r="AG174" s="178">
        <f t="shared" si="136"/>
        <v>136468.79999999999</v>
      </c>
      <c r="AH174" s="178">
        <f t="shared" si="137"/>
        <v>90979.199999999997</v>
      </c>
      <c r="AI174" s="178"/>
      <c r="AJ174" s="178">
        <f t="shared" si="138"/>
        <v>955281.59999999986</v>
      </c>
      <c r="AK174" s="181"/>
      <c r="AL174" s="182">
        <f t="shared" si="159"/>
        <v>0</v>
      </c>
      <c r="AM174" s="182"/>
      <c r="AN174" s="182"/>
      <c r="AO174" s="193">
        <f t="shared" si="121"/>
        <v>4.32</v>
      </c>
      <c r="AP174" s="246">
        <v>0.25</v>
      </c>
      <c r="AQ174" s="194">
        <f t="shared" si="139"/>
        <v>1.08</v>
      </c>
      <c r="AR174" s="178">
        <f t="shared" si="140"/>
        <v>1944000</v>
      </c>
      <c r="AS174" s="178"/>
      <c r="AT174" s="178">
        <f t="shared" si="141"/>
        <v>10086638</v>
      </c>
      <c r="AU174" s="469">
        <f t="shared" si="142"/>
        <v>156</v>
      </c>
      <c r="AV174" s="186"/>
      <c r="AW174" s="198" t="s">
        <v>710</v>
      </c>
    </row>
    <row r="175" spans="1:59" s="189" customFormat="1" ht="30.75" customHeight="1" x14ac:dyDescent="0.25">
      <c r="A175" s="900">
        <f t="shared" si="127"/>
        <v>157</v>
      </c>
      <c r="B175" s="168" t="str">
        <f>VLOOKUP(D175,[1]LuongBC_T01!$B$9:$C$292,2,FALSE)</f>
        <v>0016100006625007</v>
      </c>
      <c r="C175" s="199" t="s">
        <v>963</v>
      </c>
      <c r="D175" s="169" t="s">
        <v>566</v>
      </c>
      <c r="E175" s="263" t="s">
        <v>1094</v>
      </c>
      <c r="F175" s="169" t="s">
        <v>550</v>
      </c>
      <c r="G175" s="200"/>
      <c r="H175" s="200" t="s">
        <v>283</v>
      </c>
      <c r="I175" s="200" t="s">
        <v>283</v>
      </c>
      <c r="J175" s="200" t="s">
        <v>575</v>
      </c>
      <c r="K175" s="170" t="str">
        <f>VLOOKUP(D175,[2]T3!$B$2:$D$328,3,FALSE)</f>
        <v>025244382</v>
      </c>
      <c r="L175" s="201" t="s">
        <v>597</v>
      </c>
      <c r="M175" s="201" t="s">
        <v>963</v>
      </c>
      <c r="N175" s="263" t="str">
        <f>VLOOKUP(D175,'[5]Bao cao So GDDT'!$D$14:$S$282,11,FALSE)</f>
        <v>Giảng viên
(hạng III)</v>
      </c>
      <c r="O175" s="392" t="s">
        <v>807</v>
      </c>
      <c r="P175" s="170" t="s">
        <v>692</v>
      </c>
      <c r="Q175" s="170">
        <v>4</v>
      </c>
      <c r="R175" s="177">
        <v>3.99</v>
      </c>
      <c r="S175" s="176">
        <f t="shared" si="157"/>
        <v>0.51870000000000005</v>
      </c>
      <c r="T175" s="220"/>
      <c r="U175" s="176">
        <f t="shared" si="129"/>
        <v>0</v>
      </c>
      <c r="V175" s="175">
        <f t="shared" si="158"/>
        <v>0</v>
      </c>
      <c r="W175" s="170"/>
      <c r="X175" s="179">
        <v>0.13</v>
      </c>
      <c r="Y175" s="216">
        <f t="shared" si="130"/>
        <v>0.51870000000000005</v>
      </c>
      <c r="Z175" s="216">
        <f t="shared" si="131"/>
        <v>4.5087000000000002</v>
      </c>
      <c r="AA175" s="180">
        <f t="shared" si="132"/>
        <v>8115660</v>
      </c>
      <c r="AB175" s="180"/>
      <c r="AC175" s="180">
        <f t="shared" si="133"/>
        <v>0</v>
      </c>
      <c r="AD175" s="180">
        <f t="shared" si="160"/>
        <v>0</v>
      </c>
      <c r="AE175" s="180">
        <f t="shared" si="134"/>
        <v>8115660</v>
      </c>
      <c r="AF175" s="178">
        <f t="shared" si="135"/>
        <v>649252.80000000005</v>
      </c>
      <c r="AG175" s="178">
        <f t="shared" si="136"/>
        <v>121734.9</v>
      </c>
      <c r="AH175" s="178">
        <f t="shared" si="137"/>
        <v>81156.600000000006</v>
      </c>
      <c r="AI175" s="178"/>
      <c r="AJ175" s="178">
        <f t="shared" si="138"/>
        <v>852144.3</v>
      </c>
      <c r="AK175" s="192"/>
      <c r="AL175" s="182">
        <f t="shared" si="159"/>
        <v>0</v>
      </c>
      <c r="AM175" s="182"/>
      <c r="AN175" s="182"/>
      <c r="AO175" s="193">
        <f t="shared" si="121"/>
        <v>3.99</v>
      </c>
      <c r="AP175" s="246">
        <v>0.25</v>
      </c>
      <c r="AQ175" s="194">
        <f t="shared" si="139"/>
        <v>0.99750000000000005</v>
      </c>
      <c r="AR175" s="178">
        <f t="shared" si="140"/>
        <v>1795500</v>
      </c>
      <c r="AS175" s="178"/>
      <c r="AT175" s="178">
        <f t="shared" si="141"/>
        <v>9059016</v>
      </c>
      <c r="AU175" s="469">
        <f t="shared" si="142"/>
        <v>157</v>
      </c>
      <c r="AV175" s="186"/>
      <c r="AW175" s="198" t="s">
        <v>710</v>
      </c>
    </row>
    <row r="176" spans="1:59" s="189" customFormat="1" ht="30.75" customHeight="1" x14ac:dyDescent="0.25">
      <c r="A176" s="900">
        <f t="shared" si="127"/>
        <v>158</v>
      </c>
      <c r="B176" s="168" t="s">
        <v>1264</v>
      </c>
      <c r="C176" s="199" t="s">
        <v>996</v>
      </c>
      <c r="D176" s="169" t="s">
        <v>48</v>
      </c>
      <c r="E176" s="263" t="s">
        <v>1094</v>
      </c>
      <c r="F176" s="169" t="s">
        <v>549</v>
      </c>
      <c r="G176" s="200" t="s">
        <v>25</v>
      </c>
      <c r="H176" s="200" t="s">
        <v>283</v>
      </c>
      <c r="I176" s="200" t="s">
        <v>283</v>
      </c>
      <c r="J176" s="200" t="s">
        <v>592</v>
      </c>
      <c r="K176" s="170" t="str">
        <f>VLOOKUP(D176,[2]T3!$B$2:$D$328,3,FALSE)</f>
        <v>024246529</v>
      </c>
      <c r="L176" s="201" t="s">
        <v>614</v>
      </c>
      <c r="M176" s="201" t="s">
        <v>996</v>
      </c>
      <c r="N176" s="263" t="str">
        <f>VLOOKUP(D176,'[5]Bao cao So GDDT'!$D$14:$S$282,11,FALSE)</f>
        <v>Giảng viên
(hạng III)</v>
      </c>
      <c r="O176" s="390" t="s">
        <v>807</v>
      </c>
      <c r="P176" s="170" t="s">
        <v>692</v>
      </c>
      <c r="Q176" s="170">
        <v>3</v>
      </c>
      <c r="R176" s="177">
        <v>3.66</v>
      </c>
      <c r="S176" s="176">
        <f t="shared" si="157"/>
        <v>0.4758</v>
      </c>
      <c r="T176" s="220"/>
      <c r="U176" s="176">
        <f t="shared" si="129"/>
        <v>0</v>
      </c>
      <c r="V176" s="175">
        <f t="shared" si="158"/>
        <v>0</v>
      </c>
      <c r="W176" s="170"/>
      <c r="X176" s="179">
        <v>0.13</v>
      </c>
      <c r="Y176" s="216">
        <f t="shared" si="130"/>
        <v>0.4758</v>
      </c>
      <c r="Z176" s="216">
        <f t="shared" si="131"/>
        <v>4.1357999999999997</v>
      </c>
      <c r="AA176" s="180">
        <f t="shared" si="132"/>
        <v>7444440</v>
      </c>
      <c r="AB176" s="180"/>
      <c r="AC176" s="180">
        <f t="shared" si="133"/>
        <v>0</v>
      </c>
      <c r="AD176" s="180">
        <f t="shared" si="160"/>
        <v>0</v>
      </c>
      <c r="AE176" s="180">
        <f t="shared" si="134"/>
        <v>7444440</v>
      </c>
      <c r="AF176" s="178">
        <f t="shared" si="135"/>
        <v>595555.20000000007</v>
      </c>
      <c r="AG176" s="178">
        <f t="shared" si="136"/>
        <v>111666.59999999999</v>
      </c>
      <c r="AH176" s="178">
        <f t="shared" si="137"/>
        <v>74444.400000000009</v>
      </c>
      <c r="AI176" s="178"/>
      <c r="AJ176" s="178">
        <f t="shared" si="138"/>
        <v>781666.20000000007</v>
      </c>
      <c r="AK176" s="192"/>
      <c r="AL176" s="182">
        <f t="shared" si="159"/>
        <v>0</v>
      </c>
      <c r="AM176" s="182"/>
      <c r="AN176" s="182"/>
      <c r="AO176" s="193">
        <f t="shared" si="121"/>
        <v>3.66</v>
      </c>
      <c r="AP176" s="246">
        <v>0.25</v>
      </c>
      <c r="AQ176" s="194">
        <f t="shared" si="139"/>
        <v>0.91500000000000004</v>
      </c>
      <c r="AR176" s="178">
        <f t="shared" si="140"/>
        <v>1647000</v>
      </c>
      <c r="AS176" s="178"/>
      <c r="AT176" s="178">
        <f t="shared" si="141"/>
        <v>8309774</v>
      </c>
      <c r="AU176" s="469">
        <f t="shared" si="142"/>
        <v>158</v>
      </c>
      <c r="AV176" s="195"/>
      <c r="AW176" s="198" t="s">
        <v>710</v>
      </c>
    </row>
    <row r="177" spans="1:59" s="189" customFormat="1" ht="30.75" customHeight="1" x14ac:dyDescent="0.25">
      <c r="A177" s="1056">
        <f t="shared" si="127"/>
        <v>159</v>
      </c>
      <c r="B177" s="1057" t="str">
        <f>VLOOKUP(D177,[1]LuongBC_T01!$B$9:$C$292,2,FALSE)</f>
        <v>0016100006683007</v>
      </c>
      <c r="C177" s="1058" t="s">
        <v>949</v>
      </c>
      <c r="D177" s="1059" t="s">
        <v>821</v>
      </c>
      <c r="E177" s="1060" t="s">
        <v>1658</v>
      </c>
      <c r="F177" s="1059"/>
      <c r="G177" s="1061" t="s">
        <v>25</v>
      </c>
      <c r="H177" s="1061"/>
      <c r="I177" s="1061"/>
      <c r="J177" s="1059"/>
      <c r="K177" s="1057" t="s">
        <v>1341</v>
      </c>
      <c r="L177" s="1062"/>
      <c r="M177" s="1062" t="s">
        <v>949</v>
      </c>
      <c r="N177" s="1060" t="str">
        <f>VLOOKUP(D177,'[5]Bao cao So GDDT'!$D$14:$S$282,11,FALSE)</f>
        <v>Giảng viên
(hạng III)</v>
      </c>
      <c r="O177" s="1063" t="s">
        <v>1438</v>
      </c>
      <c r="P177" s="1064" t="s">
        <v>692</v>
      </c>
      <c r="Q177" s="1065">
        <v>3</v>
      </c>
      <c r="R177" s="1066">
        <v>3.33</v>
      </c>
      <c r="S177" s="1067">
        <f t="shared" si="157"/>
        <v>0.71460000000000001</v>
      </c>
      <c r="T177" s="1068"/>
      <c r="U177" s="1067">
        <f t="shared" si="129"/>
        <v>0</v>
      </c>
      <c r="V177" s="1069">
        <f t="shared" si="158"/>
        <v>0</v>
      </c>
      <c r="W177" s="1061">
        <v>0.45</v>
      </c>
      <c r="X177" s="1070">
        <v>7.0000000000000007E-2</v>
      </c>
      <c r="Y177" s="1071">
        <f t="shared" si="130"/>
        <v>0.2646</v>
      </c>
      <c r="Z177" s="1071">
        <f t="shared" si="131"/>
        <v>4.0446</v>
      </c>
      <c r="AA177" s="1072">
        <f t="shared" si="132"/>
        <v>7280280</v>
      </c>
      <c r="AB177" s="1072"/>
      <c r="AC177" s="1072">
        <f t="shared" si="133"/>
        <v>0</v>
      </c>
      <c r="AD177" s="1072">
        <f t="shared" si="160"/>
        <v>0</v>
      </c>
      <c r="AE177" s="1072">
        <f t="shared" si="134"/>
        <v>7280280</v>
      </c>
      <c r="AF177" s="1073">
        <f t="shared" si="135"/>
        <v>582422.4</v>
      </c>
      <c r="AG177" s="1073">
        <f t="shared" si="136"/>
        <v>109204.2</v>
      </c>
      <c r="AH177" s="1073">
        <f t="shared" si="137"/>
        <v>72802.8</v>
      </c>
      <c r="AI177" s="1073"/>
      <c r="AJ177" s="1073">
        <f t="shared" si="138"/>
        <v>764429.4</v>
      </c>
      <c r="AK177" s="1074"/>
      <c r="AL177" s="1075">
        <f t="shared" si="159"/>
        <v>0</v>
      </c>
      <c r="AM177" s="1075"/>
      <c r="AN177" s="1075"/>
      <c r="AO177" s="1076">
        <f t="shared" si="121"/>
        <v>3.7800000000000002</v>
      </c>
      <c r="AP177" s="1077">
        <v>0.25</v>
      </c>
      <c r="AQ177" s="1078">
        <f t="shared" si="139"/>
        <v>0.94499999999999995</v>
      </c>
      <c r="AR177" s="1073">
        <f t="shared" si="140"/>
        <v>1701000</v>
      </c>
      <c r="AS177" s="1073"/>
      <c r="AT177" s="1073">
        <f t="shared" si="141"/>
        <v>8216851</v>
      </c>
      <c r="AU177" s="1079">
        <f t="shared" si="142"/>
        <v>159</v>
      </c>
      <c r="AV177" s="1080"/>
      <c r="AW177" s="242"/>
    </row>
    <row r="178" spans="1:59" s="189" customFormat="1" ht="30.75" customHeight="1" x14ac:dyDescent="0.25">
      <c r="A178" s="900">
        <f t="shared" si="127"/>
        <v>160</v>
      </c>
      <c r="B178" s="168" t="str">
        <f>VLOOKUP(D178,[1]LuongBC_T01!$B$9:$C$292,2,FALSE)</f>
        <v>0016100006772007</v>
      </c>
      <c r="C178" s="199" t="s">
        <v>943</v>
      </c>
      <c r="D178" s="169" t="s">
        <v>815</v>
      </c>
      <c r="E178" s="263" t="s">
        <v>1094</v>
      </c>
      <c r="F178" s="169"/>
      <c r="G178" s="170"/>
      <c r="H178" s="170"/>
      <c r="I178" s="170"/>
      <c r="J178" s="169"/>
      <c r="K178" s="170" t="str">
        <f>VLOOKUP(D178,[2]T3!$B$2:$D$328,3,FALSE)</f>
        <v>025013400</v>
      </c>
      <c r="L178" s="249"/>
      <c r="M178" s="249" t="s">
        <v>943</v>
      </c>
      <c r="N178" s="263" t="str">
        <f>VLOOKUP(D178,'[5]Bao cao So GDDT'!$D$14:$S$282,11,FALSE)</f>
        <v>Giảng viên
(hạng III)</v>
      </c>
      <c r="O178" s="390" t="s">
        <v>807</v>
      </c>
      <c r="P178" s="222" t="s">
        <v>692</v>
      </c>
      <c r="Q178" s="172">
        <v>3</v>
      </c>
      <c r="R178" s="174">
        <v>3.66</v>
      </c>
      <c r="S178" s="176">
        <f t="shared" si="157"/>
        <v>0.32940000000000003</v>
      </c>
      <c r="T178" s="370"/>
      <c r="U178" s="176">
        <f t="shared" si="129"/>
        <v>0</v>
      </c>
      <c r="V178" s="175">
        <f t="shared" si="158"/>
        <v>0</v>
      </c>
      <c r="W178" s="170"/>
      <c r="X178" s="179">
        <v>0.09</v>
      </c>
      <c r="Y178" s="216">
        <f t="shared" si="130"/>
        <v>0.32940000000000003</v>
      </c>
      <c r="Z178" s="216">
        <f t="shared" si="131"/>
        <v>3.9894000000000003</v>
      </c>
      <c r="AA178" s="180">
        <f t="shared" si="132"/>
        <v>7180920</v>
      </c>
      <c r="AB178" s="180"/>
      <c r="AC178" s="180">
        <f t="shared" si="133"/>
        <v>0</v>
      </c>
      <c r="AD178" s="180">
        <f t="shared" si="160"/>
        <v>0</v>
      </c>
      <c r="AE178" s="180">
        <f t="shared" si="134"/>
        <v>7180920</v>
      </c>
      <c r="AF178" s="178">
        <f t="shared" si="135"/>
        <v>574473.6</v>
      </c>
      <c r="AG178" s="178">
        <f t="shared" si="136"/>
        <v>107713.8</v>
      </c>
      <c r="AH178" s="178">
        <f t="shared" si="137"/>
        <v>71809.2</v>
      </c>
      <c r="AI178" s="178"/>
      <c r="AJ178" s="178">
        <f t="shared" si="138"/>
        <v>753996.6</v>
      </c>
      <c r="AK178" s="192"/>
      <c r="AL178" s="182">
        <f t="shared" si="159"/>
        <v>0</v>
      </c>
      <c r="AM178" s="182"/>
      <c r="AN178" s="182"/>
      <c r="AO178" s="193">
        <f t="shared" si="121"/>
        <v>3.66</v>
      </c>
      <c r="AP178" s="246">
        <v>0.25</v>
      </c>
      <c r="AQ178" s="194">
        <f t="shared" si="139"/>
        <v>0.91500000000000004</v>
      </c>
      <c r="AR178" s="178">
        <f t="shared" si="140"/>
        <v>1647000</v>
      </c>
      <c r="AS178" s="178"/>
      <c r="AT178" s="178">
        <f t="shared" si="141"/>
        <v>8073923</v>
      </c>
      <c r="AU178" s="469">
        <f t="shared" si="142"/>
        <v>160</v>
      </c>
      <c r="AV178" s="244"/>
      <c r="AW178" s="242"/>
    </row>
    <row r="179" spans="1:59" s="189" customFormat="1" ht="30.75" customHeight="1" x14ac:dyDescent="0.25">
      <c r="A179" s="900">
        <f t="shared" si="127"/>
        <v>161</v>
      </c>
      <c r="B179" s="168" t="str">
        <f>VLOOKUP(D179,[1]LuongBC_T01!$B$9:$C$292,2,FALSE)</f>
        <v>0016100006789007</v>
      </c>
      <c r="C179" s="199" t="s">
        <v>965</v>
      </c>
      <c r="D179" s="169" t="s">
        <v>1222</v>
      </c>
      <c r="E179" s="263" t="s">
        <v>1628</v>
      </c>
      <c r="F179" s="169" t="s">
        <v>550</v>
      </c>
      <c r="G179" s="200" t="s">
        <v>25</v>
      </c>
      <c r="H179" s="200" t="s">
        <v>283</v>
      </c>
      <c r="I179" s="200" t="s">
        <v>283</v>
      </c>
      <c r="J179" s="200"/>
      <c r="K179" s="168" t="s">
        <v>1339</v>
      </c>
      <c r="L179" s="201" t="s">
        <v>672</v>
      </c>
      <c r="M179" s="201" t="s">
        <v>965</v>
      </c>
      <c r="N179" s="263" t="str">
        <f>VLOOKUP(D179,'[5]Bao cao So GDDT'!$D$14:$S$282,11,FALSE)</f>
        <v>Giảng viên GDNN LT (hạng III)</v>
      </c>
      <c r="O179" s="390" t="s">
        <v>1438</v>
      </c>
      <c r="P179" s="222" t="s">
        <v>692</v>
      </c>
      <c r="Q179" s="172">
        <v>4</v>
      </c>
      <c r="R179" s="430">
        <v>3.99</v>
      </c>
      <c r="S179" s="176">
        <f t="shared" si="157"/>
        <v>0.55859999999999999</v>
      </c>
      <c r="T179" s="220"/>
      <c r="U179" s="176">
        <f t="shared" si="129"/>
        <v>0</v>
      </c>
      <c r="V179" s="175">
        <f t="shared" si="158"/>
        <v>0</v>
      </c>
      <c r="W179" s="170"/>
      <c r="X179" s="179">
        <v>0.14000000000000001</v>
      </c>
      <c r="Y179" s="216">
        <f t="shared" si="130"/>
        <v>0.55859999999999999</v>
      </c>
      <c r="Z179" s="216">
        <f t="shared" si="131"/>
        <v>4.5486000000000004</v>
      </c>
      <c r="AA179" s="180">
        <f t="shared" si="132"/>
        <v>8187480</v>
      </c>
      <c r="AB179" s="180"/>
      <c r="AC179" s="180">
        <f t="shared" si="133"/>
        <v>0</v>
      </c>
      <c r="AD179" s="180">
        <f t="shared" si="160"/>
        <v>0</v>
      </c>
      <c r="AE179" s="180">
        <f t="shared" si="134"/>
        <v>8187480</v>
      </c>
      <c r="AF179" s="178">
        <f t="shared" si="135"/>
        <v>654998.4</v>
      </c>
      <c r="AG179" s="178">
        <f t="shared" si="136"/>
        <v>122812.2</v>
      </c>
      <c r="AH179" s="178">
        <f t="shared" si="137"/>
        <v>81874.8</v>
      </c>
      <c r="AI179" s="178"/>
      <c r="AJ179" s="178">
        <f t="shared" si="138"/>
        <v>859685.4</v>
      </c>
      <c r="AK179" s="192"/>
      <c r="AL179" s="182">
        <f t="shared" si="159"/>
        <v>0</v>
      </c>
      <c r="AM179" s="182"/>
      <c r="AN179" s="182"/>
      <c r="AO179" s="193">
        <f t="shared" ref="AO179:AO212" si="161">R179+U179+W179</f>
        <v>3.99</v>
      </c>
      <c r="AP179" s="246">
        <v>0.25</v>
      </c>
      <c r="AQ179" s="194">
        <f t="shared" si="139"/>
        <v>0.99750000000000005</v>
      </c>
      <c r="AR179" s="178">
        <f t="shared" si="140"/>
        <v>1795500</v>
      </c>
      <c r="AS179" s="178"/>
      <c r="AT179" s="178">
        <f t="shared" si="141"/>
        <v>9123295</v>
      </c>
      <c r="AU179" s="469">
        <f t="shared" si="142"/>
        <v>161</v>
      </c>
      <c r="AV179" s="195"/>
      <c r="AW179" s="187" t="s">
        <v>710</v>
      </c>
    </row>
    <row r="180" spans="1:59" s="189" customFormat="1" ht="30.75" customHeight="1" x14ac:dyDescent="0.25">
      <c r="A180" s="900">
        <f t="shared" si="127"/>
        <v>162</v>
      </c>
      <c r="B180" s="168" t="str">
        <f>VLOOKUP(D180,[1]LuongBC_T01!$B$9:$C$292,2,FALSE)</f>
        <v>0016100006621001</v>
      </c>
      <c r="C180" s="199" t="s">
        <v>973</v>
      </c>
      <c r="D180" s="169" t="s">
        <v>67</v>
      </c>
      <c r="E180" s="263" t="s">
        <v>1628</v>
      </c>
      <c r="F180" s="169" t="s">
        <v>549</v>
      </c>
      <c r="G180" s="200" t="s">
        <v>25</v>
      </c>
      <c r="H180" s="200" t="s">
        <v>283</v>
      </c>
      <c r="I180" s="170" t="s">
        <v>283</v>
      </c>
      <c r="J180" s="169" t="s">
        <v>249</v>
      </c>
      <c r="K180" s="170" t="str">
        <f>VLOOKUP(D180,[2]T3!$B$2:$D$328,3,FALSE)</f>
        <v>024906495</v>
      </c>
      <c r="L180" s="171" t="s">
        <v>116</v>
      </c>
      <c r="M180" s="171" t="s">
        <v>973</v>
      </c>
      <c r="N180" s="263" t="str">
        <f>VLOOKUP(D180,'[5]Bao cao So GDDT'!$D$14:$S$282,11,FALSE)</f>
        <v>Giảng viên GDNN LT (hạng III)</v>
      </c>
      <c r="O180" s="390" t="s">
        <v>1438</v>
      </c>
      <c r="P180" s="172" t="s">
        <v>692</v>
      </c>
      <c r="Q180" s="173">
        <v>4</v>
      </c>
      <c r="R180" s="174">
        <v>3.99</v>
      </c>
      <c r="S180" s="176">
        <f t="shared" si="157"/>
        <v>0.59850000000000003</v>
      </c>
      <c r="T180" s="370"/>
      <c r="U180" s="176">
        <f t="shared" si="129"/>
        <v>0</v>
      </c>
      <c r="V180" s="175">
        <f t="shared" si="158"/>
        <v>0</v>
      </c>
      <c r="W180" s="170"/>
      <c r="X180" s="179">
        <v>0.15</v>
      </c>
      <c r="Y180" s="216">
        <f t="shared" si="130"/>
        <v>0.59850000000000003</v>
      </c>
      <c r="Z180" s="216">
        <f t="shared" si="131"/>
        <v>4.5884999999999998</v>
      </c>
      <c r="AA180" s="180">
        <f t="shared" si="132"/>
        <v>8259300</v>
      </c>
      <c r="AB180" s="180"/>
      <c r="AC180" s="180">
        <f t="shared" si="133"/>
        <v>0</v>
      </c>
      <c r="AD180" s="180">
        <f t="shared" si="160"/>
        <v>0</v>
      </c>
      <c r="AE180" s="180">
        <f t="shared" si="134"/>
        <v>8259300</v>
      </c>
      <c r="AF180" s="178">
        <f t="shared" si="135"/>
        <v>660744</v>
      </c>
      <c r="AG180" s="178">
        <f t="shared" si="136"/>
        <v>123889.5</v>
      </c>
      <c r="AH180" s="178">
        <f t="shared" si="137"/>
        <v>82593</v>
      </c>
      <c r="AI180" s="178"/>
      <c r="AJ180" s="178">
        <f t="shared" si="138"/>
        <v>867226.5</v>
      </c>
      <c r="AK180" s="192"/>
      <c r="AL180" s="182">
        <f t="shared" si="159"/>
        <v>0</v>
      </c>
      <c r="AM180" s="182"/>
      <c r="AN180" s="182"/>
      <c r="AO180" s="193">
        <f t="shared" si="161"/>
        <v>3.99</v>
      </c>
      <c r="AP180" s="246">
        <v>0.25</v>
      </c>
      <c r="AQ180" s="194">
        <f t="shared" si="139"/>
        <v>0.99750000000000005</v>
      </c>
      <c r="AR180" s="178">
        <f t="shared" si="140"/>
        <v>1795500</v>
      </c>
      <c r="AS180" s="178"/>
      <c r="AT180" s="178">
        <f t="shared" si="141"/>
        <v>9187574</v>
      </c>
      <c r="AU180" s="469">
        <f t="shared" si="142"/>
        <v>162</v>
      </c>
      <c r="AV180" s="186"/>
      <c r="AW180" s="187" t="s">
        <v>710</v>
      </c>
    </row>
    <row r="181" spans="1:59" s="189" customFormat="1" ht="30.75" customHeight="1" x14ac:dyDescent="0.25">
      <c r="A181" s="1035">
        <f t="shared" si="127"/>
        <v>163</v>
      </c>
      <c r="B181" s="683" t="str">
        <f>VLOOKUP(D181,[1]LuongBC_T01!$B$9:$C$292,2,FALSE)</f>
        <v>0016100006624008</v>
      </c>
      <c r="C181" s="704" t="s">
        <v>974</v>
      </c>
      <c r="D181" s="684" t="s">
        <v>312</v>
      </c>
      <c r="E181" s="685" t="s">
        <v>1094</v>
      </c>
      <c r="F181" s="684" t="s">
        <v>549</v>
      </c>
      <c r="G181" s="706"/>
      <c r="H181" s="706" t="s">
        <v>283</v>
      </c>
      <c r="I181" s="686" t="s">
        <v>283</v>
      </c>
      <c r="J181" s="684" t="s">
        <v>542</v>
      </c>
      <c r="K181" s="683" t="s">
        <v>1340</v>
      </c>
      <c r="L181" s="701" t="s">
        <v>325</v>
      </c>
      <c r="M181" s="701" t="s">
        <v>974</v>
      </c>
      <c r="N181" s="685" t="str">
        <f>VLOOKUP(D181,'[5]Bao cao So GDDT'!$D$14:$S$282,11,FALSE)</f>
        <v>Giảng viên
(hạng III)</v>
      </c>
      <c r="O181" s="687" t="s">
        <v>807</v>
      </c>
      <c r="P181" s="688" t="s">
        <v>692</v>
      </c>
      <c r="Q181" s="689">
        <v>3</v>
      </c>
      <c r="R181" s="690">
        <v>3.99</v>
      </c>
      <c r="S181" s="691">
        <f t="shared" si="157"/>
        <v>0.63839999999999997</v>
      </c>
      <c r="T181" s="692"/>
      <c r="U181" s="691">
        <f t="shared" si="129"/>
        <v>0</v>
      </c>
      <c r="V181" s="693">
        <f t="shared" si="158"/>
        <v>0</v>
      </c>
      <c r="W181" s="686"/>
      <c r="X181" s="694">
        <v>0.16</v>
      </c>
      <c r="Y181" s="695">
        <f t="shared" si="130"/>
        <v>0.63839999999999997</v>
      </c>
      <c r="Z181" s="695">
        <f t="shared" si="131"/>
        <v>4.6284000000000001</v>
      </c>
      <c r="AA181" s="696">
        <f t="shared" si="132"/>
        <v>8331120</v>
      </c>
      <c r="AB181" s="696"/>
      <c r="AC181" s="696">
        <f t="shared" si="133"/>
        <v>0</v>
      </c>
      <c r="AD181" s="696">
        <f t="shared" si="160"/>
        <v>0</v>
      </c>
      <c r="AE181" s="696">
        <f t="shared" si="134"/>
        <v>8331120</v>
      </c>
      <c r="AF181" s="697">
        <f t="shared" si="135"/>
        <v>666489.59999999998</v>
      </c>
      <c r="AG181" s="697">
        <f t="shared" si="136"/>
        <v>124966.79999999999</v>
      </c>
      <c r="AH181" s="697">
        <f t="shared" si="137"/>
        <v>83311.199999999997</v>
      </c>
      <c r="AI181" s="697"/>
      <c r="AJ181" s="697">
        <f t="shared" si="138"/>
        <v>874767.59999999986</v>
      </c>
      <c r="AK181" s="702"/>
      <c r="AL181" s="698">
        <f t="shared" si="159"/>
        <v>0</v>
      </c>
      <c r="AM181" s="698"/>
      <c r="AN181" s="698"/>
      <c r="AO181" s="707">
        <f t="shared" si="161"/>
        <v>3.99</v>
      </c>
      <c r="AP181" s="703">
        <v>0.25</v>
      </c>
      <c r="AQ181" s="705">
        <f t="shared" si="139"/>
        <v>0.99750000000000005</v>
      </c>
      <c r="AR181" s="697">
        <f t="shared" si="140"/>
        <v>1795500</v>
      </c>
      <c r="AS181" s="697"/>
      <c r="AT181" s="697">
        <f t="shared" si="141"/>
        <v>9251852</v>
      </c>
      <c r="AU181" s="699">
        <f t="shared" si="142"/>
        <v>163</v>
      </c>
      <c r="AV181" s="700"/>
      <c r="AW181" s="187" t="s">
        <v>710</v>
      </c>
    </row>
    <row r="182" spans="1:59" s="189" customFormat="1" ht="30.75" customHeight="1" x14ac:dyDescent="0.25">
      <c r="A182" s="900">
        <f t="shared" si="127"/>
        <v>164</v>
      </c>
      <c r="B182" s="168" t="str">
        <f>VLOOKUP(D182,[1]LuongBC_T01!$B$9:$C$292,2,FALSE)</f>
        <v>0016100006623004</v>
      </c>
      <c r="C182" s="199" t="s">
        <v>982</v>
      </c>
      <c r="D182" s="169" t="s">
        <v>308</v>
      </c>
      <c r="E182" s="263" t="s">
        <v>1094</v>
      </c>
      <c r="F182" s="169" t="s">
        <v>550</v>
      </c>
      <c r="G182" s="200" t="s">
        <v>25</v>
      </c>
      <c r="H182" s="200" t="s">
        <v>283</v>
      </c>
      <c r="I182" s="170" t="s">
        <v>283</v>
      </c>
      <c r="J182" s="169" t="s">
        <v>537</v>
      </c>
      <c r="K182" s="170" t="str">
        <f>VLOOKUP(D182,[2]T3!$B$2:$D$328,3,FALSE)</f>
        <v>024943379</v>
      </c>
      <c r="L182" s="171" t="s">
        <v>341</v>
      </c>
      <c r="M182" s="171" t="s">
        <v>982</v>
      </c>
      <c r="N182" s="263" t="str">
        <f>VLOOKUP(D182,'[5]Bao cao So GDDT'!$D$14:$S$282,11,FALSE)</f>
        <v>Giảng viên
(hạng III)</v>
      </c>
      <c r="O182" s="390" t="s">
        <v>1438</v>
      </c>
      <c r="P182" s="172" t="s">
        <v>692</v>
      </c>
      <c r="Q182" s="173">
        <v>4</v>
      </c>
      <c r="R182" s="174">
        <v>3.99</v>
      </c>
      <c r="S182" s="176">
        <f t="shared" si="157"/>
        <v>0.55859999999999999</v>
      </c>
      <c r="T182" s="370"/>
      <c r="U182" s="176">
        <f t="shared" si="129"/>
        <v>0</v>
      </c>
      <c r="V182" s="175">
        <f t="shared" si="158"/>
        <v>0</v>
      </c>
      <c r="W182" s="170"/>
      <c r="X182" s="179">
        <v>0.14000000000000001</v>
      </c>
      <c r="Y182" s="216">
        <f t="shared" si="130"/>
        <v>0.55859999999999999</v>
      </c>
      <c r="Z182" s="216">
        <f t="shared" si="131"/>
        <v>4.5486000000000004</v>
      </c>
      <c r="AA182" s="180">
        <f t="shared" si="132"/>
        <v>8187480</v>
      </c>
      <c r="AB182" s="180"/>
      <c r="AC182" s="180">
        <f t="shared" si="133"/>
        <v>0</v>
      </c>
      <c r="AD182" s="180">
        <v>0</v>
      </c>
      <c r="AE182" s="180">
        <f t="shared" si="134"/>
        <v>8187480</v>
      </c>
      <c r="AF182" s="178">
        <f t="shared" si="135"/>
        <v>654998.4</v>
      </c>
      <c r="AG182" s="178">
        <f t="shared" si="136"/>
        <v>122812.2</v>
      </c>
      <c r="AH182" s="178">
        <f t="shared" si="137"/>
        <v>81874.8</v>
      </c>
      <c r="AI182" s="178"/>
      <c r="AJ182" s="178">
        <f t="shared" si="138"/>
        <v>859685.4</v>
      </c>
      <c r="AK182" s="192"/>
      <c r="AL182" s="182">
        <f t="shared" si="159"/>
        <v>0</v>
      </c>
      <c r="AM182" s="182"/>
      <c r="AN182" s="182"/>
      <c r="AO182" s="193">
        <f t="shared" si="161"/>
        <v>3.99</v>
      </c>
      <c r="AP182" s="246">
        <v>0.25</v>
      </c>
      <c r="AQ182" s="194">
        <f t="shared" si="139"/>
        <v>0.99750000000000005</v>
      </c>
      <c r="AR182" s="178">
        <f t="shared" si="140"/>
        <v>1795500</v>
      </c>
      <c r="AS182" s="178"/>
      <c r="AT182" s="178">
        <f t="shared" si="141"/>
        <v>9123295</v>
      </c>
      <c r="AU182" s="469">
        <f t="shared" si="142"/>
        <v>164</v>
      </c>
      <c r="AV182" s="195"/>
      <c r="AW182" s="198" t="s">
        <v>710</v>
      </c>
    </row>
    <row r="183" spans="1:59" s="189" customFormat="1" ht="36.75" customHeight="1" x14ac:dyDescent="0.25">
      <c r="A183" s="1028">
        <f t="shared" si="127"/>
        <v>165</v>
      </c>
      <c r="B183" s="673" t="str">
        <f>VLOOKUP(D183,[1]LuongBC_T01!$B$9:$C$292,2,FALSE)</f>
        <v>0016100006732008</v>
      </c>
      <c r="C183" s="715" t="s">
        <v>984</v>
      </c>
      <c r="D183" s="372" t="s">
        <v>311</v>
      </c>
      <c r="E183" s="674" t="s">
        <v>1094</v>
      </c>
      <c r="F183" s="372" t="s">
        <v>549</v>
      </c>
      <c r="G183" s="1053" t="s">
        <v>25</v>
      </c>
      <c r="H183" s="1053" t="s">
        <v>283</v>
      </c>
      <c r="I183" s="373" t="s">
        <v>283</v>
      </c>
      <c r="J183" s="372" t="s">
        <v>539</v>
      </c>
      <c r="K183" s="373" t="str">
        <f>VLOOKUP(D183,[2]T3!$B$2:$D$328,3,FALSE)</f>
        <v>024497762</v>
      </c>
      <c r="L183" s="1054" t="s">
        <v>337</v>
      </c>
      <c r="M183" s="1054" t="s">
        <v>984</v>
      </c>
      <c r="N183" s="674" t="str">
        <f>VLOOKUP(D183,'[5]Bao cao So GDDT'!$D$14:$S$282,11,FALSE)</f>
        <v>Giảng viên (hạng III)</v>
      </c>
      <c r="O183" s="713" t="s">
        <v>807</v>
      </c>
      <c r="P183" s="1045" t="s">
        <v>692</v>
      </c>
      <c r="Q183" s="1055">
        <v>3</v>
      </c>
      <c r="R183" s="1046">
        <v>3.99</v>
      </c>
      <c r="S183" s="675">
        <f t="shared" si="157"/>
        <v>0.55859999999999999</v>
      </c>
      <c r="T183" s="1047"/>
      <c r="U183" s="675">
        <f t="shared" si="129"/>
        <v>0</v>
      </c>
      <c r="V183" s="374">
        <f t="shared" si="158"/>
        <v>0</v>
      </c>
      <c r="W183" s="373"/>
      <c r="X183" s="676">
        <v>0.14000000000000001</v>
      </c>
      <c r="Y183" s="677">
        <f t="shared" si="130"/>
        <v>0.55859999999999999</v>
      </c>
      <c r="Z183" s="677">
        <f t="shared" si="131"/>
        <v>4.5486000000000004</v>
      </c>
      <c r="AA183" s="678">
        <f t="shared" si="132"/>
        <v>8187480</v>
      </c>
      <c r="AB183" s="678">
        <v>4</v>
      </c>
      <c r="AC183" s="678">
        <f t="shared" si="133"/>
        <v>1364580</v>
      </c>
      <c r="AD183" s="678">
        <v>0</v>
      </c>
      <c r="AE183" s="678">
        <f t="shared" si="134"/>
        <v>6822900</v>
      </c>
      <c r="AF183" s="375">
        <f t="shared" si="135"/>
        <v>654998.4</v>
      </c>
      <c r="AG183" s="375">
        <f t="shared" si="136"/>
        <v>122812.2</v>
      </c>
      <c r="AH183" s="375">
        <f t="shared" si="137"/>
        <v>81874.8</v>
      </c>
      <c r="AI183" s="375"/>
      <c r="AJ183" s="375">
        <f t="shared" si="138"/>
        <v>859685.4</v>
      </c>
      <c r="AK183" s="679"/>
      <c r="AL183" s="680">
        <f t="shared" si="159"/>
        <v>0</v>
      </c>
      <c r="AM183" s="680"/>
      <c r="AN183" s="680"/>
      <c r="AO183" s="1001">
        <f t="shared" si="161"/>
        <v>3.99</v>
      </c>
      <c r="AP183" s="716">
        <v>0.25</v>
      </c>
      <c r="AQ183" s="1002">
        <f t="shared" si="139"/>
        <v>0.99750000000000005</v>
      </c>
      <c r="AR183" s="375">
        <f t="shared" si="140"/>
        <v>1795500</v>
      </c>
      <c r="AS183" s="375"/>
      <c r="AT183" s="375">
        <f t="shared" si="141"/>
        <v>7758715</v>
      </c>
      <c r="AU183" s="682">
        <f t="shared" si="142"/>
        <v>165</v>
      </c>
      <c r="AV183" s="714" t="s">
        <v>1654</v>
      </c>
      <c r="AW183" s="198" t="s">
        <v>710</v>
      </c>
    </row>
    <row r="184" spans="1:59" s="189" customFormat="1" ht="31.5" customHeight="1" x14ac:dyDescent="0.25">
      <c r="A184" s="900">
        <f t="shared" si="127"/>
        <v>166</v>
      </c>
      <c r="B184" s="168" t="str">
        <f>VLOOKUP(D184,[1]LuongBC_T01!$B$9:$C$292,2,FALSE)</f>
        <v>0016100006686006</v>
      </c>
      <c r="C184" s="199" t="s">
        <v>985</v>
      </c>
      <c r="D184" s="230" t="s">
        <v>573</v>
      </c>
      <c r="E184" s="263" t="s">
        <v>1094</v>
      </c>
      <c r="F184" s="169" t="s">
        <v>549</v>
      </c>
      <c r="G184" s="170"/>
      <c r="H184" s="200" t="s">
        <v>283</v>
      </c>
      <c r="I184" s="200" t="s">
        <v>283</v>
      </c>
      <c r="J184" s="220" t="s">
        <v>594</v>
      </c>
      <c r="K184" s="170" t="str">
        <f>VLOOKUP(D184,[2]T3!$B$2:$D$328,3,FALSE)</f>
        <v>080083000079</v>
      </c>
      <c r="L184" s="201" t="s">
        <v>1122</v>
      </c>
      <c r="M184" s="201" t="s">
        <v>985</v>
      </c>
      <c r="N184" s="263" t="str">
        <f>VLOOKUP(D184,'[5]Bao cao So GDDT'!$D$14:$S$282,11,FALSE)</f>
        <v>Giảng viên
(hạng III)</v>
      </c>
      <c r="O184" s="392" t="s">
        <v>807</v>
      </c>
      <c r="P184" s="172" t="s">
        <v>692</v>
      </c>
      <c r="Q184" s="173">
        <v>3</v>
      </c>
      <c r="R184" s="174">
        <v>3.99</v>
      </c>
      <c r="S184" s="176">
        <f t="shared" si="157"/>
        <v>0.59850000000000003</v>
      </c>
      <c r="T184" s="370"/>
      <c r="U184" s="176">
        <f t="shared" si="129"/>
        <v>0</v>
      </c>
      <c r="V184" s="175">
        <f t="shared" si="158"/>
        <v>0</v>
      </c>
      <c r="W184" s="170"/>
      <c r="X184" s="179">
        <v>0.15</v>
      </c>
      <c r="Y184" s="216">
        <f t="shared" si="130"/>
        <v>0.59850000000000003</v>
      </c>
      <c r="Z184" s="216">
        <f t="shared" si="131"/>
        <v>4.5884999999999998</v>
      </c>
      <c r="AA184" s="180">
        <f t="shared" si="132"/>
        <v>8259300</v>
      </c>
      <c r="AB184" s="180"/>
      <c r="AC184" s="180">
        <f t="shared" si="133"/>
        <v>0</v>
      </c>
      <c r="AD184" s="180">
        <f>AA184/24*AB184*75%</f>
        <v>0</v>
      </c>
      <c r="AE184" s="180">
        <f t="shared" si="134"/>
        <v>8259300</v>
      </c>
      <c r="AF184" s="178">
        <f t="shared" ref="AF184:AF208" si="162">AA184*8%</f>
        <v>660744</v>
      </c>
      <c r="AG184" s="178">
        <f t="shared" ref="AG184:AG208" si="163">AA184*1.5%</f>
        <v>123889.5</v>
      </c>
      <c r="AH184" s="178">
        <f t="shared" ref="AH184:AH208" si="164">AA184*1%</f>
        <v>82593</v>
      </c>
      <c r="AI184" s="178"/>
      <c r="AJ184" s="178">
        <f t="shared" si="138"/>
        <v>867226.5</v>
      </c>
      <c r="AK184" s="192"/>
      <c r="AL184" s="182">
        <f t="shared" si="159"/>
        <v>0</v>
      </c>
      <c r="AM184" s="182"/>
      <c r="AN184" s="182"/>
      <c r="AO184" s="193">
        <f t="shared" si="161"/>
        <v>3.99</v>
      </c>
      <c r="AP184" s="246">
        <v>0.25</v>
      </c>
      <c r="AQ184" s="194">
        <f t="shared" si="139"/>
        <v>0.99750000000000005</v>
      </c>
      <c r="AR184" s="178">
        <f t="shared" si="140"/>
        <v>1795500</v>
      </c>
      <c r="AS184" s="178"/>
      <c r="AT184" s="178">
        <f t="shared" si="141"/>
        <v>9187574</v>
      </c>
      <c r="AU184" s="469">
        <f t="shared" si="142"/>
        <v>166</v>
      </c>
      <c r="AV184" s="186"/>
      <c r="AW184" s="198" t="s">
        <v>710</v>
      </c>
    </row>
    <row r="185" spans="1:59" s="189" customFormat="1" ht="31.5" customHeight="1" x14ac:dyDescent="0.25">
      <c r="A185" s="900">
        <f t="shared" si="127"/>
        <v>167</v>
      </c>
      <c r="B185" s="168" t="str">
        <f>VLOOKUP(D185,[1]LuongBC_T01!$B$9:$C$292,2,FALSE)</f>
        <v>0016100006655003</v>
      </c>
      <c r="C185" s="199" t="s">
        <v>1081</v>
      </c>
      <c r="D185" s="169" t="s">
        <v>1234</v>
      </c>
      <c r="E185" s="263" t="s">
        <v>1094</v>
      </c>
      <c r="F185" s="169" t="s">
        <v>549</v>
      </c>
      <c r="G185" s="200"/>
      <c r="H185" s="200"/>
      <c r="I185" s="200" t="s">
        <v>283</v>
      </c>
      <c r="J185" s="200" t="s">
        <v>593</v>
      </c>
      <c r="K185" s="170" t="str">
        <f>VLOOKUP(D185,[2]T3!$B$2:$D$328,3,FALSE)</f>
        <v>024941650</v>
      </c>
      <c r="L185" s="656" t="s">
        <v>615</v>
      </c>
      <c r="M185" s="656" t="s">
        <v>1081</v>
      </c>
      <c r="N185" s="263" t="str">
        <f>VLOOKUP(D185,'[5]Bao cao So GDDT'!$D$14:$S$282,11,FALSE)</f>
        <v>Giảng viên
(hạng III)</v>
      </c>
      <c r="O185" s="263" t="s">
        <v>807</v>
      </c>
      <c r="P185" s="170" t="s">
        <v>692</v>
      </c>
      <c r="Q185" s="170">
        <v>3</v>
      </c>
      <c r="R185" s="177">
        <v>3.66</v>
      </c>
      <c r="S185" s="176">
        <f t="shared" si="157"/>
        <v>0.36599999999999999</v>
      </c>
      <c r="T185" s="220"/>
      <c r="U185" s="176">
        <f t="shared" si="129"/>
        <v>0</v>
      </c>
      <c r="V185" s="175">
        <f t="shared" si="158"/>
        <v>0</v>
      </c>
      <c r="W185" s="170"/>
      <c r="X185" s="179">
        <v>0.1</v>
      </c>
      <c r="Y185" s="216">
        <f t="shared" si="130"/>
        <v>0.36599999999999999</v>
      </c>
      <c r="Z185" s="216">
        <f t="shared" si="131"/>
        <v>4.0259999999999998</v>
      </c>
      <c r="AA185" s="180">
        <f t="shared" si="132"/>
        <v>7246800</v>
      </c>
      <c r="AB185" s="180"/>
      <c r="AC185" s="180">
        <f t="shared" si="133"/>
        <v>0</v>
      </c>
      <c r="AD185" s="180">
        <f>AA185/24*AB185*75%</f>
        <v>0</v>
      </c>
      <c r="AE185" s="180">
        <f t="shared" si="134"/>
        <v>7246800</v>
      </c>
      <c r="AF185" s="178">
        <f t="shared" si="162"/>
        <v>579744</v>
      </c>
      <c r="AG185" s="178">
        <f t="shared" si="163"/>
        <v>108702</v>
      </c>
      <c r="AH185" s="178">
        <f t="shared" si="164"/>
        <v>72468</v>
      </c>
      <c r="AI185" s="178"/>
      <c r="AJ185" s="178">
        <f t="shared" si="138"/>
        <v>760914</v>
      </c>
      <c r="AK185" s="192"/>
      <c r="AL185" s="182">
        <f t="shared" si="159"/>
        <v>0</v>
      </c>
      <c r="AM185" s="182"/>
      <c r="AN185" s="182"/>
      <c r="AO185" s="193">
        <f t="shared" si="161"/>
        <v>3.66</v>
      </c>
      <c r="AP185" s="179">
        <v>0.25</v>
      </c>
      <c r="AQ185" s="194">
        <f t="shared" si="139"/>
        <v>0.91500000000000004</v>
      </c>
      <c r="AR185" s="178">
        <f t="shared" si="140"/>
        <v>1647000</v>
      </c>
      <c r="AS185" s="178"/>
      <c r="AT185" s="178">
        <f t="shared" si="141"/>
        <v>8132886</v>
      </c>
      <c r="AU185" s="469">
        <f t="shared" si="142"/>
        <v>167</v>
      </c>
      <c r="AV185" s="195"/>
      <c r="AW185" s="198"/>
    </row>
    <row r="186" spans="1:59" s="189" customFormat="1" ht="31.5" customHeight="1" x14ac:dyDescent="0.25">
      <c r="A186" s="900">
        <f t="shared" si="127"/>
        <v>168</v>
      </c>
      <c r="B186" s="168" t="str">
        <f>VLOOKUP(D186,[1]LuongBC_T01!$B$9:$C$292,2,FALSE)</f>
        <v>0016100006700009</v>
      </c>
      <c r="C186" s="199" t="s">
        <v>1017</v>
      </c>
      <c r="D186" s="230" t="s">
        <v>751</v>
      </c>
      <c r="E186" s="263" t="s">
        <v>1094</v>
      </c>
      <c r="F186" s="231"/>
      <c r="G186" s="251"/>
      <c r="H186" s="231"/>
      <c r="I186" s="231"/>
      <c r="J186" s="231"/>
      <c r="K186" s="170" t="str">
        <f>VLOOKUP(D186,[2]T3!$B$2:$D$328,3,FALSE)</f>
        <v>025583771</v>
      </c>
      <c r="L186" s="726" t="s">
        <v>758</v>
      </c>
      <c r="M186" s="726" t="s">
        <v>1017</v>
      </c>
      <c r="N186" s="263" t="str">
        <f>VLOOKUP(D186,'[5]Bao cao So GDDT'!$D$14:$S$282,11,FALSE)</f>
        <v>Giảng viên
(hạng III)</v>
      </c>
      <c r="O186" s="393" t="s">
        <v>807</v>
      </c>
      <c r="P186" s="170" t="s">
        <v>692</v>
      </c>
      <c r="Q186" s="170">
        <v>2</v>
      </c>
      <c r="R186" s="177">
        <v>3.33</v>
      </c>
      <c r="S186" s="176">
        <f t="shared" si="157"/>
        <v>0.29970000000000002</v>
      </c>
      <c r="T186" s="169"/>
      <c r="U186" s="176">
        <f t="shared" si="129"/>
        <v>0</v>
      </c>
      <c r="V186" s="175"/>
      <c r="W186" s="170"/>
      <c r="X186" s="179">
        <v>0.09</v>
      </c>
      <c r="Y186" s="216">
        <f t="shared" si="130"/>
        <v>0.29970000000000002</v>
      </c>
      <c r="Z186" s="216">
        <f t="shared" si="131"/>
        <v>3.6297000000000001</v>
      </c>
      <c r="AA186" s="180">
        <f t="shared" si="132"/>
        <v>6533460</v>
      </c>
      <c r="AB186" s="180"/>
      <c r="AC186" s="180">
        <f t="shared" si="133"/>
        <v>0</v>
      </c>
      <c r="AD186" s="180">
        <f>AA186/24*AB186*75%</f>
        <v>0</v>
      </c>
      <c r="AE186" s="180">
        <f t="shared" si="134"/>
        <v>6533460</v>
      </c>
      <c r="AF186" s="178">
        <f t="shared" si="162"/>
        <v>522676.8</v>
      </c>
      <c r="AG186" s="178">
        <f t="shared" si="163"/>
        <v>98001.9</v>
      </c>
      <c r="AH186" s="178">
        <f t="shared" si="164"/>
        <v>65334.6</v>
      </c>
      <c r="AI186" s="178"/>
      <c r="AJ186" s="178">
        <f t="shared" si="138"/>
        <v>686013.29999999993</v>
      </c>
      <c r="AK186" s="192"/>
      <c r="AL186" s="182">
        <f t="shared" si="159"/>
        <v>0</v>
      </c>
      <c r="AM186" s="182"/>
      <c r="AN186" s="182"/>
      <c r="AO186" s="183">
        <f t="shared" si="161"/>
        <v>3.33</v>
      </c>
      <c r="AP186" s="246">
        <v>0.25</v>
      </c>
      <c r="AQ186" s="194">
        <f t="shared" si="139"/>
        <v>0.83250000000000002</v>
      </c>
      <c r="AR186" s="178">
        <f t="shared" si="140"/>
        <v>1498500</v>
      </c>
      <c r="AS186" s="178"/>
      <c r="AT186" s="178">
        <f t="shared" si="141"/>
        <v>7345947</v>
      </c>
      <c r="AU186" s="469">
        <f t="shared" si="142"/>
        <v>168</v>
      </c>
      <c r="AV186" s="195"/>
      <c r="AW186" s="196" t="e">
        <f>#REF!*9</f>
        <v>#REF!</v>
      </c>
    </row>
    <row r="187" spans="1:59" s="189" customFormat="1" ht="31.5" customHeight="1" x14ac:dyDescent="0.25">
      <c r="A187" s="900">
        <f t="shared" si="127"/>
        <v>169</v>
      </c>
      <c r="B187" s="168" t="str">
        <f>VLOOKUP(D187,[1]LuongBC_T01!$B$9:$C$292,2,FALSE)</f>
        <v>0016100006722002</v>
      </c>
      <c r="C187" s="199" t="s">
        <v>1018</v>
      </c>
      <c r="D187" s="230" t="s">
        <v>752</v>
      </c>
      <c r="E187" s="263" t="s">
        <v>1094</v>
      </c>
      <c r="F187" s="231"/>
      <c r="G187" s="231"/>
      <c r="H187" s="231"/>
      <c r="I187" s="231"/>
      <c r="J187" s="231"/>
      <c r="K187" s="170" t="str">
        <f>VLOOKUP(D187,[2]T3!$B$2:$D$328,3,FALSE)</f>
        <v>046069000174</v>
      </c>
      <c r="L187" s="253" t="s">
        <v>759</v>
      </c>
      <c r="M187" s="253" t="s">
        <v>1018</v>
      </c>
      <c r="N187" s="263" t="str">
        <f>VLOOKUP(D187,'[5]Bao cao So GDDT'!$D$14:$S$282,11,FALSE)</f>
        <v>Giảng viên
(hạng III)</v>
      </c>
      <c r="O187" s="393" t="s">
        <v>807</v>
      </c>
      <c r="P187" s="170" t="s">
        <v>692</v>
      </c>
      <c r="Q187" s="170">
        <v>2</v>
      </c>
      <c r="R187" s="177">
        <v>3.33</v>
      </c>
      <c r="S187" s="176">
        <f t="shared" si="157"/>
        <v>0.43290000000000001</v>
      </c>
      <c r="T187" s="169"/>
      <c r="U187" s="176">
        <f t="shared" si="129"/>
        <v>0</v>
      </c>
      <c r="V187" s="175"/>
      <c r="W187" s="170"/>
      <c r="X187" s="179">
        <v>0.13</v>
      </c>
      <c r="Y187" s="216">
        <f t="shared" si="130"/>
        <v>0.43290000000000001</v>
      </c>
      <c r="Z187" s="216">
        <f t="shared" si="131"/>
        <v>3.7629000000000001</v>
      </c>
      <c r="AA187" s="180">
        <f t="shared" si="132"/>
        <v>6773220</v>
      </c>
      <c r="AB187" s="180"/>
      <c r="AC187" s="180">
        <f t="shared" si="133"/>
        <v>0</v>
      </c>
      <c r="AD187" s="180">
        <f>AA187/24*AB187*75%</f>
        <v>0</v>
      </c>
      <c r="AE187" s="180">
        <f t="shared" si="134"/>
        <v>6773220</v>
      </c>
      <c r="AF187" s="178">
        <f t="shared" si="162"/>
        <v>541857.6</v>
      </c>
      <c r="AG187" s="178">
        <f t="shared" si="163"/>
        <v>101598.3</v>
      </c>
      <c r="AH187" s="178">
        <f t="shared" si="164"/>
        <v>67732.2</v>
      </c>
      <c r="AI187" s="178"/>
      <c r="AJ187" s="178">
        <f t="shared" si="138"/>
        <v>711188.1</v>
      </c>
      <c r="AK187" s="192"/>
      <c r="AL187" s="182">
        <f t="shared" si="159"/>
        <v>0</v>
      </c>
      <c r="AM187" s="182"/>
      <c r="AN187" s="182"/>
      <c r="AO187" s="183">
        <f t="shared" si="161"/>
        <v>3.33</v>
      </c>
      <c r="AP187" s="246">
        <v>0.25</v>
      </c>
      <c r="AQ187" s="194">
        <f t="shared" si="139"/>
        <v>0.83250000000000002</v>
      </c>
      <c r="AR187" s="178">
        <f t="shared" si="140"/>
        <v>1498500</v>
      </c>
      <c r="AS187" s="178"/>
      <c r="AT187" s="178">
        <f t="shared" si="141"/>
        <v>7560532</v>
      </c>
      <c r="AU187" s="469">
        <f t="shared" si="142"/>
        <v>169</v>
      </c>
      <c r="AV187" s="195"/>
      <c r="AW187" s="196" t="e">
        <f>#REF!/28</f>
        <v>#REF!</v>
      </c>
    </row>
    <row r="188" spans="1:59" s="189" customFormat="1" ht="31.5" customHeight="1" x14ac:dyDescent="0.25">
      <c r="A188" s="900">
        <f t="shared" si="127"/>
        <v>170</v>
      </c>
      <c r="B188" s="168" t="str">
        <f>VLOOKUP(D188,[1]LuongBC_T01!$B$9:$C$292,2,FALSE)</f>
        <v>0016100006589008</v>
      </c>
      <c r="C188" s="199" t="s">
        <v>906</v>
      </c>
      <c r="D188" s="169" t="s">
        <v>812</v>
      </c>
      <c r="E188" s="263" t="s">
        <v>1628</v>
      </c>
      <c r="F188" s="220"/>
      <c r="G188" s="220" t="s">
        <v>25</v>
      </c>
      <c r="H188" s="220"/>
      <c r="I188" s="220"/>
      <c r="J188" s="220"/>
      <c r="K188" s="170" t="str">
        <f>VLOOKUP(D188,[2]T3!$B$2:$D$328,3,FALSE)</f>
        <v>024327951</v>
      </c>
      <c r="L188" s="220"/>
      <c r="M188" s="170" t="s">
        <v>906</v>
      </c>
      <c r="N188" s="263" t="str">
        <f>VLOOKUP(D188,'[5]Bao cao So GDDT'!$D$14:$S$282,11,FALSE)</f>
        <v>Giảng viên GDNN LT (hạng III)</v>
      </c>
      <c r="O188" s="390" t="s">
        <v>1438</v>
      </c>
      <c r="P188" s="170" t="s">
        <v>692</v>
      </c>
      <c r="Q188" s="170">
        <v>1</v>
      </c>
      <c r="R188" s="177">
        <v>3</v>
      </c>
      <c r="S188" s="176">
        <f t="shared" si="157"/>
        <v>0.21</v>
      </c>
      <c r="T188" s="220"/>
      <c r="U188" s="176">
        <f t="shared" si="129"/>
        <v>0</v>
      </c>
      <c r="V188" s="175">
        <f t="shared" ref="V188:V204" si="165">R188*T188*$D$8/100</f>
        <v>0</v>
      </c>
      <c r="W188" s="170"/>
      <c r="X188" s="179">
        <v>7.0000000000000007E-2</v>
      </c>
      <c r="Y188" s="216">
        <f t="shared" si="130"/>
        <v>0.21</v>
      </c>
      <c r="Z188" s="216">
        <f t="shared" si="131"/>
        <v>3.21</v>
      </c>
      <c r="AA188" s="180">
        <f t="shared" si="132"/>
        <v>5778000</v>
      </c>
      <c r="AB188" s="180"/>
      <c r="AC188" s="180">
        <f t="shared" si="133"/>
        <v>0</v>
      </c>
      <c r="AD188" s="180">
        <v>0</v>
      </c>
      <c r="AE188" s="180">
        <f t="shared" si="134"/>
        <v>5778000</v>
      </c>
      <c r="AF188" s="178">
        <f t="shared" si="162"/>
        <v>462240</v>
      </c>
      <c r="AG188" s="178">
        <f t="shared" si="163"/>
        <v>86670</v>
      </c>
      <c r="AH188" s="178">
        <f t="shared" si="164"/>
        <v>57780</v>
      </c>
      <c r="AI188" s="178"/>
      <c r="AJ188" s="178">
        <f t="shared" si="138"/>
        <v>606690</v>
      </c>
      <c r="AK188" s="192"/>
      <c r="AL188" s="182">
        <f t="shared" si="159"/>
        <v>0</v>
      </c>
      <c r="AM188" s="182"/>
      <c r="AN188" s="182"/>
      <c r="AO188" s="183">
        <f t="shared" si="161"/>
        <v>3</v>
      </c>
      <c r="AP188" s="246">
        <v>0.25</v>
      </c>
      <c r="AQ188" s="185">
        <f t="shared" si="139"/>
        <v>0.75</v>
      </c>
      <c r="AR188" s="178">
        <f t="shared" si="140"/>
        <v>1350000</v>
      </c>
      <c r="AS188" s="178"/>
      <c r="AT188" s="178">
        <f t="shared" si="141"/>
        <v>6521310</v>
      </c>
      <c r="AU188" s="469">
        <f t="shared" si="142"/>
        <v>170</v>
      </c>
      <c r="AV188" s="195"/>
      <c r="AW188" s="198"/>
    </row>
    <row r="189" spans="1:59" s="189" customFormat="1" ht="31.5" customHeight="1" x14ac:dyDescent="0.25">
      <c r="A189" s="900">
        <f t="shared" si="127"/>
        <v>171</v>
      </c>
      <c r="B189" s="168" t="str">
        <f>VLOOKUP(D189,[1]LuongBC_T01!$B$9:$C$292,2,FALSE)</f>
        <v>0016100006702001</v>
      </c>
      <c r="C189" s="199" t="s">
        <v>905</v>
      </c>
      <c r="D189" s="169" t="s">
        <v>820</v>
      </c>
      <c r="E189" s="263" t="s">
        <v>1628</v>
      </c>
      <c r="F189" s="220"/>
      <c r="G189" s="220"/>
      <c r="H189" s="220"/>
      <c r="I189" s="220"/>
      <c r="J189" s="220"/>
      <c r="K189" s="170" t="str">
        <f>VLOOKUP(D189,[2]T3!$B$2:$D$328,3,FALSE)</f>
        <v>024104165</v>
      </c>
      <c r="L189" s="220"/>
      <c r="M189" s="170" t="s">
        <v>905</v>
      </c>
      <c r="N189" s="263" t="str">
        <f>VLOOKUP(D189,'[5]Bao cao So GDDT'!$D$14:$S$282,11,FALSE)</f>
        <v>Giảng viên GDNN LT (hạng III)</v>
      </c>
      <c r="O189" s="390" t="s">
        <v>1438</v>
      </c>
      <c r="P189" s="170" t="s">
        <v>692</v>
      </c>
      <c r="Q189" s="170">
        <v>1</v>
      </c>
      <c r="R189" s="177">
        <v>3</v>
      </c>
      <c r="S189" s="176">
        <f t="shared" si="157"/>
        <v>0.21</v>
      </c>
      <c r="T189" s="220"/>
      <c r="U189" s="176">
        <f t="shared" si="129"/>
        <v>0</v>
      </c>
      <c r="V189" s="175">
        <f t="shared" si="165"/>
        <v>0</v>
      </c>
      <c r="W189" s="170"/>
      <c r="X189" s="179">
        <v>7.0000000000000007E-2</v>
      </c>
      <c r="Y189" s="216">
        <f t="shared" si="130"/>
        <v>0.21</v>
      </c>
      <c r="Z189" s="216">
        <f t="shared" si="131"/>
        <v>3.21</v>
      </c>
      <c r="AA189" s="180">
        <f t="shared" si="132"/>
        <v>5778000</v>
      </c>
      <c r="AB189" s="180"/>
      <c r="AC189" s="180">
        <f t="shared" si="133"/>
        <v>0</v>
      </c>
      <c r="AD189" s="180">
        <v>0</v>
      </c>
      <c r="AE189" s="180">
        <f t="shared" si="134"/>
        <v>5778000</v>
      </c>
      <c r="AF189" s="178">
        <f t="shared" si="162"/>
        <v>462240</v>
      </c>
      <c r="AG189" s="178">
        <f t="shared" si="163"/>
        <v>86670</v>
      </c>
      <c r="AH189" s="178">
        <f t="shared" si="164"/>
        <v>57780</v>
      </c>
      <c r="AI189" s="178"/>
      <c r="AJ189" s="178">
        <f t="shared" si="138"/>
        <v>606690</v>
      </c>
      <c r="AK189" s="192"/>
      <c r="AL189" s="182">
        <f t="shared" si="159"/>
        <v>0</v>
      </c>
      <c r="AM189" s="182"/>
      <c r="AN189" s="182"/>
      <c r="AO189" s="183">
        <f t="shared" si="161"/>
        <v>3</v>
      </c>
      <c r="AP189" s="246">
        <v>0.25</v>
      </c>
      <c r="AQ189" s="185">
        <f t="shared" si="139"/>
        <v>0.75</v>
      </c>
      <c r="AR189" s="178">
        <f t="shared" si="140"/>
        <v>1350000</v>
      </c>
      <c r="AS189" s="178"/>
      <c r="AT189" s="178">
        <f t="shared" si="141"/>
        <v>6521310</v>
      </c>
      <c r="AU189" s="469">
        <f t="shared" si="142"/>
        <v>171</v>
      </c>
      <c r="AV189" s="195"/>
      <c r="AW189" s="198"/>
    </row>
    <row r="190" spans="1:59" s="191" customFormat="1" ht="31.5" customHeight="1" x14ac:dyDescent="0.25">
      <c r="A190" s="900">
        <f t="shared" si="127"/>
        <v>172</v>
      </c>
      <c r="B190" s="168" t="str">
        <f>VLOOKUP(D190,[1]LuongBC_T01!$B$9:$C$292,2,FALSE)</f>
        <v>0016100006620005</v>
      </c>
      <c r="C190" s="199" t="s">
        <v>956</v>
      </c>
      <c r="D190" s="169" t="s">
        <v>1219</v>
      </c>
      <c r="E190" s="263" t="s">
        <v>1094</v>
      </c>
      <c r="F190" s="169" t="s">
        <v>549</v>
      </c>
      <c r="G190" s="200" t="s">
        <v>25</v>
      </c>
      <c r="H190" s="170" t="s">
        <v>283</v>
      </c>
      <c r="I190" s="200" t="s">
        <v>283</v>
      </c>
      <c r="J190" s="220" t="s">
        <v>255</v>
      </c>
      <c r="K190" s="170" t="str">
        <f>VLOOKUP(D190,[2]T3!$B$2:$D$328,3,FALSE)</f>
        <v>082175000189</v>
      </c>
      <c r="L190" s="241" t="s">
        <v>170</v>
      </c>
      <c r="M190" s="241" t="s">
        <v>956</v>
      </c>
      <c r="N190" s="263" t="str">
        <f>VLOOKUP(D190,'[5]Bao cao So GDDT'!$D$14:$S$282,11,FALSE)</f>
        <v>Giảng viên
(hạng III)</v>
      </c>
      <c r="O190" s="390" t="s">
        <v>807</v>
      </c>
      <c r="P190" s="172" t="s">
        <v>692</v>
      </c>
      <c r="Q190" s="173">
        <v>5</v>
      </c>
      <c r="R190" s="174">
        <v>4.32</v>
      </c>
      <c r="S190" s="176">
        <f t="shared" si="157"/>
        <v>0.73440000000000005</v>
      </c>
      <c r="T190" s="377"/>
      <c r="U190" s="176">
        <f t="shared" si="129"/>
        <v>0</v>
      </c>
      <c r="V190" s="175">
        <f t="shared" si="165"/>
        <v>0</v>
      </c>
      <c r="W190" s="200"/>
      <c r="X190" s="179">
        <v>0.17</v>
      </c>
      <c r="Y190" s="216">
        <f t="shared" si="130"/>
        <v>0.73440000000000005</v>
      </c>
      <c r="Z190" s="216">
        <f t="shared" si="131"/>
        <v>5.0544000000000002</v>
      </c>
      <c r="AA190" s="180">
        <f t="shared" si="132"/>
        <v>9097920</v>
      </c>
      <c r="AB190" s="180"/>
      <c r="AC190" s="180">
        <f t="shared" si="133"/>
        <v>0</v>
      </c>
      <c r="AD190" s="180">
        <f t="shared" ref="AD190:AD195" si="166">AA190/24*AB190*75%</f>
        <v>0</v>
      </c>
      <c r="AE190" s="180">
        <f t="shared" si="134"/>
        <v>9097920</v>
      </c>
      <c r="AF190" s="178">
        <f t="shared" si="162"/>
        <v>727833.59999999998</v>
      </c>
      <c r="AG190" s="178">
        <f t="shared" si="163"/>
        <v>136468.79999999999</v>
      </c>
      <c r="AH190" s="178">
        <f t="shared" si="164"/>
        <v>90979.199999999997</v>
      </c>
      <c r="AI190" s="178"/>
      <c r="AJ190" s="178">
        <f t="shared" si="138"/>
        <v>955281.59999999986</v>
      </c>
      <c r="AK190" s="181"/>
      <c r="AL190" s="182">
        <f t="shared" si="159"/>
        <v>0</v>
      </c>
      <c r="AM190" s="182"/>
      <c r="AN190" s="182"/>
      <c r="AO190" s="193">
        <f t="shared" si="161"/>
        <v>4.32</v>
      </c>
      <c r="AP190" s="246">
        <v>0.25</v>
      </c>
      <c r="AQ190" s="194">
        <f t="shared" si="139"/>
        <v>1.08</v>
      </c>
      <c r="AR190" s="178">
        <f t="shared" si="140"/>
        <v>1944000</v>
      </c>
      <c r="AS190" s="178"/>
      <c r="AT190" s="178">
        <f t="shared" si="141"/>
        <v>10086638</v>
      </c>
      <c r="AU190" s="469">
        <f t="shared" si="142"/>
        <v>172</v>
      </c>
      <c r="AV190" s="195"/>
      <c r="AW190" s="198" t="s">
        <v>710</v>
      </c>
    </row>
    <row r="191" spans="1:59" s="189" customFormat="1" ht="37.5" customHeight="1" x14ac:dyDescent="0.25">
      <c r="A191" s="900">
        <f t="shared" si="127"/>
        <v>173</v>
      </c>
      <c r="B191" s="168" t="s">
        <v>1504</v>
      </c>
      <c r="C191" s="661" t="s">
        <v>1563</v>
      </c>
      <c r="D191" s="169" t="s">
        <v>1439</v>
      </c>
      <c r="E191" s="263" t="s">
        <v>1628</v>
      </c>
      <c r="F191" s="220"/>
      <c r="G191" s="220"/>
      <c r="H191" s="220"/>
      <c r="I191" s="220"/>
      <c r="J191" s="220"/>
      <c r="K191" s="168"/>
      <c r="L191" s="491" t="s">
        <v>1448</v>
      </c>
      <c r="M191" s="170"/>
      <c r="N191" s="263" t="str">
        <f>VLOOKUP(D191,'[5]Bao cao So GDDT'!$D$14:$S$282,11,FALSE)</f>
        <v>Giảng viên GDNN LT (hạng III)</v>
      </c>
      <c r="O191" s="663" t="s">
        <v>1438</v>
      </c>
      <c r="P191" s="251"/>
      <c r="Q191" s="251"/>
      <c r="R191" s="170">
        <v>2.34</v>
      </c>
      <c r="S191" s="176"/>
      <c r="T191" s="220"/>
      <c r="U191" s="176">
        <f>ROUND(R191*T191/100,4)</f>
        <v>0</v>
      </c>
      <c r="V191" s="175"/>
      <c r="W191" s="170"/>
      <c r="X191" s="179">
        <f>VLOOKUP(D191,PCTN!D89:W356,20,FALSE)</f>
        <v>0</v>
      </c>
      <c r="Y191" s="216">
        <f>ROUND((R191+U191+W191)*X191,4)</f>
        <v>0</v>
      </c>
      <c r="Z191" s="216">
        <f>R191+U191+W191+Y191</f>
        <v>2.34</v>
      </c>
      <c r="AA191" s="180">
        <f>ROUND(Z191*$D$8,0)</f>
        <v>4212000</v>
      </c>
      <c r="AB191" s="180"/>
      <c r="AC191" s="180">
        <f>AA191/24*AB191</f>
        <v>0</v>
      </c>
      <c r="AD191" s="180">
        <v>0</v>
      </c>
      <c r="AE191" s="180">
        <f>ROUND(AA191-AC191+AD191,0)</f>
        <v>4212000</v>
      </c>
      <c r="AF191" s="178">
        <f>AA191*8%</f>
        <v>336960</v>
      </c>
      <c r="AG191" s="178">
        <f>AA191*1.5%</f>
        <v>63180</v>
      </c>
      <c r="AH191" s="178">
        <f>AA191*1%</f>
        <v>42120</v>
      </c>
      <c r="AI191" s="178"/>
      <c r="AJ191" s="178">
        <f>SUM(AF191:AI191)</f>
        <v>442260</v>
      </c>
      <c r="AK191" s="192"/>
      <c r="AL191" s="182">
        <f t="shared" si="159"/>
        <v>0</v>
      </c>
      <c r="AM191" s="182"/>
      <c r="AN191" s="182"/>
      <c r="AO191" s="183">
        <f>R191+U191+W191</f>
        <v>2.34</v>
      </c>
      <c r="AP191" s="641">
        <v>0.25</v>
      </c>
      <c r="AQ191" s="185">
        <f>ROUND(AO191*AP191,4)</f>
        <v>0.58499999999999996</v>
      </c>
      <c r="AR191" s="178">
        <f>ROUND(AQ191*$D$8,0)</f>
        <v>1053000</v>
      </c>
      <c r="AS191" s="178"/>
      <c r="AT191" s="178">
        <f>ROUND(AE191-AJ191+AL191+AN191+AR191,0)</f>
        <v>4822740</v>
      </c>
      <c r="AU191" s="539">
        <f>A191</f>
        <v>173</v>
      </c>
      <c r="AV191" s="540"/>
      <c r="AW191" s="660"/>
      <c r="AX191" s="29"/>
      <c r="AY191" s="29"/>
      <c r="AZ191" s="29"/>
      <c r="BA191" s="29"/>
      <c r="BB191" s="29"/>
      <c r="BC191" s="29"/>
      <c r="BD191" s="29"/>
      <c r="BE191" s="29"/>
      <c r="BF191" s="29"/>
      <c r="BG191" s="29"/>
    </row>
    <row r="192" spans="1:59" s="189" customFormat="1" ht="37.5" customHeight="1" x14ac:dyDescent="0.25">
      <c r="A192" s="900">
        <f t="shared" si="127"/>
        <v>174</v>
      </c>
      <c r="B192" s="168" t="s">
        <v>1507</v>
      </c>
      <c r="C192" s="867" t="s">
        <v>1568</v>
      </c>
      <c r="D192" s="545" t="s">
        <v>1457</v>
      </c>
      <c r="E192" s="564" t="s">
        <v>1628</v>
      </c>
      <c r="F192" s="565"/>
      <c r="G192" s="565"/>
      <c r="H192" s="565"/>
      <c r="I192" s="565"/>
      <c r="J192" s="565"/>
      <c r="K192" s="566"/>
      <c r="L192" s="723"/>
      <c r="M192" s="546"/>
      <c r="N192" s="263" t="str">
        <f>VLOOKUP(D192,'[5]Bao cao So GDDT'!$D$14:$S$282,11,FALSE)</f>
        <v>Giảng viên GDNN LT (hạng III)</v>
      </c>
      <c r="O192" s="663" t="s">
        <v>1438</v>
      </c>
      <c r="P192" s="567"/>
      <c r="Q192" s="567"/>
      <c r="R192" s="546">
        <v>2.34</v>
      </c>
      <c r="S192" s="547"/>
      <c r="T192" s="565"/>
      <c r="U192" s="547">
        <f>ROUND(R192*T192/100,4)</f>
        <v>0</v>
      </c>
      <c r="V192" s="548"/>
      <c r="W192" s="546"/>
      <c r="X192" s="179">
        <f>VLOOKUP(D192,PCTN!D93:W360,20,FALSE)</f>
        <v>0</v>
      </c>
      <c r="Y192" s="216">
        <f>ROUND((R192+U192+W192)*X192,4)</f>
        <v>0</v>
      </c>
      <c r="Z192" s="216">
        <f>R192+U192+W192+Y192</f>
        <v>2.34</v>
      </c>
      <c r="AA192" s="180">
        <f>ROUND(Z192*$D$8,0)</f>
        <v>4212000</v>
      </c>
      <c r="AB192" s="550"/>
      <c r="AC192" s="180">
        <f>AA192/24*AB192</f>
        <v>0</v>
      </c>
      <c r="AD192" s="180">
        <f t="shared" si="166"/>
        <v>0</v>
      </c>
      <c r="AE192" s="180">
        <f>ROUND(AA192-AC192+AD192,0)</f>
        <v>4212000</v>
      </c>
      <c r="AF192" s="178">
        <f>AA192*8%</f>
        <v>336960</v>
      </c>
      <c r="AG192" s="178">
        <f>AA192*1.5%</f>
        <v>63180</v>
      </c>
      <c r="AH192" s="178">
        <f>AA192*1%</f>
        <v>42120</v>
      </c>
      <c r="AI192" s="551"/>
      <c r="AJ192" s="178">
        <f>SUM(AF192:AI192)</f>
        <v>442260</v>
      </c>
      <c r="AK192" s="568"/>
      <c r="AL192" s="182">
        <f t="shared" si="159"/>
        <v>0</v>
      </c>
      <c r="AM192" s="569"/>
      <c r="AN192" s="569"/>
      <c r="AO192" s="570">
        <f>R192+U192+W192</f>
        <v>2.34</v>
      </c>
      <c r="AP192" s="641">
        <v>0.25</v>
      </c>
      <c r="AQ192" s="185">
        <f>ROUND(AO192*AP192,4)</f>
        <v>0.58499999999999996</v>
      </c>
      <c r="AR192" s="178">
        <f>ROUND(AQ192*$D$8,0)</f>
        <v>1053000</v>
      </c>
      <c r="AS192" s="551"/>
      <c r="AT192" s="178">
        <f>ROUND(AE192-AJ192+AL192+AN192+AR192,0)</f>
        <v>4822740</v>
      </c>
      <c r="AU192" s="539">
        <f>A192</f>
        <v>174</v>
      </c>
      <c r="AV192" s="724"/>
      <c r="AW192" s="660"/>
      <c r="AX192" s="29"/>
      <c r="AY192" s="29"/>
      <c r="AZ192" s="29"/>
      <c r="BA192" s="29"/>
      <c r="BB192" s="29"/>
      <c r="BC192" s="29"/>
      <c r="BD192" s="29"/>
      <c r="BE192" s="29"/>
      <c r="BF192" s="29"/>
      <c r="BG192" s="29"/>
    </row>
    <row r="193" spans="1:49" s="189" customFormat="1" ht="31.5" customHeight="1" x14ac:dyDescent="0.25">
      <c r="A193" s="900">
        <f t="shared" si="127"/>
        <v>175</v>
      </c>
      <c r="B193" s="168" t="str">
        <f>VLOOKUP(D193,[1]LuongBC_T01!$B$9:$C$292,2,FALSE)</f>
        <v>0016100006777001</v>
      </c>
      <c r="C193" s="199" t="s">
        <v>915</v>
      </c>
      <c r="D193" s="169" t="s">
        <v>62</v>
      </c>
      <c r="E193" s="263" t="s">
        <v>1602</v>
      </c>
      <c r="F193" s="169" t="s">
        <v>550</v>
      </c>
      <c r="G193" s="200" t="s">
        <v>25</v>
      </c>
      <c r="H193" s="170" t="s">
        <v>283</v>
      </c>
      <c r="I193" s="170" t="s">
        <v>283</v>
      </c>
      <c r="J193" s="169" t="s">
        <v>245</v>
      </c>
      <c r="K193" s="170" t="str">
        <f>VLOOKUP(D193,[2]T3!$B$2:$D$328,3,FALSE)</f>
        <v>024774604</v>
      </c>
      <c r="L193" s="171" t="s">
        <v>114</v>
      </c>
      <c r="M193" s="171" t="s">
        <v>915</v>
      </c>
      <c r="N193" s="263" t="str">
        <f>VLOOKUP(D193,'[5]Bao cao So GDDT'!$D$14:$S$282,11,FALSE)</f>
        <v>Giảng viên GDNN LT (hạng III)</v>
      </c>
      <c r="O193" s="390" t="s">
        <v>1438</v>
      </c>
      <c r="P193" s="172" t="s">
        <v>692</v>
      </c>
      <c r="Q193" s="173">
        <v>4</v>
      </c>
      <c r="R193" s="174">
        <v>3.99</v>
      </c>
      <c r="S193" s="176">
        <f>U193+W193+Y193</f>
        <v>1.1160000000000001</v>
      </c>
      <c r="T193" s="370"/>
      <c r="U193" s="176">
        <f>ROUND(R193*T193/100,4)</f>
        <v>0</v>
      </c>
      <c r="V193" s="175">
        <f>R193*T193*$D$8/100</f>
        <v>0</v>
      </c>
      <c r="W193" s="170">
        <v>0.45</v>
      </c>
      <c r="X193" s="179">
        <v>0.15</v>
      </c>
      <c r="Y193" s="216">
        <f>ROUND((R193+U193+W193)*X193,4)</f>
        <v>0.66600000000000004</v>
      </c>
      <c r="Z193" s="216">
        <f>R193+U193+W193+Y193</f>
        <v>5.1060000000000008</v>
      </c>
      <c r="AA193" s="180">
        <f>ROUND(Z193*$D$8,0)</f>
        <v>9190800</v>
      </c>
      <c r="AB193" s="180"/>
      <c r="AC193" s="180">
        <f>AA193/24*AB193</f>
        <v>0</v>
      </c>
      <c r="AD193" s="180">
        <f>AA193/24*AB193*75%</f>
        <v>0</v>
      </c>
      <c r="AE193" s="180">
        <f>ROUND(AA193-AC193+AD193,0)</f>
        <v>9190800</v>
      </c>
      <c r="AF193" s="178">
        <f>AA193*8%</f>
        <v>735264</v>
      </c>
      <c r="AG193" s="178">
        <f>AA193*1.5%</f>
        <v>137862</v>
      </c>
      <c r="AH193" s="178">
        <f>AA193*1%</f>
        <v>91908</v>
      </c>
      <c r="AI193" s="178"/>
      <c r="AJ193" s="178">
        <f>SUM(AF193:AI193)</f>
        <v>965034</v>
      </c>
      <c r="AK193" s="192"/>
      <c r="AL193" s="182">
        <f>AK193*$D$8</f>
        <v>0</v>
      </c>
      <c r="AM193" s="182"/>
      <c r="AN193" s="182"/>
      <c r="AO193" s="193">
        <f>R193+U193+W193</f>
        <v>4.4400000000000004</v>
      </c>
      <c r="AP193" s="246">
        <v>0.45</v>
      </c>
      <c r="AQ193" s="194">
        <f>ROUND(AO193*AP193,4)</f>
        <v>1.998</v>
      </c>
      <c r="AR193" s="178">
        <f>ROUND(AQ193*$D$8,0)</f>
        <v>3596400</v>
      </c>
      <c r="AS193" s="178"/>
      <c r="AT193" s="178">
        <f>ROUND(AE193-AJ193+AL193+AN193+AR193,0)</f>
        <v>11822166</v>
      </c>
      <c r="AU193" s="469">
        <f>A193</f>
        <v>175</v>
      </c>
      <c r="AV193" s="195"/>
      <c r="AW193" s="198" t="s">
        <v>710</v>
      </c>
    </row>
    <row r="194" spans="1:49" s="189" customFormat="1" ht="31.5" customHeight="1" x14ac:dyDescent="0.25">
      <c r="A194" s="900">
        <f t="shared" si="127"/>
        <v>176</v>
      </c>
      <c r="B194" s="168" t="str">
        <f>VLOOKUP(D194,[1]LuongBC_T01!$B$9:$C$292,2,FALSE)</f>
        <v>0016100006730005</v>
      </c>
      <c r="C194" s="199" t="s">
        <v>913</v>
      </c>
      <c r="D194" s="169" t="s">
        <v>1201</v>
      </c>
      <c r="E194" s="263" t="s">
        <v>1254</v>
      </c>
      <c r="F194" s="169" t="s">
        <v>549</v>
      </c>
      <c r="G194" s="200"/>
      <c r="H194" s="200" t="s">
        <v>283</v>
      </c>
      <c r="I194" s="200" t="s">
        <v>283</v>
      </c>
      <c r="J194" s="200" t="s">
        <v>580</v>
      </c>
      <c r="K194" s="170" t="str">
        <f>VLOOKUP(D194,[2]T3!$B$2:$D$328,3,FALSE)</f>
        <v>025531048</v>
      </c>
      <c r="L194" s="201" t="s">
        <v>602</v>
      </c>
      <c r="M194" s="201" t="s">
        <v>913</v>
      </c>
      <c r="N194" s="263" t="str">
        <f>VLOOKUP(D194,'[5]Bao cao So GDDT'!$D$14:$S$282,11,FALSE)</f>
        <v>Giảng viên GDNN LT (hạng III)</v>
      </c>
      <c r="O194" s="390" t="s">
        <v>1438</v>
      </c>
      <c r="P194" s="170" t="s">
        <v>692</v>
      </c>
      <c r="Q194" s="170">
        <v>3</v>
      </c>
      <c r="R194" s="177">
        <v>3.99</v>
      </c>
      <c r="S194" s="176">
        <f t="shared" si="157"/>
        <v>0.91420000000000001</v>
      </c>
      <c r="T194" s="220"/>
      <c r="U194" s="176">
        <f t="shared" si="129"/>
        <v>0</v>
      </c>
      <c r="V194" s="175">
        <f t="shared" si="165"/>
        <v>0</v>
      </c>
      <c r="W194" s="170">
        <v>0.35</v>
      </c>
      <c r="X194" s="179">
        <v>0.13</v>
      </c>
      <c r="Y194" s="216">
        <f t="shared" si="130"/>
        <v>0.56420000000000003</v>
      </c>
      <c r="Z194" s="216">
        <f t="shared" si="131"/>
        <v>4.9041999999999994</v>
      </c>
      <c r="AA194" s="180">
        <f t="shared" si="132"/>
        <v>8827560</v>
      </c>
      <c r="AB194" s="180"/>
      <c r="AC194" s="180">
        <f t="shared" si="133"/>
        <v>0</v>
      </c>
      <c r="AD194" s="180">
        <f t="shared" si="166"/>
        <v>0</v>
      </c>
      <c r="AE194" s="180">
        <f t="shared" si="134"/>
        <v>8827560</v>
      </c>
      <c r="AF194" s="178">
        <f t="shared" si="162"/>
        <v>706204.8</v>
      </c>
      <c r="AG194" s="178">
        <f t="shared" si="163"/>
        <v>132413.4</v>
      </c>
      <c r="AH194" s="178">
        <f t="shared" si="164"/>
        <v>88275.6</v>
      </c>
      <c r="AI194" s="178"/>
      <c r="AJ194" s="178">
        <f t="shared" si="138"/>
        <v>926893.8</v>
      </c>
      <c r="AK194" s="192"/>
      <c r="AL194" s="182">
        <f t="shared" si="159"/>
        <v>0</v>
      </c>
      <c r="AM194" s="182"/>
      <c r="AN194" s="182"/>
      <c r="AO194" s="193">
        <f t="shared" si="161"/>
        <v>4.34</v>
      </c>
      <c r="AP194" s="246">
        <v>0.45</v>
      </c>
      <c r="AQ194" s="194">
        <f t="shared" si="139"/>
        <v>1.9530000000000001</v>
      </c>
      <c r="AR194" s="178">
        <f t="shared" si="140"/>
        <v>3515400</v>
      </c>
      <c r="AS194" s="178"/>
      <c r="AT194" s="178">
        <f t="shared" si="141"/>
        <v>11416066</v>
      </c>
      <c r="AU194" s="469">
        <f t="shared" si="142"/>
        <v>176</v>
      </c>
      <c r="AV194" s="195"/>
      <c r="AW194" s="198" t="s">
        <v>710</v>
      </c>
    </row>
    <row r="195" spans="1:49" s="189" customFormat="1" ht="31.5" customHeight="1" x14ac:dyDescent="0.25">
      <c r="A195" s="900">
        <f t="shared" si="127"/>
        <v>177</v>
      </c>
      <c r="B195" s="168" t="str">
        <f>VLOOKUP(D195,[1]LuongBC_T01!$B$9:$C$292,2,FALSE)</f>
        <v>0016100006726008</v>
      </c>
      <c r="C195" s="199" t="s">
        <v>925</v>
      </c>
      <c r="D195" s="169" t="s">
        <v>301</v>
      </c>
      <c r="E195" s="263" t="s">
        <v>1251</v>
      </c>
      <c r="F195" s="169" t="s">
        <v>549</v>
      </c>
      <c r="G195" s="200" t="s">
        <v>25</v>
      </c>
      <c r="H195" s="200" t="s">
        <v>283</v>
      </c>
      <c r="I195" s="170" t="s">
        <v>283</v>
      </c>
      <c r="J195" s="169" t="s">
        <v>527</v>
      </c>
      <c r="K195" s="170" t="str">
        <f>VLOOKUP(D195,[2]T3!$B$2:$D$328,3,FALSE)</f>
        <v>024827262</v>
      </c>
      <c r="L195" s="171" t="s">
        <v>336</v>
      </c>
      <c r="M195" s="171" t="s">
        <v>925</v>
      </c>
      <c r="N195" s="263" t="str">
        <f>VLOOKUP(D195,'[5]Bao cao So GDDT'!$D$14:$S$282,11,FALSE)</f>
        <v>Giảng viên GDNN LT (hạng III)</v>
      </c>
      <c r="O195" s="390" t="s">
        <v>1438</v>
      </c>
      <c r="P195" s="172" t="s">
        <v>692</v>
      </c>
      <c r="Q195" s="173">
        <v>4</v>
      </c>
      <c r="R195" s="174">
        <v>3.99</v>
      </c>
      <c r="S195" s="176">
        <f t="shared" si="157"/>
        <v>0.84360000000000002</v>
      </c>
      <c r="T195" s="370"/>
      <c r="U195" s="176">
        <f t="shared" ref="U195:U224" si="167">ROUND(R195*T195/100,4)</f>
        <v>0</v>
      </c>
      <c r="V195" s="175">
        <f t="shared" si="165"/>
        <v>0</v>
      </c>
      <c r="W195" s="170">
        <v>0.25</v>
      </c>
      <c r="X195" s="179">
        <v>0.14000000000000001</v>
      </c>
      <c r="Y195" s="216">
        <f t="shared" ref="Y195:Y224" si="168">ROUND((R195+U195+W195)*X195,4)</f>
        <v>0.59360000000000002</v>
      </c>
      <c r="Z195" s="216">
        <f t="shared" ref="Z195:Z224" si="169">R195+U195+W195+Y195</f>
        <v>4.8336000000000006</v>
      </c>
      <c r="AA195" s="180">
        <f t="shared" ref="AA195:AA224" si="170">ROUND(Z195*$D$8,0)</f>
        <v>8700480</v>
      </c>
      <c r="AB195" s="180"/>
      <c r="AC195" s="180">
        <f t="shared" ref="AC195:AC224" si="171">AA195/24*AB195</f>
        <v>0</v>
      </c>
      <c r="AD195" s="180">
        <f t="shared" si="166"/>
        <v>0</v>
      </c>
      <c r="AE195" s="180">
        <f t="shared" ref="AE195:AE224" si="172">ROUND(AA195-AC195+AD195,0)</f>
        <v>8700480</v>
      </c>
      <c r="AF195" s="178">
        <f t="shared" si="162"/>
        <v>696038.40000000002</v>
      </c>
      <c r="AG195" s="178">
        <f t="shared" si="163"/>
        <v>130507.2</v>
      </c>
      <c r="AH195" s="178">
        <f t="shared" si="164"/>
        <v>87004.800000000003</v>
      </c>
      <c r="AI195" s="178"/>
      <c r="AJ195" s="178">
        <f t="shared" ref="AJ195:AJ224" si="173">SUM(AF195:AI195)</f>
        <v>913550.4</v>
      </c>
      <c r="AK195" s="192"/>
      <c r="AL195" s="182">
        <f t="shared" si="159"/>
        <v>0</v>
      </c>
      <c r="AM195" s="182"/>
      <c r="AN195" s="182"/>
      <c r="AO195" s="193">
        <f t="shared" si="161"/>
        <v>4.24</v>
      </c>
      <c r="AP195" s="246">
        <v>0.45</v>
      </c>
      <c r="AQ195" s="194">
        <f t="shared" ref="AQ195:AQ224" si="174">ROUND(AO195*AP195,4)</f>
        <v>1.9079999999999999</v>
      </c>
      <c r="AR195" s="178">
        <f t="shared" ref="AR195:AR224" si="175">ROUND(AQ195*$D$8,0)</f>
        <v>3434400</v>
      </c>
      <c r="AS195" s="178"/>
      <c r="AT195" s="178">
        <f t="shared" ref="AT195:AT224" si="176">ROUND(AE195-AJ195+AL195+AN195+AR195,0)</f>
        <v>11221330</v>
      </c>
      <c r="AU195" s="469">
        <f t="shared" ref="AU195:AU224" si="177">A195</f>
        <v>177</v>
      </c>
      <c r="AV195" s="195"/>
      <c r="AW195" s="187" t="s">
        <v>709</v>
      </c>
    </row>
    <row r="196" spans="1:49" s="189" customFormat="1" ht="36" customHeight="1" x14ac:dyDescent="0.25">
      <c r="A196" s="900">
        <f t="shared" si="127"/>
        <v>178</v>
      </c>
      <c r="B196" s="168" t="str">
        <f>VLOOKUP(D196,[1]LuongBC_T01!$B$9:$C$292,2,FALSE)</f>
        <v>0016100006579005</v>
      </c>
      <c r="C196" s="199" t="s">
        <v>987</v>
      </c>
      <c r="D196" s="169" t="s">
        <v>569</v>
      </c>
      <c r="E196" s="263" t="s">
        <v>1251</v>
      </c>
      <c r="F196" s="169" t="s">
        <v>549</v>
      </c>
      <c r="G196" s="200" t="s">
        <v>25</v>
      </c>
      <c r="H196" s="200" t="s">
        <v>283</v>
      </c>
      <c r="I196" s="200" t="s">
        <v>283</v>
      </c>
      <c r="J196" s="200" t="s">
        <v>579</v>
      </c>
      <c r="K196" s="170" t="str">
        <f>VLOOKUP(D196,[2]T3!$B$2:$D$328,3,FALSE)</f>
        <v>025523427</v>
      </c>
      <c r="L196" s="201" t="s">
        <v>601</v>
      </c>
      <c r="M196" s="201" t="s">
        <v>987</v>
      </c>
      <c r="N196" s="263" t="str">
        <f>VLOOKUP(D196,'[5]Bao cao So GDDT'!$D$14:$S$282,11,FALSE)</f>
        <v>Giảng viên GDNN LT (hạng III)</v>
      </c>
      <c r="O196" s="390" t="s">
        <v>1438</v>
      </c>
      <c r="P196" s="170" t="s">
        <v>692</v>
      </c>
      <c r="Q196" s="170">
        <v>3</v>
      </c>
      <c r="R196" s="177">
        <v>3.99</v>
      </c>
      <c r="S196" s="176">
        <f t="shared" si="157"/>
        <v>0.51870000000000005</v>
      </c>
      <c r="T196" s="220"/>
      <c r="U196" s="176">
        <f t="shared" si="167"/>
        <v>0</v>
      </c>
      <c r="V196" s="175">
        <f t="shared" si="165"/>
        <v>0</v>
      </c>
      <c r="W196" s="170"/>
      <c r="X196" s="179">
        <v>0.13</v>
      </c>
      <c r="Y196" s="216">
        <f t="shared" si="168"/>
        <v>0.51870000000000005</v>
      </c>
      <c r="Z196" s="216">
        <f t="shared" si="169"/>
        <v>4.5087000000000002</v>
      </c>
      <c r="AA196" s="180">
        <f t="shared" si="170"/>
        <v>8115660</v>
      </c>
      <c r="AB196" s="180">
        <v>0</v>
      </c>
      <c r="AC196" s="180">
        <f t="shared" si="171"/>
        <v>0</v>
      </c>
      <c r="AD196" s="180">
        <v>0</v>
      </c>
      <c r="AE196" s="180">
        <f t="shared" si="172"/>
        <v>8115660</v>
      </c>
      <c r="AF196" s="178">
        <f t="shared" si="162"/>
        <v>649252.80000000005</v>
      </c>
      <c r="AG196" s="178">
        <f t="shared" si="163"/>
        <v>121734.9</v>
      </c>
      <c r="AH196" s="178">
        <f t="shared" si="164"/>
        <v>81156.600000000006</v>
      </c>
      <c r="AI196" s="178"/>
      <c r="AJ196" s="178">
        <f t="shared" si="173"/>
        <v>852144.3</v>
      </c>
      <c r="AK196" s="192">
        <v>0</v>
      </c>
      <c r="AL196" s="182">
        <f t="shared" si="159"/>
        <v>0</v>
      </c>
      <c r="AM196" s="182"/>
      <c r="AN196" s="182"/>
      <c r="AO196" s="193">
        <f t="shared" si="161"/>
        <v>3.99</v>
      </c>
      <c r="AP196" s="246">
        <v>0.45</v>
      </c>
      <c r="AQ196" s="194">
        <f t="shared" si="174"/>
        <v>1.7955000000000001</v>
      </c>
      <c r="AR196" s="178">
        <f t="shared" si="175"/>
        <v>3231900</v>
      </c>
      <c r="AS196" s="178"/>
      <c r="AT196" s="178">
        <f t="shared" si="176"/>
        <v>10495416</v>
      </c>
      <c r="AU196" s="469">
        <f t="shared" si="177"/>
        <v>178</v>
      </c>
      <c r="AV196" s="447"/>
      <c r="AW196" s="198" t="s">
        <v>710</v>
      </c>
    </row>
    <row r="197" spans="1:49" s="189" customFormat="1" ht="31.5" customHeight="1" x14ac:dyDescent="0.25">
      <c r="A197" s="900">
        <f t="shared" si="127"/>
        <v>179</v>
      </c>
      <c r="B197" s="168" t="str">
        <f>VLOOKUP(D197,[1]LuongBC_T01!$B$9:$C$292,2,FALSE)</f>
        <v>0016100006778008</v>
      </c>
      <c r="C197" s="199" t="s">
        <v>1019</v>
      </c>
      <c r="D197" s="169" t="s">
        <v>739</v>
      </c>
      <c r="E197" s="263" t="s">
        <v>1251</v>
      </c>
      <c r="F197" s="169"/>
      <c r="G197" s="170" t="s">
        <v>25</v>
      </c>
      <c r="H197" s="170"/>
      <c r="I197" s="170"/>
      <c r="J197" s="169"/>
      <c r="K197" s="170" t="str">
        <f>VLOOKUP(D197,[2]T3!$B$2:$D$328,3,FALSE)</f>
        <v>025611151</v>
      </c>
      <c r="L197" s="253" t="s">
        <v>746</v>
      </c>
      <c r="M197" s="253" t="s">
        <v>1019</v>
      </c>
      <c r="N197" s="263" t="str">
        <f>VLOOKUP(D197,'[5]Bao cao So GDDT'!$D$14:$S$282,11,FALSE)</f>
        <v>Giảng viên GDNN LT (hạng III)</v>
      </c>
      <c r="O197" s="390" t="s">
        <v>1438</v>
      </c>
      <c r="P197" s="222" t="s">
        <v>692</v>
      </c>
      <c r="Q197" s="172">
        <v>3</v>
      </c>
      <c r="R197" s="174">
        <v>3.66</v>
      </c>
      <c r="S197" s="176">
        <f t="shared" si="157"/>
        <v>0.51239999999999997</v>
      </c>
      <c r="T197" s="370"/>
      <c r="U197" s="176">
        <f t="shared" si="167"/>
        <v>0</v>
      </c>
      <c r="V197" s="175">
        <f t="shared" si="165"/>
        <v>0</v>
      </c>
      <c r="W197" s="170"/>
      <c r="X197" s="179">
        <v>0.14000000000000001</v>
      </c>
      <c r="Y197" s="216">
        <f t="shared" si="168"/>
        <v>0.51239999999999997</v>
      </c>
      <c r="Z197" s="216">
        <f t="shared" si="169"/>
        <v>4.1723999999999997</v>
      </c>
      <c r="AA197" s="180">
        <f t="shared" si="170"/>
        <v>7510320</v>
      </c>
      <c r="AB197" s="180"/>
      <c r="AC197" s="180">
        <f t="shared" si="171"/>
        <v>0</v>
      </c>
      <c r="AD197" s="180">
        <v>0</v>
      </c>
      <c r="AE197" s="180">
        <f t="shared" si="172"/>
        <v>7510320</v>
      </c>
      <c r="AF197" s="178">
        <f t="shared" si="162"/>
        <v>600825.59999999998</v>
      </c>
      <c r="AG197" s="178">
        <f t="shared" si="163"/>
        <v>112654.8</v>
      </c>
      <c r="AH197" s="178">
        <f t="shared" si="164"/>
        <v>75103.199999999997</v>
      </c>
      <c r="AI197" s="178"/>
      <c r="AJ197" s="178">
        <f t="shared" si="173"/>
        <v>788583.6</v>
      </c>
      <c r="AK197" s="192"/>
      <c r="AL197" s="182">
        <f t="shared" si="159"/>
        <v>0</v>
      </c>
      <c r="AM197" s="182"/>
      <c r="AN197" s="182"/>
      <c r="AO197" s="193">
        <f t="shared" si="161"/>
        <v>3.66</v>
      </c>
      <c r="AP197" s="246">
        <v>0.45</v>
      </c>
      <c r="AQ197" s="194">
        <f t="shared" si="174"/>
        <v>1.647</v>
      </c>
      <c r="AR197" s="178">
        <f t="shared" si="175"/>
        <v>2964600</v>
      </c>
      <c r="AS197" s="178"/>
      <c r="AT197" s="178">
        <f t="shared" si="176"/>
        <v>9686336</v>
      </c>
      <c r="AU197" s="469">
        <f t="shared" si="177"/>
        <v>179</v>
      </c>
      <c r="AV197" s="195"/>
      <c r="AW197" s="198"/>
    </row>
    <row r="198" spans="1:49" s="189" customFormat="1" ht="31.5" customHeight="1" x14ac:dyDescent="0.25">
      <c r="A198" s="900">
        <f t="shared" si="127"/>
        <v>180</v>
      </c>
      <c r="B198" s="168" t="str">
        <f>VLOOKUP(D198,[1]LuongBC_T01!$B$9:$C$292,2,FALSE)</f>
        <v>0016100006109009</v>
      </c>
      <c r="C198" s="199" t="s">
        <v>966</v>
      </c>
      <c r="D198" s="169" t="s">
        <v>1221</v>
      </c>
      <c r="E198" s="263" t="s">
        <v>1251</v>
      </c>
      <c r="F198" s="169" t="s">
        <v>549</v>
      </c>
      <c r="G198" s="170" t="s">
        <v>25</v>
      </c>
      <c r="H198" s="170" t="s">
        <v>283</v>
      </c>
      <c r="I198" s="200" t="s">
        <v>283</v>
      </c>
      <c r="J198" s="220" t="s">
        <v>260</v>
      </c>
      <c r="K198" s="168" t="s">
        <v>1338</v>
      </c>
      <c r="L198" s="171" t="s">
        <v>169</v>
      </c>
      <c r="M198" s="171" t="s">
        <v>966</v>
      </c>
      <c r="N198" s="263" t="str">
        <f>VLOOKUP(D198,'[5]Bao cao So GDDT'!$D$14:$S$282,11,FALSE)</f>
        <v>Giảng viên GDNN LT (hạng III)</v>
      </c>
      <c r="O198" s="390" t="s">
        <v>1438</v>
      </c>
      <c r="P198" s="172" t="s">
        <v>692</v>
      </c>
      <c r="Q198" s="173">
        <v>4</v>
      </c>
      <c r="R198" s="174">
        <v>4.32</v>
      </c>
      <c r="S198" s="176">
        <f t="shared" si="157"/>
        <v>0.73440000000000005</v>
      </c>
      <c r="T198" s="370"/>
      <c r="U198" s="176">
        <f t="shared" si="167"/>
        <v>0</v>
      </c>
      <c r="V198" s="175">
        <f t="shared" si="165"/>
        <v>0</v>
      </c>
      <c r="W198" s="170"/>
      <c r="X198" s="179">
        <v>0.17</v>
      </c>
      <c r="Y198" s="216">
        <f t="shared" si="168"/>
        <v>0.73440000000000005</v>
      </c>
      <c r="Z198" s="216">
        <f t="shared" si="169"/>
        <v>5.0544000000000002</v>
      </c>
      <c r="AA198" s="180">
        <f t="shared" si="170"/>
        <v>9097920</v>
      </c>
      <c r="AB198" s="180"/>
      <c r="AC198" s="180">
        <f t="shared" si="171"/>
        <v>0</v>
      </c>
      <c r="AD198" s="180">
        <f>AA198/24*AB198*75%</f>
        <v>0</v>
      </c>
      <c r="AE198" s="180">
        <f t="shared" si="172"/>
        <v>9097920</v>
      </c>
      <c r="AF198" s="178">
        <f t="shared" si="162"/>
        <v>727833.59999999998</v>
      </c>
      <c r="AG198" s="178">
        <f t="shared" si="163"/>
        <v>136468.79999999999</v>
      </c>
      <c r="AH198" s="178">
        <f t="shared" si="164"/>
        <v>90979.199999999997</v>
      </c>
      <c r="AI198" s="178"/>
      <c r="AJ198" s="178">
        <f t="shared" si="173"/>
        <v>955281.59999999986</v>
      </c>
      <c r="AK198" s="192"/>
      <c r="AL198" s="182">
        <f t="shared" si="159"/>
        <v>0</v>
      </c>
      <c r="AM198" s="182"/>
      <c r="AN198" s="182"/>
      <c r="AO198" s="193">
        <f t="shared" si="161"/>
        <v>4.32</v>
      </c>
      <c r="AP198" s="246">
        <v>0.45</v>
      </c>
      <c r="AQ198" s="194">
        <f t="shared" si="174"/>
        <v>1.944</v>
      </c>
      <c r="AR198" s="178">
        <f t="shared" si="175"/>
        <v>3499200</v>
      </c>
      <c r="AS198" s="178"/>
      <c r="AT198" s="178">
        <f t="shared" si="176"/>
        <v>11641838</v>
      </c>
      <c r="AU198" s="469">
        <f t="shared" si="177"/>
        <v>180</v>
      </c>
      <c r="AV198" s="195"/>
      <c r="AW198" s="186" t="s">
        <v>710</v>
      </c>
    </row>
    <row r="199" spans="1:49" s="189" customFormat="1" ht="31.5" customHeight="1" x14ac:dyDescent="0.25">
      <c r="A199" s="900">
        <f t="shared" si="127"/>
        <v>181</v>
      </c>
      <c r="B199" s="168" t="str">
        <f>VLOOKUP(D199,[1]LuongBC_T01!$B$9:$C$292,2,FALSE)</f>
        <v>0016100006727004</v>
      </c>
      <c r="C199" s="199" t="s">
        <v>926</v>
      </c>
      <c r="D199" s="169" t="s">
        <v>296</v>
      </c>
      <c r="E199" s="263" t="s">
        <v>1251</v>
      </c>
      <c r="F199" s="169" t="s">
        <v>549</v>
      </c>
      <c r="G199" s="200" t="s">
        <v>25</v>
      </c>
      <c r="H199" s="200" t="s">
        <v>283</v>
      </c>
      <c r="I199" s="170" t="s">
        <v>283</v>
      </c>
      <c r="J199" s="169" t="s">
        <v>526</v>
      </c>
      <c r="K199" s="170" t="str">
        <f>VLOOKUP(D199,[2]T3!$B$2:$D$328,3,FALSE)</f>
        <v>024935952</v>
      </c>
      <c r="L199" s="171" t="s">
        <v>328</v>
      </c>
      <c r="M199" s="171" t="s">
        <v>926</v>
      </c>
      <c r="N199" s="263" t="str">
        <f>VLOOKUP(D199,'[5]Bao cao So GDDT'!$D$14:$S$282,11,FALSE)</f>
        <v>Giảng viên GDNN LT (hạng III)</v>
      </c>
      <c r="O199" s="390" t="s">
        <v>1438</v>
      </c>
      <c r="P199" s="172" t="s">
        <v>692</v>
      </c>
      <c r="Q199" s="173">
        <v>3</v>
      </c>
      <c r="R199" s="174">
        <v>3.66</v>
      </c>
      <c r="S199" s="176">
        <f t="shared" si="157"/>
        <v>0.51239999999999997</v>
      </c>
      <c r="T199" s="370"/>
      <c r="U199" s="176">
        <f t="shared" si="167"/>
        <v>0</v>
      </c>
      <c r="V199" s="175">
        <f t="shared" si="165"/>
        <v>0</v>
      </c>
      <c r="W199" s="170"/>
      <c r="X199" s="179">
        <v>0.14000000000000001</v>
      </c>
      <c r="Y199" s="216">
        <f t="shared" si="168"/>
        <v>0.51239999999999997</v>
      </c>
      <c r="Z199" s="216">
        <f t="shared" si="169"/>
        <v>4.1723999999999997</v>
      </c>
      <c r="AA199" s="180">
        <f t="shared" si="170"/>
        <v>7510320</v>
      </c>
      <c r="AB199" s="180"/>
      <c r="AC199" s="180">
        <f t="shared" si="171"/>
        <v>0</v>
      </c>
      <c r="AD199" s="180">
        <f>AA199/24*AB199*75%</f>
        <v>0</v>
      </c>
      <c r="AE199" s="180">
        <f t="shared" si="172"/>
        <v>7510320</v>
      </c>
      <c r="AF199" s="178">
        <f t="shared" si="162"/>
        <v>600825.59999999998</v>
      </c>
      <c r="AG199" s="178">
        <f t="shared" si="163"/>
        <v>112654.8</v>
      </c>
      <c r="AH199" s="178">
        <f t="shared" si="164"/>
        <v>75103.199999999997</v>
      </c>
      <c r="AI199" s="178"/>
      <c r="AJ199" s="178">
        <f t="shared" si="173"/>
        <v>788583.6</v>
      </c>
      <c r="AK199" s="192"/>
      <c r="AL199" s="182">
        <f t="shared" si="159"/>
        <v>0</v>
      </c>
      <c r="AM199" s="182"/>
      <c r="AN199" s="182"/>
      <c r="AO199" s="193">
        <f t="shared" si="161"/>
        <v>3.66</v>
      </c>
      <c r="AP199" s="246">
        <v>0.45</v>
      </c>
      <c r="AQ199" s="194">
        <f t="shared" si="174"/>
        <v>1.647</v>
      </c>
      <c r="AR199" s="178">
        <f t="shared" si="175"/>
        <v>2964600</v>
      </c>
      <c r="AS199" s="178"/>
      <c r="AT199" s="178">
        <f t="shared" si="176"/>
        <v>9686336</v>
      </c>
      <c r="AU199" s="469">
        <f t="shared" si="177"/>
        <v>181</v>
      </c>
      <c r="AV199" s="195"/>
      <c r="AW199" s="198" t="s">
        <v>710</v>
      </c>
    </row>
    <row r="200" spans="1:49" s="189" customFormat="1" ht="31.5" customHeight="1" x14ac:dyDescent="0.25">
      <c r="A200" s="900">
        <f t="shared" si="127"/>
        <v>182</v>
      </c>
      <c r="B200" s="168" t="str">
        <f>VLOOKUP(D200,[1]LuongBC_T01!$B$9:$C$292,2,FALSE)</f>
        <v>0016100006645008</v>
      </c>
      <c r="C200" s="371" t="s">
        <v>1051</v>
      </c>
      <c r="D200" s="169" t="s">
        <v>1224</v>
      </c>
      <c r="E200" s="263" t="s">
        <v>1251</v>
      </c>
      <c r="F200" s="169" t="s">
        <v>549</v>
      </c>
      <c r="G200" s="200" t="s">
        <v>25</v>
      </c>
      <c r="H200" s="200" t="s">
        <v>283</v>
      </c>
      <c r="I200" s="200" t="s">
        <v>283</v>
      </c>
      <c r="J200" s="200" t="s">
        <v>578</v>
      </c>
      <c r="K200" s="168" t="s">
        <v>1336</v>
      </c>
      <c r="L200" s="201" t="s">
        <v>600</v>
      </c>
      <c r="M200" s="201" t="s">
        <v>1051</v>
      </c>
      <c r="N200" s="263" t="str">
        <f>VLOOKUP(D200,'[5]Bao cao So GDDT'!$D$14:$S$282,11,FALSE)</f>
        <v>Giảng viên GDNN LT (hạng III)</v>
      </c>
      <c r="O200" s="390" t="s">
        <v>1438</v>
      </c>
      <c r="P200" s="170" t="s">
        <v>692</v>
      </c>
      <c r="Q200" s="170">
        <v>3</v>
      </c>
      <c r="R200" s="177">
        <v>3.66</v>
      </c>
      <c r="S200" s="176">
        <f t="shared" si="157"/>
        <v>0.4758</v>
      </c>
      <c r="T200" s="220"/>
      <c r="U200" s="176">
        <f t="shared" si="167"/>
        <v>0</v>
      </c>
      <c r="V200" s="175">
        <f t="shared" si="165"/>
        <v>0</v>
      </c>
      <c r="W200" s="170"/>
      <c r="X200" s="179">
        <v>0.13</v>
      </c>
      <c r="Y200" s="216">
        <f t="shared" si="168"/>
        <v>0.4758</v>
      </c>
      <c r="Z200" s="216">
        <f t="shared" si="169"/>
        <v>4.1357999999999997</v>
      </c>
      <c r="AA200" s="180">
        <f t="shared" si="170"/>
        <v>7444440</v>
      </c>
      <c r="AB200" s="180"/>
      <c r="AC200" s="180">
        <f t="shared" si="171"/>
        <v>0</v>
      </c>
      <c r="AD200" s="180">
        <f>AA200/24*AB200*75%</f>
        <v>0</v>
      </c>
      <c r="AE200" s="180">
        <f t="shared" si="172"/>
        <v>7444440</v>
      </c>
      <c r="AF200" s="178">
        <f t="shared" si="162"/>
        <v>595555.20000000007</v>
      </c>
      <c r="AG200" s="178">
        <f t="shared" si="163"/>
        <v>111666.59999999999</v>
      </c>
      <c r="AH200" s="178">
        <f t="shared" si="164"/>
        <v>74444.400000000009</v>
      </c>
      <c r="AI200" s="178"/>
      <c r="AJ200" s="178">
        <f t="shared" si="173"/>
        <v>781666.20000000007</v>
      </c>
      <c r="AK200" s="192"/>
      <c r="AL200" s="182">
        <f t="shared" si="159"/>
        <v>0</v>
      </c>
      <c r="AM200" s="182"/>
      <c r="AN200" s="182"/>
      <c r="AO200" s="193">
        <f t="shared" si="161"/>
        <v>3.66</v>
      </c>
      <c r="AP200" s="246">
        <v>0.45</v>
      </c>
      <c r="AQ200" s="194">
        <f t="shared" si="174"/>
        <v>1.647</v>
      </c>
      <c r="AR200" s="178">
        <f t="shared" si="175"/>
        <v>2964600</v>
      </c>
      <c r="AS200" s="178"/>
      <c r="AT200" s="178">
        <f t="shared" si="176"/>
        <v>9627374</v>
      </c>
      <c r="AU200" s="469">
        <f t="shared" si="177"/>
        <v>182</v>
      </c>
      <c r="AV200" s="186"/>
      <c r="AW200" s="198" t="s">
        <v>710</v>
      </c>
    </row>
    <row r="201" spans="1:49" s="189" customFormat="1" ht="31.5" customHeight="1" x14ac:dyDescent="0.25">
      <c r="A201" s="900">
        <f t="shared" si="127"/>
        <v>183</v>
      </c>
      <c r="B201" s="168" t="str">
        <f>VLOOKUP(D201,[1]LuongBC_T01!$B$9:$C$292,2,FALSE)</f>
        <v>0016100005288007</v>
      </c>
      <c r="C201" s="199" t="s">
        <v>989</v>
      </c>
      <c r="D201" s="169" t="s">
        <v>568</v>
      </c>
      <c r="E201" s="263" t="s">
        <v>1251</v>
      </c>
      <c r="F201" s="169" t="s">
        <v>549</v>
      </c>
      <c r="G201" s="200" t="s">
        <v>25</v>
      </c>
      <c r="H201" s="200" t="s">
        <v>283</v>
      </c>
      <c r="I201" s="200" t="s">
        <v>283</v>
      </c>
      <c r="J201" s="200" t="s">
        <v>577</v>
      </c>
      <c r="K201" s="170" t="str">
        <f>VLOOKUP(D201,[2]T3!$B$2:$D$328,3,FALSE)</f>
        <v>025232273</v>
      </c>
      <c r="L201" s="201" t="s">
        <v>599</v>
      </c>
      <c r="M201" s="201" t="s">
        <v>989</v>
      </c>
      <c r="N201" s="263" t="str">
        <f>VLOOKUP(D201,'[5]Bao cao So GDDT'!$D$14:$S$282,11,FALSE)</f>
        <v>Giảng viên GDNN LT (hạng III)</v>
      </c>
      <c r="O201" s="390" t="s">
        <v>1438</v>
      </c>
      <c r="P201" s="170" t="s">
        <v>692</v>
      </c>
      <c r="Q201" s="170">
        <v>3</v>
      </c>
      <c r="R201" s="177">
        <v>3.66</v>
      </c>
      <c r="S201" s="176">
        <f t="shared" si="157"/>
        <v>0.4758</v>
      </c>
      <c r="T201" s="220"/>
      <c r="U201" s="176">
        <f t="shared" si="167"/>
        <v>0</v>
      </c>
      <c r="V201" s="175">
        <f t="shared" si="165"/>
        <v>0</v>
      </c>
      <c r="W201" s="170"/>
      <c r="X201" s="179">
        <v>0.13</v>
      </c>
      <c r="Y201" s="216">
        <f t="shared" si="168"/>
        <v>0.4758</v>
      </c>
      <c r="Z201" s="216">
        <f t="shared" si="169"/>
        <v>4.1357999999999997</v>
      </c>
      <c r="AA201" s="180">
        <f t="shared" si="170"/>
        <v>7444440</v>
      </c>
      <c r="AB201" s="180"/>
      <c r="AC201" s="180">
        <f t="shared" si="171"/>
        <v>0</v>
      </c>
      <c r="AD201" s="180">
        <f>AA201/24*AB201*75%</f>
        <v>0</v>
      </c>
      <c r="AE201" s="180">
        <f t="shared" si="172"/>
        <v>7444440</v>
      </c>
      <c r="AF201" s="178">
        <f t="shared" si="162"/>
        <v>595555.20000000007</v>
      </c>
      <c r="AG201" s="178">
        <f t="shared" si="163"/>
        <v>111666.59999999999</v>
      </c>
      <c r="AH201" s="178">
        <f t="shared" si="164"/>
        <v>74444.400000000009</v>
      </c>
      <c r="AI201" s="178"/>
      <c r="AJ201" s="178">
        <f t="shared" si="173"/>
        <v>781666.20000000007</v>
      </c>
      <c r="AK201" s="192"/>
      <c r="AL201" s="182">
        <f t="shared" si="159"/>
        <v>0</v>
      </c>
      <c r="AM201" s="182"/>
      <c r="AN201" s="182"/>
      <c r="AO201" s="193">
        <f t="shared" si="161"/>
        <v>3.66</v>
      </c>
      <c r="AP201" s="246">
        <v>0.45</v>
      </c>
      <c r="AQ201" s="194">
        <f t="shared" si="174"/>
        <v>1.647</v>
      </c>
      <c r="AR201" s="178">
        <f t="shared" si="175"/>
        <v>2964600</v>
      </c>
      <c r="AS201" s="178"/>
      <c r="AT201" s="178">
        <f t="shared" si="176"/>
        <v>9627374</v>
      </c>
      <c r="AU201" s="469">
        <f t="shared" si="177"/>
        <v>183</v>
      </c>
      <c r="AV201" s="195"/>
      <c r="AW201" s="198" t="s">
        <v>710</v>
      </c>
    </row>
    <row r="202" spans="1:49" s="189" customFormat="1" ht="31.5" customHeight="1" x14ac:dyDescent="0.25">
      <c r="A202" s="900">
        <f t="shared" si="127"/>
        <v>184</v>
      </c>
      <c r="B202" s="168" t="str">
        <f>VLOOKUP(D202,[1]LuongBC_T01!$B$9:$C$292,2,FALSE)</f>
        <v>0016100006578009</v>
      </c>
      <c r="C202" s="199" t="s">
        <v>962</v>
      </c>
      <c r="D202" s="230" t="s">
        <v>666</v>
      </c>
      <c r="E202" s="263" t="s">
        <v>1251</v>
      </c>
      <c r="F202" s="230" t="s">
        <v>549</v>
      </c>
      <c r="G202" s="170" t="s">
        <v>25</v>
      </c>
      <c r="H202" s="200" t="s">
        <v>283</v>
      </c>
      <c r="I202" s="200" t="s">
        <v>283</v>
      </c>
      <c r="J202" s="220"/>
      <c r="K202" s="170" t="str">
        <f>VLOOKUP(D202,[2]T3!$B$2:$D$328,3,FALSE)</f>
        <v>025294204</v>
      </c>
      <c r="L202" s="171" t="s">
        <v>667</v>
      </c>
      <c r="M202" s="171" t="s">
        <v>962</v>
      </c>
      <c r="N202" s="263" t="str">
        <f>VLOOKUP(D202,'[5]Bao cao So GDDT'!$D$14:$S$282,11,FALSE)</f>
        <v>Giảng viên GDNN LT (hạng III)</v>
      </c>
      <c r="O202" s="390" t="s">
        <v>1438</v>
      </c>
      <c r="P202" s="172" t="s">
        <v>692</v>
      </c>
      <c r="Q202" s="173">
        <v>4</v>
      </c>
      <c r="R202" s="174">
        <v>4.32</v>
      </c>
      <c r="S202" s="176">
        <f t="shared" si="157"/>
        <v>0.73440000000000005</v>
      </c>
      <c r="T202" s="370"/>
      <c r="U202" s="176">
        <f t="shared" si="167"/>
        <v>0</v>
      </c>
      <c r="V202" s="175">
        <f t="shared" si="165"/>
        <v>0</v>
      </c>
      <c r="W202" s="170"/>
      <c r="X202" s="179">
        <v>0.17</v>
      </c>
      <c r="Y202" s="216">
        <f t="shared" si="168"/>
        <v>0.73440000000000005</v>
      </c>
      <c r="Z202" s="216">
        <f t="shared" si="169"/>
        <v>5.0544000000000002</v>
      </c>
      <c r="AA202" s="180">
        <f t="shared" si="170"/>
        <v>9097920</v>
      </c>
      <c r="AB202" s="180"/>
      <c r="AC202" s="180">
        <f t="shared" si="171"/>
        <v>0</v>
      </c>
      <c r="AD202" s="180">
        <f>AA202/24*AB202*75%</f>
        <v>0</v>
      </c>
      <c r="AE202" s="180">
        <f t="shared" si="172"/>
        <v>9097920</v>
      </c>
      <c r="AF202" s="178">
        <f t="shared" si="162"/>
        <v>727833.59999999998</v>
      </c>
      <c r="AG202" s="178">
        <f t="shared" si="163"/>
        <v>136468.79999999999</v>
      </c>
      <c r="AH202" s="178">
        <f t="shared" si="164"/>
        <v>90979.199999999997</v>
      </c>
      <c r="AI202" s="178"/>
      <c r="AJ202" s="178">
        <f t="shared" si="173"/>
        <v>955281.59999999986</v>
      </c>
      <c r="AK202" s="192"/>
      <c r="AL202" s="182">
        <f t="shared" si="159"/>
        <v>0</v>
      </c>
      <c r="AM202" s="182"/>
      <c r="AN202" s="182"/>
      <c r="AO202" s="193">
        <f t="shared" si="161"/>
        <v>4.32</v>
      </c>
      <c r="AP202" s="246">
        <v>0.45</v>
      </c>
      <c r="AQ202" s="194">
        <f t="shared" si="174"/>
        <v>1.944</v>
      </c>
      <c r="AR202" s="178">
        <f t="shared" si="175"/>
        <v>3499200</v>
      </c>
      <c r="AS202" s="178"/>
      <c r="AT202" s="178">
        <f t="shared" si="176"/>
        <v>11641838</v>
      </c>
      <c r="AU202" s="469">
        <f t="shared" si="177"/>
        <v>184</v>
      </c>
      <c r="AV202" s="195"/>
      <c r="AW202" s="198" t="s">
        <v>710</v>
      </c>
    </row>
    <row r="203" spans="1:49" s="189" customFormat="1" ht="31.5" customHeight="1" x14ac:dyDescent="0.25">
      <c r="A203" s="900">
        <f t="shared" si="127"/>
        <v>185</v>
      </c>
      <c r="B203" s="168" t="str">
        <f>VLOOKUP(D203,[1]LuongBC_T01!$B$9:$C$292,2,FALSE)</f>
        <v>0016100006646004</v>
      </c>
      <c r="C203" s="387" t="s">
        <v>902</v>
      </c>
      <c r="D203" s="169" t="s">
        <v>814</v>
      </c>
      <c r="E203" s="263" t="s">
        <v>1251</v>
      </c>
      <c r="F203" s="220"/>
      <c r="G203" s="220" t="s">
        <v>25</v>
      </c>
      <c r="H203" s="220"/>
      <c r="I203" s="220"/>
      <c r="J203" s="220"/>
      <c r="K203" s="170">
        <v>186057737</v>
      </c>
      <c r="L203" s="220"/>
      <c r="M203" s="170" t="s">
        <v>902</v>
      </c>
      <c r="N203" s="263" t="str">
        <f>VLOOKUP(D203,'[5]Bao cao So GDDT'!$D$14:$S$282,11,FALSE)</f>
        <v>Giảng viên GDNN LT (hạng III)</v>
      </c>
      <c r="O203" s="390" t="s">
        <v>1438</v>
      </c>
      <c r="P203" s="170" t="s">
        <v>692</v>
      </c>
      <c r="Q203" s="170">
        <v>2</v>
      </c>
      <c r="R203" s="177">
        <v>3.33</v>
      </c>
      <c r="S203" s="176">
        <f t="shared" si="157"/>
        <v>0.26640000000000003</v>
      </c>
      <c r="T203" s="220"/>
      <c r="U203" s="176">
        <f t="shared" si="167"/>
        <v>0</v>
      </c>
      <c r="V203" s="175">
        <f t="shared" si="165"/>
        <v>0</v>
      </c>
      <c r="W203" s="170"/>
      <c r="X203" s="179">
        <v>0.08</v>
      </c>
      <c r="Y203" s="216">
        <f t="shared" si="168"/>
        <v>0.26640000000000003</v>
      </c>
      <c r="Z203" s="216">
        <f t="shared" si="169"/>
        <v>3.5964</v>
      </c>
      <c r="AA203" s="180">
        <f t="shared" si="170"/>
        <v>6473520</v>
      </c>
      <c r="AB203" s="180"/>
      <c r="AC203" s="180">
        <f t="shared" si="171"/>
        <v>0</v>
      </c>
      <c r="AD203" s="180">
        <v>0</v>
      </c>
      <c r="AE203" s="180">
        <f t="shared" si="172"/>
        <v>6473520</v>
      </c>
      <c r="AF203" s="178">
        <f t="shared" si="162"/>
        <v>517881.60000000003</v>
      </c>
      <c r="AG203" s="178">
        <f t="shared" si="163"/>
        <v>97102.8</v>
      </c>
      <c r="AH203" s="178">
        <f t="shared" si="164"/>
        <v>64735.200000000004</v>
      </c>
      <c r="AI203" s="178"/>
      <c r="AJ203" s="178">
        <f t="shared" si="173"/>
        <v>679719.6</v>
      </c>
      <c r="AK203" s="192"/>
      <c r="AL203" s="182">
        <f t="shared" si="159"/>
        <v>0</v>
      </c>
      <c r="AM203" s="182"/>
      <c r="AN203" s="182"/>
      <c r="AO203" s="183">
        <f t="shared" si="161"/>
        <v>3.33</v>
      </c>
      <c r="AP203" s="246">
        <v>0.45</v>
      </c>
      <c r="AQ203" s="185">
        <f t="shared" si="174"/>
        <v>1.4984999999999999</v>
      </c>
      <c r="AR203" s="178">
        <f t="shared" si="175"/>
        <v>2697300</v>
      </c>
      <c r="AS203" s="178"/>
      <c r="AT203" s="178">
        <f t="shared" si="176"/>
        <v>8491100</v>
      </c>
      <c r="AU203" s="469">
        <f t="shared" si="177"/>
        <v>185</v>
      </c>
      <c r="AV203" s="244"/>
      <c r="AW203" s="244" t="s">
        <v>1532</v>
      </c>
    </row>
    <row r="204" spans="1:49" s="189" customFormat="1" ht="31.5" customHeight="1" x14ac:dyDescent="0.25">
      <c r="A204" s="900">
        <f t="shared" si="127"/>
        <v>186</v>
      </c>
      <c r="B204" s="168" t="str">
        <f>VLOOKUP(D204,[1]LuongBC_T01!$B$9:$C$292,2,FALSE)</f>
        <v>0016100006729007</v>
      </c>
      <c r="C204" s="371" t="s">
        <v>1052</v>
      </c>
      <c r="D204" s="169" t="s">
        <v>1228</v>
      </c>
      <c r="E204" s="263" t="s">
        <v>1251</v>
      </c>
      <c r="F204" s="169" t="s">
        <v>549</v>
      </c>
      <c r="G204" s="200"/>
      <c r="H204" s="200" t="s">
        <v>283</v>
      </c>
      <c r="I204" s="200" t="s">
        <v>283</v>
      </c>
      <c r="J204" s="200" t="s">
        <v>589</v>
      </c>
      <c r="K204" s="170" t="str">
        <f>VLOOKUP(D204,[2]T3!$B$2:$D$328,3,FALSE)</f>
        <v>022472262</v>
      </c>
      <c r="L204" s="201" t="s">
        <v>611</v>
      </c>
      <c r="M204" s="201" t="s">
        <v>1052</v>
      </c>
      <c r="N204" s="263" t="str">
        <f>VLOOKUP(D204,'[5]Bao cao So GDDT'!$D$14:$S$282,11,FALSE)</f>
        <v>Giảng viên GDNN LT (hạng III)</v>
      </c>
      <c r="O204" s="390" t="s">
        <v>1438</v>
      </c>
      <c r="P204" s="170" t="s">
        <v>692</v>
      </c>
      <c r="Q204" s="170">
        <v>3</v>
      </c>
      <c r="R204" s="177">
        <v>3.66</v>
      </c>
      <c r="S204" s="176">
        <f t="shared" si="157"/>
        <v>0.4758</v>
      </c>
      <c r="T204" s="220"/>
      <c r="U204" s="176">
        <f t="shared" si="167"/>
        <v>0</v>
      </c>
      <c r="V204" s="175">
        <f t="shared" si="165"/>
        <v>0</v>
      </c>
      <c r="W204" s="170"/>
      <c r="X204" s="179">
        <v>0.13</v>
      </c>
      <c r="Y204" s="216">
        <f t="shared" si="168"/>
        <v>0.4758</v>
      </c>
      <c r="Z204" s="216">
        <f t="shared" si="169"/>
        <v>4.1357999999999997</v>
      </c>
      <c r="AA204" s="180">
        <f t="shared" si="170"/>
        <v>7444440</v>
      </c>
      <c r="AB204" s="180"/>
      <c r="AC204" s="180">
        <f t="shared" si="171"/>
        <v>0</v>
      </c>
      <c r="AD204" s="180">
        <v>0</v>
      </c>
      <c r="AE204" s="180">
        <f t="shared" si="172"/>
        <v>7444440</v>
      </c>
      <c r="AF204" s="178">
        <f t="shared" si="162"/>
        <v>595555.20000000007</v>
      </c>
      <c r="AG204" s="178">
        <f t="shared" si="163"/>
        <v>111666.59999999999</v>
      </c>
      <c r="AH204" s="178">
        <f t="shared" si="164"/>
        <v>74444.400000000009</v>
      </c>
      <c r="AI204" s="178"/>
      <c r="AJ204" s="178">
        <f t="shared" si="173"/>
        <v>781666.20000000007</v>
      </c>
      <c r="AK204" s="192"/>
      <c r="AL204" s="182">
        <f t="shared" si="159"/>
        <v>0</v>
      </c>
      <c r="AM204" s="182"/>
      <c r="AN204" s="182"/>
      <c r="AO204" s="193">
        <f t="shared" si="161"/>
        <v>3.66</v>
      </c>
      <c r="AP204" s="246">
        <v>0.25</v>
      </c>
      <c r="AQ204" s="194">
        <f t="shared" si="174"/>
        <v>0.91500000000000004</v>
      </c>
      <c r="AR204" s="178">
        <f t="shared" si="175"/>
        <v>1647000</v>
      </c>
      <c r="AS204" s="178"/>
      <c r="AT204" s="178">
        <f t="shared" si="176"/>
        <v>8309774</v>
      </c>
      <c r="AU204" s="469">
        <f t="shared" si="177"/>
        <v>186</v>
      </c>
      <c r="AV204" s="195"/>
      <c r="AW204" s="198" t="s">
        <v>710</v>
      </c>
    </row>
    <row r="205" spans="1:49" s="189" customFormat="1" ht="31.5" customHeight="1" x14ac:dyDescent="0.25">
      <c r="A205" s="900">
        <f t="shared" si="127"/>
        <v>187</v>
      </c>
      <c r="B205" s="168" t="str">
        <f>VLOOKUP(D205,[1]LuongBC_T01!$B$9:$C$292,2,FALSE)</f>
        <v>'0016100006822007</v>
      </c>
      <c r="C205" s="199" t="s">
        <v>1020</v>
      </c>
      <c r="D205" s="230" t="s">
        <v>753</v>
      </c>
      <c r="E205" s="263" t="s">
        <v>1251</v>
      </c>
      <c r="F205" s="231"/>
      <c r="G205" s="231"/>
      <c r="H205" s="231"/>
      <c r="I205" s="231"/>
      <c r="J205" s="231"/>
      <c r="K205" s="170" t="str">
        <f>VLOOKUP(D205,[2]T3!$B$2:$D$328,3,FALSE)</f>
        <v>024947914</v>
      </c>
      <c r="L205" s="253" t="s">
        <v>760</v>
      </c>
      <c r="M205" s="253" t="s">
        <v>1020</v>
      </c>
      <c r="N205" s="263" t="str">
        <f>VLOOKUP(D205,'[5]Bao cao So GDDT'!$D$14:$S$282,11,FALSE)</f>
        <v>Giảng viên GDNN LT (hạng III)</v>
      </c>
      <c r="O205" s="390" t="s">
        <v>1438</v>
      </c>
      <c r="P205" s="170" t="s">
        <v>692</v>
      </c>
      <c r="Q205" s="170">
        <v>2</v>
      </c>
      <c r="R205" s="177">
        <v>3.33</v>
      </c>
      <c r="S205" s="176">
        <f t="shared" si="157"/>
        <v>0.29970000000000002</v>
      </c>
      <c r="T205" s="169"/>
      <c r="U205" s="176">
        <f t="shared" si="167"/>
        <v>0</v>
      </c>
      <c r="V205" s="175"/>
      <c r="W205" s="170"/>
      <c r="X205" s="179">
        <v>0.09</v>
      </c>
      <c r="Y205" s="216">
        <f t="shared" si="168"/>
        <v>0.29970000000000002</v>
      </c>
      <c r="Z205" s="216">
        <f t="shared" si="169"/>
        <v>3.6297000000000001</v>
      </c>
      <c r="AA205" s="180">
        <f t="shared" si="170"/>
        <v>6533460</v>
      </c>
      <c r="AB205" s="180"/>
      <c r="AC205" s="180">
        <f t="shared" si="171"/>
        <v>0</v>
      </c>
      <c r="AD205" s="180">
        <v>0</v>
      </c>
      <c r="AE205" s="180">
        <f t="shared" si="172"/>
        <v>6533460</v>
      </c>
      <c r="AF205" s="178">
        <f t="shared" si="162"/>
        <v>522676.8</v>
      </c>
      <c r="AG205" s="178">
        <f t="shared" si="163"/>
        <v>98001.9</v>
      </c>
      <c r="AH205" s="178">
        <f t="shared" si="164"/>
        <v>65334.6</v>
      </c>
      <c r="AI205" s="178"/>
      <c r="AJ205" s="178">
        <f t="shared" si="173"/>
        <v>686013.29999999993</v>
      </c>
      <c r="AK205" s="192"/>
      <c r="AL205" s="182">
        <f t="shared" si="159"/>
        <v>0</v>
      </c>
      <c r="AM205" s="182"/>
      <c r="AN205" s="182"/>
      <c r="AO205" s="183">
        <f t="shared" si="161"/>
        <v>3.33</v>
      </c>
      <c r="AP205" s="246">
        <v>0.25</v>
      </c>
      <c r="AQ205" s="194">
        <f t="shared" si="174"/>
        <v>0.83250000000000002</v>
      </c>
      <c r="AR205" s="178">
        <f t="shared" si="175"/>
        <v>1498500</v>
      </c>
      <c r="AS205" s="178"/>
      <c r="AT205" s="178">
        <f t="shared" si="176"/>
        <v>7345947</v>
      </c>
      <c r="AU205" s="469">
        <f t="shared" si="177"/>
        <v>187</v>
      </c>
      <c r="AV205" s="195"/>
      <c r="AW205" s="196" t="e">
        <f>AW187*11</f>
        <v>#REF!</v>
      </c>
    </row>
    <row r="206" spans="1:49" s="189" customFormat="1" ht="31.5" customHeight="1" x14ac:dyDescent="0.25">
      <c r="A206" s="900">
        <f t="shared" si="127"/>
        <v>188</v>
      </c>
      <c r="B206" s="168" t="str">
        <f>VLOOKUP(D206,[1]LuongBC_T01!$B$9:$C$292,2,FALSE)</f>
        <v>0016100007759007</v>
      </c>
      <c r="C206" s="170" t="s">
        <v>1315</v>
      </c>
      <c r="D206" s="169" t="s">
        <v>1296</v>
      </c>
      <c r="E206" s="263" t="s">
        <v>1601</v>
      </c>
      <c r="F206" s="220"/>
      <c r="G206" s="220"/>
      <c r="H206" s="220"/>
      <c r="I206" s="220"/>
      <c r="J206" s="220"/>
      <c r="K206" s="170" t="str">
        <f>VLOOKUP(D206,[2]T3!$B$2:$D$328,3,FALSE)</f>
        <v>300881563</v>
      </c>
      <c r="L206" s="220"/>
      <c r="M206" s="170"/>
      <c r="N206" s="263" t="str">
        <f>VLOOKUP(D206,'[5]Bao cao So GDDT'!$D$14:$S$282,11,FALSE)</f>
        <v>Giảng viên GDNN LT (hạng III)</v>
      </c>
      <c r="O206" s="390" t="s">
        <v>1438</v>
      </c>
      <c r="P206" s="251"/>
      <c r="Q206" s="251"/>
      <c r="R206" s="177">
        <v>3.66</v>
      </c>
      <c r="S206" s="176">
        <f t="shared" si="157"/>
        <v>1.2309000000000001</v>
      </c>
      <c r="T206" s="220"/>
      <c r="U206" s="176">
        <f t="shared" si="167"/>
        <v>0</v>
      </c>
      <c r="V206" s="175"/>
      <c r="W206" s="170">
        <v>0.45</v>
      </c>
      <c r="X206" s="179">
        <v>0.19</v>
      </c>
      <c r="Y206" s="216">
        <f t="shared" si="168"/>
        <v>0.78090000000000004</v>
      </c>
      <c r="Z206" s="216">
        <f t="shared" si="169"/>
        <v>4.8909000000000002</v>
      </c>
      <c r="AA206" s="180">
        <f t="shared" si="170"/>
        <v>8803620</v>
      </c>
      <c r="AB206" s="180"/>
      <c r="AC206" s="180">
        <f t="shared" si="171"/>
        <v>0</v>
      </c>
      <c r="AD206" s="180">
        <f>AA206/24*AB206*75%</f>
        <v>0</v>
      </c>
      <c r="AE206" s="180">
        <f t="shared" si="172"/>
        <v>8803620</v>
      </c>
      <c r="AF206" s="178">
        <f t="shared" si="162"/>
        <v>704289.6</v>
      </c>
      <c r="AG206" s="178">
        <f t="shared" si="163"/>
        <v>132054.29999999999</v>
      </c>
      <c r="AH206" s="178">
        <f t="shared" si="164"/>
        <v>88036.2</v>
      </c>
      <c r="AI206" s="178"/>
      <c r="AJ206" s="178">
        <f t="shared" si="173"/>
        <v>924380.09999999986</v>
      </c>
      <c r="AK206" s="192"/>
      <c r="AL206" s="182">
        <f t="shared" si="159"/>
        <v>0</v>
      </c>
      <c r="AM206" s="182"/>
      <c r="AN206" s="182"/>
      <c r="AO206" s="183">
        <f t="shared" si="161"/>
        <v>4.1100000000000003</v>
      </c>
      <c r="AP206" s="246">
        <v>0.25</v>
      </c>
      <c r="AQ206" s="185">
        <f t="shared" si="174"/>
        <v>1.0275000000000001</v>
      </c>
      <c r="AR206" s="178">
        <f t="shared" si="175"/>
        <v>1849500</v>
      </c>
      <c r="AS206" s="178"/>
      <c r="AT206" s="178">
        <f t="shared" si="176"/>
        <v>9728740</v>
      </c>
      <c r="AU206" s="469">
        <f t="shared" si="177"/>
        <v>188</v>
      </c>
      <c r="AV206" s="195"/>
      <c r="AW206" s="486"/>
    </row>
    <row r="207" spans="1:49" s="189" customFormat="1" ht="36" customHeight="1" x14ac:dyDescent="0.25">
      <c r="A207" s="900">
        <f t="shared" si="127"/>
        <v>189</v>
      </c>
      <c r="B207" s="168" t="str">
        <f>VLOOKUP(D207,[1]LuongBC_T01!$B$9:$C$292,2,FALSE)</f>
        <v>0016100006612002</v>
      </c>
      <c r="C207" s="199" t="s">
        <v>960</v>
      </c>
      <c r="D207" s="169" t="s">
        <v>49</v>
      </c>
      <c r="E207" s="263" t="s">
        <v>1260</v>
      </c>
      <c r="F207" s="169" t="s">
        <v>549</v>
      </c>
      <c r="G207" s="170" t="s">
        <v>25</v>
      </c>
      <c r="H207" s="170" t="s">
        <v>283</v>
      </c>
      <c r="I207" s="200" t="s">
        <v>283</v>
      </c>
      <c r="J207" s="220" t="s">
        <v>258</v>
      </c>
      <c r="K207" s="170" t="str">
        <f>VLOOKUP(D207,[2]T3!$B$2:$D$328,3,FALSE)</f>
        <v>023471997</v>
      </c>
      <c r="L207" s="171" t="s">
        <v>137</v>
      </c>
      <c r="M207" s="171" t="s">
        <v>960</v>
      </c>
      <c r="N207" s="263" t="str">
        <f>VLOOKUP(D207,'[5]Bao cao So GDDT'!$D$14:$S$282,11,FALSE)</f>
        <v>Giảng viên GDNN LT (hạng III)</v>
      </c>
      <c r="O207" s="390" t="s">
        <v>1438</v>
      </c>
      <c r="P207" s="172" t="s">
        <v>692</v>
      </c>
      <c r="Q207" s="173">
        <v>4</v>
      </c>
      <c r="R207" s="174">
        <v>3.99</v>
      </c>
      <c r="S207" s="176">
        <f t="shared" si="157"/>
        <v>0.67830000000000001</v>
      </c>
      <c r="T207" s="370"/>
      <c r="U207" s="176">
        <f t="shared" si="167"/>
        <v>0</v>
      </c>
      <c r="V207" s="175">
        <f t="shared" ref="V207:V218" si="178">R207*T207*$D$8/100</f>
        <v>0</v>
      </c>
      <c r="W207" s="170"/>
      <c r="X207" s="179">
        <v>0.17</v>
      </c>
      <c r="Y207" s="216">
        <f t="shared" si="168"/>
        <v>0.67830000000000001</v>
      </c>
      <c r="Z207" s="216">
        <f t="shared" si="169"/>
        <v>4.6683000000000003</v>
      </c>
      <c r="AA207" s="180">
        <f t="shared" si="170"/>
        <v>8402940</v>
      </c>
      <c r="AB207" s="180"/>
      <c r="AC207" s="180">
        <f t="shared" si="171"/>
        <v>0</v>
      </c>
      <c r="AD207" s="180">
        <f>AA207/24*AB207*75%</f>
        <v>0</v>
      </c>
      <c r="AE207" s="180">
        <f t="shared" si="172"/>
        <v>8402940</v>
      </c>
      <c r="AF207" s="178">
        <f t="shared" si="162"/>
        <v>672235.20000000007</v>
      </c>
      <c r="AG207" s="178">
        <f t="shared" si="163"/>
        <v>126044.09999999999</v>
      </c>
      <c r="AH207" s="178">
        <f t="shared" si="164"/>
        <v>84029.400000000009</v>
      </c>
      <c r="AI207" s="178"/>
      <c r="AJ207" s="178">
        <f t="shared" si="173"/>
        <v>882308.70000000007</v>
      </c>
      <c r="AK207" s="192"/>
      <c r="AL207" s="182">
        <f t="shared" ref="AL207:AL220" si="179">AK207*$D$8</f>
        <v>0</v>
      </c>
      <c r="AM207" s="182"/>
      <c r="AN207" s="182"/>
      <c r="AO207" s="193">
        <f t="shared" si="161"/>
        <v>3.99</v>
      </c>
      <c r="AP207" s="246">
        <v>0.25</v>
      </c>
      <c r="AQ207" s="194">
        <f t="shared" si="174"/>
        <v>0.99750000000000005</v>
      </c>
      <c r="AR207" s="178">
        <f t="shared" si="175"/>
        <v>1795500</v>
      </c>
      <c r="AS207" s="178"/>
      <c r="AT207" s="178">
        <f t="shared" si="176"/>
        <v>9316131</v>
      </c>
      <c r="AU207" s="469">
        <f t="shared" si="177"/>
        <v>189</v>
      </c>
      <c r="AV207" s="195"/>
      <c r="AW207" s="187" t="s">
        <v>711</v>
      </c>
    </row>
    <row r="208" spans="1:49" s="189" customFormat="1" ht="30.75" customHeight="1" x14ac:dyDescent="0.25">
      <c r="A208" s="900">
        <f t="shared" si="127"/>
        <v>190</v>
      </c>
      <c r="B208" s="168" t="str">
        <f>VLOOKUP(D208,[1]LuongBC_T01!$B$9:$C$292,2,FALSE)</f>
        <v>0016100006738006</v>
      </c>
      <c r="C208" s="199" t="s">
        <v>924</v>
      </c>
      <c r="D208" s="169" t="s">
        <v>1207</v>
      </c>
      <c r="E208" s="263" t="s">
        <v>1260</v>
      </c>
      <c r="F208" s="169" t="s">
        <v>549</v>
      </c>
      <c r="G208" s="170" t="s">
        <v>25</v>
      </c>
      <c r="H208" s="200" t="s">
        <v>283</v>
      </c>
      <c r="I208" s="200" t="s">
        <v>283</v>
      </c>
      <c r="J208" s="220" t="s">
        <v>261</v>
      </c>
      <c r="K208" s="170" t="str">
        <f>VLOOKUP(D208,[2]T3!$B$2:$D$328,3,FALSE)</f>
        <v>023646525</v>
      </c>
      <c r="L208" s="171" t="s">
        <v>171</v>
      </c>
      <c r="M208" s="171" t="s">
        <v>924</v>
      </c>
      <c r="N208" s="263" t="str">
        <f>VLOOKUP(D208,'[5]Bao cao So GDDT'!$D$14:$S$282,11,FALSE)</f>
        <v>Giảng viên GDNN LT (hạng III)</v>
      </c>
      <c r="O208" s="390" t="s">
        <v>1438</v>
      </c>
      <c r="P208" s="172" t="s">
        <v>692</v>
      </c>
      <c r="Q208" s="173">
        <v>4</v>
      </c>
      <c r="R208" s="174">
        <v>4.32</v>
      </c>
      <c r="S208" s="176">
        <f t="shared" si="157"/>
        <v>0.69120000000000004</v>
      </c>
      <c r="T208" s="370"/>
      <c r="U208" s="176">
        <f t="shared" si="167"/>
        <v>0</v>
      </c>
      <c r="V208" s="175">
        <f t="shared" si="178"/>
        <v>0</v>
      </c>
      <c r="W208" s="170"/>
      <c r="X208" s="179">
        <v>0.16</v>
      </c>
      <c r="Y208" s="216">
        <f t="shared" si="168"/>
        <v>0.69120000000000004</v>
      </c>
      <c r="Z208" s="216">
        <f t="shared" si="169"/>
        <v>5.0112000000000005</v>
      </c>
      <c r="AA208" s="180">
        <f t="shared" si="170"/>
        <v>9020160</v>
      </c>
      <c r="AB208" s="180"/>
      <c r="AC208" s="180">
        <f t="shared" si="171"/>
        <v>0</v>
      </c>
      <c r="AD208" s="180">
        <v>0</v>
      </c>
      <c r="AE208" s="180">
        <f t="shared" si="172"/>
        <v>9020160</v>
      </c>
      <c r="AF208" s="178">
        <f t="shared" si="162"/>
        <v>721612.80000000005</v>
      </c>
      <c r="AG208" s="178">
        <f t="shared" si="163"/>
        <v>135302.39999999999</v>
      </c>
      <c r="AH208" s="178">
        <f t="shared" si="164"/>
        <v>90201.600000000006</v>
      </c>
      <c r="AI208" s="178"/>
      <c r="AJ208" s="178">
        <f t="shared" si="173"/>
        <v>947116.8</v>
      </c>
      <c r="AK208" s="192"/>
      <c r="AL208" s="182">
        <f t="shared" si="179"/>
        <v>0</v>
      </c>
      <c r="AM208" s="182"/>
      <c r="AN208" s="182"/>
      <c r="AO208" s="193">
        <f t="shared" si="161"/>
        <v>4.32</v>
      </c>
      <c r="AP208" s="246">
        <v>0.25</v>
      </c>
      <c r="AQ208" s="194">
        <f t="shared" si="174"/>
        <v>1.08</v>
      </c>
      <c r="AR208" s="178">
        <f t="shared" si="175"/>
        <v>1944000</v>
      </c>
      <c r="AS208" s="178"/>
      <c r="AT208" s="178">
        <f t="shared" si="176"/>
        <v>10017043</v>
      </c>
      <c r="AU208" s="469">
        <f t="shared" si="177"/>
        <v>190</v>
      </c>
      <c r="AV208" s="195"/>
      <c r="AW208" s="187" t="s">
        <v>711</v>
      </c>
    </row>
    <row r="209" spans="1:59" s="189" customFormat="1" ht="32.25" customHeight="1" x14ac:dyDescent="0.25">
      <c r="A209" s="900">
        <f t="shared" si="127"/>
        <v>191</v>
      </c>
      <c r="B209" s="168" t="str">
        <f>VLOOKUP(D209,[1]LuongBC_T01!$B$9:$C$292,2,FALSE)</f>
        <v>0016100006791004</v>
      </c>
      <c r="C209" s="199" t="s">
        <v>970</v>
      </c>
      <c r="D209" s="169" t="s">
        <v>66</v>
      </c>
      <c r="E209" s="263" t="s">
        <v>1260</v>
      </c>
      <c r="F209" s="169" t="s">
        <v>549</v>
      </c>
      <c r="G209" s="200"/>
      <c r="H209" s="170" t="s">
        <v>283</v>
      </c>
      <c r="I209" s="170" t="s">
        <v>283</v>
      </c>
      <c r="J209" s="169" t="s">
        <v>244</v>
      </c>
      <c r="K209" s="170" t="str">
        <f>VLOOKUP(D209,[2]T3!$B$2:$D$328,3,FALSE)</f>
        <v>024723439</v>
      </c>
      <c r="L209" s="171" t="s">
        <v>138</v>
      </c>
      <c r="M209" s="171" t="s">
        <v>970</v>
      </c>
      <c r="N209" s="263" t="str">
        <f>VLOOKUP(D209,'[5]Bao cao So GDDT'!$D$14:$S$282,11,FALSE)</f>
        <v>Giảng viên GDNN LT (hạng III)</v>
      </c>
      <c r="O209" s="390" t="s">
        <v>1438</v>
      </c>
      <c r="P209" s="172" t="s">
        <v>692</v>
      </c>
      <c r="Q209" s="173">
        <v>4</v>
      </c>
      <c r="R209" s="174">
        <v>3.99</v>
      </c>
      <c r="S209" s="176">
        <f t="shared" si="157"/>
        <v>0.59850000000000003</v>
      </c>
      <c r="T209" s="370"/>
      <c r="U209" s="176">
        <f t="shared" si="167"/>
        <v>0</v>
      </c>
      <c r="V209" s="175">
        <f t="shared" si="178"/>
        <v>0</v>
      </c>
      <c r="W209" s="170"/>
      <c r="X209" s="179">
        <v>0.15</v>
      </c>
      <c r="Y209" s="216">
        <f t="shared" si="168"/>
        <v>0.59850000000000003</v>
      </c>
      <c r="Z209" s="216">
        <f t="shared" si="169"/>
        <v>4.5884999999999998</v>
      </c>
      <c r="AA209" s="180">
        <f t="shared" si="170"/>
        <v>8259300</v>
      </c>
      <c r="AB209" s="180"/>
      <c r="AC209" s="180">
        <f t="shared" si="171"/>
        <v>0</v>
      </c>
      <c r="AD209" s="180">
        <f t="shared" ref="AD209:AD215" si="180">AA209/24*AB209*75%</f>
        <v>0</v>
      </c>
      <c r="AE209" s="180">
        <f t="shared" si="172"/>
        <v>8259300</v>
      </c>
      <c r="AF209" s="178">
        <f t="shared" ref="AF209:AF238" si="181">AA209*8%</f>
        <v>660744</v>
      </c>
      <c r="AG209" s="178">
        <f t="shared" ref="AG209:AG238" si="182">AA209*1.5%</f>
        <v>123889.5</v>
      </c>
      <c r="AH209" s="178">
        <f t="shared" ref="AH209:AH238" si="183">AA209*1%</f>
        <v>82593</v>
      </c>
      <c r="AI209" s="178"/>
      <c r="AJ209" s="178">
        <f t="shared" si="173"/>
        <v>867226.5</v>
      </c>
      <c r="AK209" s="192"/>
      <c r="AL209" s="182">
        <f t="shared" si="179"/>
        <v>0</v>
      </c>
      <c r="AM209" s="182"/>
      <c r="AN209" s="182"/>
      <c r="AO209" s="193">
        <f t="shared" si="161"/>
        <v>3.99</v>
      </c>
      <c r="AP209" s="246">
        <v>0.25</v>
      </c>
      <c r="AQ209" s="194">
        <f t="shared" si="174"/>
        <v>0.99750000000000005</v>
      </c>
      <c r="AR209" s="178">
        <f t="shared" si="175"/>
        <v>1795500</v>
      </c>
      <c r="AS209" s="178"/>
      <c r="AT209" s="178">
        <f t="shared" si="176"/>
        <v>9187574</v>
      </c>
      <c r="AU209" s="469">
        <f t="shared" si="177"/>
        <v>191</v>
      </c>
      <c r="AV209" s="186"/>
      <c r="AW209" s="198" t="s">
        <v>711</v>
      </c>
    </row>
    <row r="210" spans="1:59" s="189" customFormat="1" ht="32.25" customHeight="1" x14ac:dyDescent="0.25">
      <c r="A210" s="900">
        <f t="shared" si="127"/>
        <v>192</v>
      </c>
      <c r="B210" s="168" t="str">
        <f>VLOOKUP(D210,[1]LuongBC_T01!$B$9:$C$292,2,FALSE)</f>
        <v>0016100006629002</v>
      </c>
      <c r="C210" s="199" t="s">
        <v>971</v>
      </c>
      <c r="D210" s="169" t="s">
        <v>59</v>
      </c>
      <c r="E210" s="263" t="s">
        <v>1260</v>
      </c>
      <c r="F210" s="169" t="s">
        <v>549</v>
      </c>
      <c r="G210" s="200"/>
      <c r="H210" s="170" t="s">
        <v>283</v>
      </c>
      <c r="I210" s="170" t="s">
        <v>283</v>
      </c>
      <c r="J210" s="169" t="s">
        <v>241</v>
      </c>
      <c r="K210" s="170" t="str">
        <f>VLOOKUP(D210,[2]T3!$B$2:$D$328,3,FALSE)</f>
        <v>023099369</v>
      </c>
      <c r="L210" s="171" t="s">
        <v>139</v>
      </c>
      <c r="M210" s="171" t="s">
        <v>971</v>
      </c>
      <c r="N210" s="263" t="str">
        <f>VLOOKUP(D210,'[5]Bao cao So GDDT'!$D$14:$S$282,11,FALSE)</f>
        <v>Giảng viên GDNN LT (hạng III)</v>
      </c>
      <c r="O210" s="390" t="s">
        <v>1438</v>
      </c>
      <c r="P210" s="172" t="s">
        <v>692</v>
      </c>
      <c r="Q210" s="173">
        <v>4</v>
      </c>
      <c r="R210" s="174">
        <v>3.99</v>
      </c>
      <c r="S210" s="176">
        <f t="shared" si="157"/>
        <v>0.59850000000000003</v>
      </c>
      <c r="T210" s="370"/>
      <c r="U210" s="176">
        <f t="shared" si="167"/>
        <v>0</v>
      </c>
      <c r="V210" s="175">
        <f t="shared" si="178"/>
        <v>0</v>
      </c>
      <c r="W210" s="170"/>
      <c r="X210" s="179">
        <v>0.15</v>
      </c>
      <c r="Y210" s="216">
        <f t="shared" si="168"/>
        <v>0.59850000000000003</v>
      </c>
      <c r="Z210" s="216">
        <f t="shared" si="169"/>
        <v>4.5884999999999998</v>
      </c>
      <c r="AA210" s="180">
        <f t="shared" si="170"/>
        <v>8259300</v>
      </c>
      <c r="AB210" s="180"/>
      <c r="AC210" s="180">
        <f t="shared" si="171"/>
        <v>0</v>
      </c>
      <c r="AD210" s="180">
        <f t="shared" si="180"/>
        <v>0</v>
      </c>
      <c r="AE210" s="180">
        <f t="shared" si="172"/>
        <v>8259300</v>
      </c>
      <c r="AF210" s="178">
        <f t="shared" si="181"/>
        <v>660744</v>
      </c>
      <c r="AG210" s="178">
        <f t="shared" si="182"/>
        <v>123889.5</v>
      </c>
      <c r="AH210" s="178">
        <f t="shared" si="183"/>
        <v>82593</v>
      </c>
      <c r="AI210" s="178"/>
      <c r="AJ210" s="178">
        <f t="shared" si="173"/>
        <v>867226.5</v>
      </c>
      <c r="AK210" s="192"/>
      <c r="AL210" s="182">
        <f t="shared" si="179"/>
        <v>0</v>
      </c>
      <c r="AM210" s="182"/>
      <c r="AN210" s="182"/>
      <c r="AO210" s="193">
        <f t="shared" si="161"/>
        <v>3.99</v>
      </c>
      <c r="AP210" s="246">
        <v>0.25</v>
      </c>
      <c r="AQ210" s="194">
        <f t="shared" si="174"/>
        <v>0.99750000000000005</v>
      </c>
      <c r="AR210" s="178">
        <f t="shared" si="175"/>
        <v>1795500</v>
      </c>
      <c r="AS210" s="178"/>
      <c r="AT210" s="178">
        <f t="shared" si="176"/>
        <v>9187574</v>
      </c>
      <c r="AU210" s="469">
        <f t="shared" si="177"/>
        <v>192</v>
      </c>
      <c r="AV210" s="186"/>
      <c r="AW210" s="187" t="s">
        <v>711</v>
      </c>
    </row>
    <row r="211" spans="1:59" s="189" customFormat="1" ht="32.25" customHeight="1" x14ac:dyDescent="0.25">
      <c r="A211" s="900">
        <f t="shared" si="127"/>
        <v>193</v>
      </c>
      <c r="B211" s="168" t="str">
        <f>VLOOKUP(D211,[1]LuongBC_T01!$B$9:$C$292,2,FALSE)</f>
        <v>0016100006816007</v>
      </c>
      <c r="C211" s="199" t="s">
        <v>980</v>
      </c>
      <c r="D211" s="169" t="s">
        <v>302</v>
      </c>
      <c r="E211" s="263" t="s">
        <v>1260</v>
      </c>
      <c r="F211" s="169" t="s">
        <v>549</v>
      </c>
      <c r="G211" s="200"/>
      <c r="H211" s="200" t="s">
        <v>283</v>
      </c>
      <c r="I211" s="170" t="s">
        <v>283</v>
      </c>
      <c r="J211" s="169" t="s">
        <v>531</v>
      </c>
      <c r="K211" s="170" t="str">
        <f>VLOOKUP(D211,[2]T3!$B$2:$D$328,3,FALSE)</f>
        <v>025091414</v>
      </c>
      <c r="L211" s="171" t="s">
        <v>340</v>
      </c>
      <c r="M211" s="171" t="s">
        <v>980</v>
      </c>
      <c r="N211" s="263" t="str">
        <f>VLOOKUP(D211,'[5]Bao cao So GDDT'!$D$14:$S$282,11,FALSE)</f>
        <v>Giảng viên GDNN LT (hạng III)</v>
      </c>
      <c r="O211" s="390" t="s">
        <v>1438</v>
      </c>
      <c r="P211" s="172" t="s">
        <v>692</v>
      </c>
      <c r="Q211" s="173">
        <v>3</v>
      </c>
      <c r="R211" s="174">
        <v>3.66</v>
      </c>
      <c r="S211" s="176">
        <f t="shared" si="157"/>
        <v>0.51239999999999997</v>
      </c>
      <c r="T211" s="370"/>
      <c r="U211" s="176">
        <f t="shared" si="167"/>
        <v>0</v>
      </c>
      <c r="V211" s="175">
        <f t="shared" si="178"/>
        <v>0</v>
      </c>
      <c r="W211" s="170"/>
      <c r="X211" s="179">
        <v>0.14000000000000001</v>
      </c>
      <c r="Y211" s="216">
        <f t="shared" si="168"/>
        <v>0.51239999999999997</v>
      </c>
      <c r="Z211" s="216">
        <f t="shared" si="169"/>
        <v>4.1723999999999997</v>
      </c>
      <c r="AA211" s="180">
        <f t="shared" si="170"/>
        <v>7510320</v>
      </c>
      <c r="AB211" s="180"/>
      <c r="AC211" s="180">
        <f t="shared" si="171"/>
        <v>0</v>
      </c>
      <c r="AD211" s="180">
        <f t="shared" si="180"/>
        <v>0</v>
      </c>
      <c r="AE211" s="180">
        <f t="shared" si="172"/>
        <v>7510320</v>
      </c>
      <c r="AF211" s="178">
        <f t="shared" si="181"/>
        <v>600825.59999999998</v>
      </c>
      <c r="AG211" s="178">
        <f t="shared" si="182"/>
        <v>112654.8</v>
      </c>
      <c r="AH211" s="178">
        <f t="shared" si="183"/>
        <v>75103.199999999997</v>
      </c>
      <c r="AI211" s="178"/>
      <c r="AJ211" s="178">
        <f t="shared" si="173"/>
        <v>788583.6</v>
      </c>
      <c r="AK211" s="192"/>
      <c r="AL211" s="182">
        <f t="shared" si="179"/>
        <v>0</v>
      </c>
      <c r="AM211" s="182"/>
      <c r="AN211" s="182"/>
      <c r="AO211" s="193">
        <f t="shared" si="161"/>
        <v>3.66</v>
      </c>
      <c r="AP211" s="246">
        <v>0.25</v>
      </c>
      <c r="AQ211" s="194">
        <f t="shared" si="174"/>
        <v>0.91500000000000004</v>
      </c>
      <c r="AR211" s="178">
        <f t="shared" si="175"/>
        <v>1647000</v>
      </c>
      <c r="AS211" s="178"/>
      <c r="AT211" s="178">
        <f t="shared" si="176"/>
        <v>8368736</v>
      </c>
      <c r="AU211" s="469">
        <f t="shared" si="177"/>
        <v>193</v>
      </c>
      <c r="AV211" s="186"/>
      <c r="AW211" s="187" t="s">
        <v>711</v>
      </c>
    </row>
    <row r="212" spans="1:59" s="189" customFormat="1" ht="32.25" customHeight="1" x14ac:dyDescent="0.25">
      <c r="A212" s="900">
        <f t="shared" si="127"/>
        <v>194</v>
      </c>
      <c r="B212" s="168" t="str">
        <f>VLOOKUP(D212,[1]LuongBC_T01!$B$9:$C$292,2,FALSE)</f>
        <v>0016100006508008</v>
      </c>
      <c r="C212" s="199" t="s">
        <v>910</v>
      </c>
      <c r="D212" s="169" t="s">
        <v>305</v>
      </c>
      <c r="E212" s="263" t="s">
        <v>1260</v>
      </c>
      <c r="F212" s="169" t="s">
        <v>549</v>
      </c>
      <c r="G212" s="200"/>
      <c r="H212" s="170" t="s">
        <v>283</v>
      </c>
      <c r="I212" s="170" t="s">
        <v>283</v>
      </c>
      <c r="J212" s="169" t="s">
        <v>534</v>
      </c>
      <c r="K212" s="170" t="str">
        <f>VLOOKUP(D212,[2]T3!$B$2:$D$328,3,FALSE)</f>
        <v>022354694</v>
      </c>
      <c r="L212" s="171" t="s">
        <v>331</v>
      </c>
      <c r="M212" s="171" t="s">
        <v>910</v>
      </c>
      <c r="N212" s="263" t="str">
        <f>VLOOKUP(D212,'[5]Bao cao So GDDT'!$D$14:$S$282,11,FALSE)</f>
        <v>Giảng viên GDNN LT (hạng III)</v>
      </c>
      <c r="O212" s="390" t="s">
        <v>1438</v>
      </c>
      <c r="P212" s="172" t="s">
        <v>692</v>
      </c>
      <c r="Q212" s="173">
        <v>3</v>
      </c>
      <c r="R212" s="174">
        <v>3.99</v>
      </c>
      <c r="S212" s="176">
        <f t="shared" si="157"/>
        <v>0.63839999999999997</v>
      </c>
      <c r="T212" s="370"/>
      <c r="U212" s="176">
        <f t="shared" si="167"/>
        <v>0</v>
      </c>
      <c r="V212" s="175">
        <f t="shared" si="178"/>
        <v>0</v>
      </c>
      <c r="W212" s="170"/>
      <c r="X212" s="179">
        <v>0.16</v>
      </c>
      <c r="Y212" s="216">
        <f t="shared" si="168"/>
        <v>0.63839999999999997</v>
      </c>
      <c r="Z212" s="216">
        <f t="shared" si="169"/>
        <v>4.6284000000000001</v>
      </c>
      <c r="AA212" s="180">
        <f t="shared" si="170"/>
        <v>8331120</v>
      </c>
      <c r="AB212" s="180"/>
      <c r="AC212" s="180">
        <f t="shared" si="171"/>
        <v>0</v>
      </c>
      <c r="AD212" s="180">
        <f t="shared" si="180"/>
        <v>0</v>
      </c>
      <c r="AE212" s="180">
        <f t="shared" si="172"/>
        <v>8331120</v>
      </c>
      <c r="AF212" s="178">
        <f t="shared" si="181"/>
        <v>666489.59999999998</v>
      </c>
      <c r="AG212" s="178">
        <f t="shared" si="182"/>
        <v>124966.79999999999</v>
      </c>
      <c r="AH212" s="178">
        <f t="shared" si="183"/>
        <v>83311.199999999997</v>
      </c>
      <c r="AI212" s="178"/>
      <c r="AJ212" s="178">
        <f t="shared" si="173"/>
        <v>874767.59999999986</v>
      </c>
      <c r="AK212" s="192"/>
      <c r="AL212" s="182">
        <f t="shared" si="179"/>
        <v>0</v>
      </c>
      <c r="AM212" s="182"/>
      <c r="AN212" s="182"/>
      <c r="AO212" s="193">
        <f t="shared" si="161"/>
        <v>3.99</v>
      </c>
      <c r="AP212" s="246">
        <v>0.25</v>
      </c>
      <c r="AQ212" s="194">
        <f t="shared" si="174"/>
        <v>0.99750000000000005</v>
      </c>
      <c r="AR212" s="178">
        <f t="shared" si="175"/>
        <v>1795500</v>
      </c>
      <c r="AS212" s="178"/>
      <c r="AT212" s="178">
        <f t="shared" si="176"/>
        <v>9251852</v>
      </c>
      <c r="AU212" s="469">
        <f t="shared" si="177"/>
        <v>194</v>
      </c>
      <c r="AV212" s="195"/>
      <c r="AW212" s="187" t="s">
        <v>711</v>
      </c>
    </row>
    <row r="213" spans="1:59" s="189" customFormat="1" ht="32.25" customHeight="1" x14ac:dyDescent="0.25">
      <c r="A213" s="900">
        <f t="shared" si="127"/>
        <v>195</v>
      </c>
      <c r="B213" s="168" t="str">
        <f>VLOOKUP(D213,[1]LuongBC_T01!$B$9:$C$292,2,FALSE)</f>
        <v>0016100006809008</v>
      </c>
      <c r="C213" s="199" t="s">
        <v>975</v>
      </c>
      <c r="D213" s="169" t="s">
        <v>310</v>
      </c>
      <c r="E213" s="263" t="s">
        <v>1260</v>
      </c>
      <c r="F213" s="169" t="s">
        <v>549</v>
      </c>
      <c r="G213" s="200" t="s">
        <v>25</v>
      </c>
      <c r="H213" s="200" t="s">
        <v>283</v>
      </c>
      <c r="I213" s="170" t="s">
        <v>283</v>
      </c>
      <c r="J213" s="169" t="s">
        <v>544</v>
      </c>
      <c r="K213" s="170" t="str">
        <f>VLOOKUP(D213,[2]T3!$B$2:$D$328,3,FALSE)</f>
        <v>025078389</v>
      </c>
      <c r="L213" s="171" t="s">
        <v>335</v>
      </c>
      <c r="M213" s="171" t="s">
        <v>975</v>
      </c>
      <c r="N213" s="263" t="str">
        <f>VLOOKUP(D213,'[5]Bao cao So GDDT'!$D$14:$S$282,11,FALSE)</f>
        <v>Giảng viên GDNN LT (hạng III)</v>
      </c>
      <c r="O213" s="390" t="s">
        <v>1438</v>
      </c>
      <c r="P213" s="172" t="s">
        <v>692</v>
      </c>
      <c r="Q213" s="173">
        <v>4</v>
      </c>
      <c r="R213" s="174">
        <v>3.66</v>
      </c>
      <c r="S213" s="176">
        <f t="shared" si="157"/>
        <v>0.58560000000000001</v>
      </c>
      <c r="T213" s="370"/>
      <c r="U213" s="176">
        <f t="shared" si="167"/>
        <v>0</v>
      </c>
      <c r="V213" s="175">
        <f t="shared" si="178"/>
        <v>0</v>
      </c>
      <c r="W213" s="170"/>
      <c r="X213" s="179">
        <v>0.16</v>
      </c>
      <c r="Y213" s="216">
        <f t="shared" si="168"/>
        <v>0.58560000000000001</v>
      </c>
      <c r="Z213" s="216">
        <f t="shared" si="169"/>
        <v>4.2456000000000005</v>
      </c>
      <c r="AA213" s="180">
        <f t="shared" si="170"/>
        <v>7642080</v>
      </c>
      <c r="AB213" s="180"/>
      <c r="AC213" s="180">
        <f t="shared" si="171"/>
        <v>0</v>
      </c>
      <c r="AD213" s="180">
        <f t="shared" si="180"/>
        <v>0</v>
      </c>
      <c r="AE213" s="180">
        <f t="shared" si="172"/>
        <v>7642080</v>
      </c>
      <c r="AF213" s="178">
        <f t="shared" si="181"/>
        <v>611366.40000000002</v>
      </c>
      <c r="AG213" s="178">
        <f t="shared" si="182"/>
        <v>114631.2</v>
      </c>
      <c r="AH213" s="178">
        <f t="shared" si="183"/>
        <v>76420.800000000003</v>
      </c>
      <c r="AI213" s="178"/>
      <c r="AJ213" s="178">
        <f t="shared" si="173"/>
        <v>802418.4</v>
      </c>
      <c r="AK213" s="192"/>
      <c r="AL213" s="182">
        <f t="shared" si="179"/>
        <v>0</v>
      </c>
      <c r="AM213" s="182"/>
      <c r="AN213" s="182"/>
      <c r="AO213" s="193">
        <f t="shared" ref="AO213:AO242" si="184">R213+U213+W213</f>
        <v>3.66</v>
      </c>
      <c r="AP213" s="246">
        <v>0.25</v>
      </c>
      <c r="AQ213" s="194">
        <f t="shared" si="174"/>
        <v>0.91500000000000004</v>
      </c>
      <c r="AR213" s="178">
        <f t="shared" si="175"/>
        <v>1647000</v>
      </c>
      <c r="AS213" s="178"/>
      <c r="AT213" s="178">
        <f t="shared" si="176"/>
        <v>8486662</v>
      </c>
      <c r="AU213" s="469">
        <f t="shared" si="177"/>
        <v>195</v>
      </c>
      <c r="AV213" s="195"/>
      <c r="AW213" s="187" t="s">
        <v>711</v>
      </c>
    </row>
    <row r="214" spans="1:59" s="189" customFormat="1" ht="32.25" customHeight="1" x14ac:dyDescent="0.25">
      <c r="A214" s="900">
        <f t="shared" si="127"/>
        <v>196</v>
      </c>
      <c r="B214" s="168" t="str">
        <f>VLOOKUP(D214,[1]LuongBC_T01!$B$9:$C$292,2,FALSE)</f>
        <v>0016100006626003</v>
      </c>
      <c r="C214" s="199" t="s">
        <v>922</v>
      </c>
      <c r="D214" s="169" t="s">
        <v>306</v>
      </c>
      <c r="E214" s="263" t="s">
        <v>1248</v>
      </c>
      <c r="F214" s="169" t="s">
        <v>549</v>
      </c>
      <c r="G214" s="200"/>
      <c r="H214" s="200" t="s">
        <v>283</v>
      </c>
      <c r="I214" s="170" t="s">
        <v>283</v>
      </c>
      <c r="J214" s="169" t="s">
        <v>535</v>
      </c>
      <c r="K214" s="170" t="str">
        <f>VLOOKUP(D214,[2]T3!$B$2:$D$328,3,FALSE)</f>
        <v>023204127</v>
      </c>
      <c r="L214" s="171" t="s">
        <v>333</v>
      </c>
      <c r="M214" s="171" t="s">
        <v>922</v>
      </c>
      <c r="N214" s="263" t="str">
        <f>VLOOKUP(D214,'[5]Bao cao So GDDT'!$D$14:$S$282,11,FALSE)</f>
        <v>Giảng viên GDNN LT (hạng III)</v>
      </c>
      <c r="O214" s="390" t="s">
        <v>1438</v>
      </c>
      <c r="P214" s="172" t="s">
        <v>692</v>
      </c>
      <c r="Q214" s="173">
        <v>3</v>
      </c>
      <c r="R214" s="174">
        <v>3.99</v>
      </c>
      <c r="S214" s="176">
        <f t="shared" si="157"/>
        <v>0.95760000000000001</v>
      </c>
      <c r="T214" s="370"/>
      <c r="U214" s="176">
        <f t="shared" si="167"/>
        <v>0</v>
      </c>
      <c r="V214" s="175">
        <f t="shared" si="178"/>
        <v>0</v>
      </c>
      <c r="W214" s="170">
        <v>0.35</v>
      </c>
      <c r="X214" s="179">
        <v>0.14000000000000001</v>
      </c>
      <c r="Y214" s="216">
        <f t="shared" si="168"/>
        <v>0.60760000000000003</v>
      </c>
      <c r="Z214" s="216">
        <f t="shared" si="169"/>
        <v>4.9475999999999996</v>
      </c>
      <c r="AA214" s="180">
        <f t="shared" si="170"/>
        <v>8905680</v>
      </c>
      <c r="AB214" s="180"/>
      <c r="AC214" s="180">
        <f t="shared" si="171"/>
        <v>0</v>
      </c>
      <c r="AD214" s="180">
        <f t="shared" si="180"/>
        <v>0</v>
      </c>
      <c r="AE214" s="180">
        <f t="shared" si="172"/>
        <v>8905680</v>
      </c>
      <c r="AF214" s="178">
        <f t="shared" si="181"/>
        <v>712454.4</v>
      </c>
      <c r="AG214" s="178">
        <f t="shared" si="182"/>
        <v>133585.19999999998</v>
      </c>
      <c r="AH214" s="178">
        <f t="shared" si="183"/>
        <v>89056.8</v>
      </c>
      <c r="AI214" s="178"/>
      <c r="AJ214" s="178">
        <f t="shared" si="173"/>
        <v>935096.4</v>
      </c>
      <c r="AK214" s="192"/>
      <c r="AL214" s="182">
        <f t="shared" si="179"/>
        <v>0</v>
      </c>
      <c r="AM214" s="182"/>
      <c r="AN214" s="182"/>
      <c r="AO214" s="193">
        <f t="shared" si="184"/>
        <v>4.34</v>
      </c>
      <c r="AP214" s="246">
        <v>0.25</v>
      </c>
      <c r="AQ214" s="194">
        <f t="shared" si="174"/>
        <v>1.085</v>
      </c>
      <c r="AR214" s="178">
        <f t="shared" si="175"/>
        <v>1953000</v>
      </c>
      <c r="AS214" s="178"/>
      <c r="AT214" s="178">
        <f t="shared" si="176"/>
        <v>9923584</v>
      </c>
      <c r="AU214" s="469">
        <f t="shared" si="177"/>
        <v>196</v>
      </c>
      <c r="AV214" s="186"/>
      <c r="AW214" s="187" t="s">
        <v>711</v>
      </c>
    </row>
    <row r="215" spans="1:59" s="189" customFormat="1" ht="32.25" customHeight="1" x14ac:dyDescent="0.25">
      <c r="A215" s="900">
        <f t="shared" si="127"/>
        <v>197</v>
      </c>
      <c r="B215" s="168" t="str">
        <f>VLOOKUP(D215,[1]LuongBC_T01!$B$9:$C$292,2,FALSE)</f>
        <v>0016100006798009</v>
      </c>
      <c r="C215" s="199" t="s">
        <v>981</v>
      </c>
      <c r="D215" s="169" t="s">
        <v>304</v>
      </c>
      <c r="E215" s="263" t="s">
        <v>1260</v>
      </c>
      <c r="F215" s="169" t="s">
        <v>549</v>
      </c>
      <c r="G215" s="200" t="s">
        <v>25</v>
      </c>
      <c r="H215" s="200" t="s">
        <v>283</v>
      </c>
      <c r="I215" s="170" t="s">
        <v>283</v>
      </c>
      <c r="J215" s="169" t="s">
        <v>533</v>
      </c>
      <c r="K215" s="170" t="str">
        <f>VLOOKUP(D215,[2]T3!$B$2:$D$328,3,FALSE)</f>
        <v>023228757</v>
      </c>
      <c r="L215" s="171" t="s">
        <v>342</v>
      </c>
      <c r="M215" s="171" t="s">
        <v>981</v>
      </c>
      <c r="N215" s="263" t="str">
        <f>VLOOKUP(D215,'[5]Bao cao So GDDT'!$D$14:$S$282,11,FALSE)</f>
        <v>Giảng viên GDNN LT (hạng III)</v>
      </c>
      <c r="O215" s="390" t="s">
        <v>1438</v>
      </c>
      <c r="P215" s="172" t="s">
        <v>692</v>
      </c>
      <c r="Q215" s="173">
        <v>3</v>
      </c>
      <c r="R215" s="174">
        <v>3.66</v>
      </c>
      <c r="S215" s="176">
        <f t="shared" si="157"/>
        <v>0.51239999999999997</v>
      </c>
      <c r="T215" s="370"/>
      <c r="U215" s="176">
        <f t="shared" si="167"/>
        <v>0</v>
      </c>
      <c r="V215" s="175">
        <f t="shared" si="178"/>
        <v>0</v>
      </c>
      <c r="W215" s="170"/>
      <c r="X215" s="179">
        <v>0.14000000000000001</v>
      </c>
      <c r="Y215" s="216">
        <f t="shared" si="168"/>
        <v>0.51239999999999997</v>
      </c>
      <c r="Z215" s="216">
        <f t="shared" si="169"/>
        <v>4.1723999999999997</v>
      </c>
      <c r="AA215" s="180">
        <f t="shared" si="170"/>
        <v>7510320</v>
      </c>
      <c r="AB215" s="180"/>
      <c r="AC215" s="180">
        <f t="shared" si="171"/>
        <v>0</v>
      </c>
      <c r="AD215" s="180">
        <f t="shared" si="180"/>
        <v>0</v>
      </c>
      <c r="AE215" s="180">
        <f t="shared" si="172"/>
        <v>7510320</v>
      </c>
      <c r="AF215" s="178">
        <f t="shared" si="181"/>
        <v>600825.59999999998</v>
      </c>
      <c r="AG215" s="178">
        <f t="shared" si="182"/>
        <v>112654.8</v>
      </c>
      <c r="AH215" s="178">
        <f t="shared" si="183"/>
        <v>75103.199999999997</v>
      </c>
      <c r="AI215" s="178"/>
      <c r="AJ215" s="178">
        <f t="shared" si="173"/>
        <v>788583.6</v>
      </c>
      <c r="AK215" s="192"/>
      <c r="AL215" s="182">
        <f t="shared" si="179"/>
        <v>0</v>
      </c>
      <c r="AM215" s="182"/>
      <c r="AN215" s="182"/>
      <c r="AO215" s="193">
        <f t="shared" si="184"/>
        <v>3.66</v>
      </c>
      <c r="AP215" s="246">
        <v>0.25</v>
      </c>
      <c r="AQ215" s="194">
        <f t="shared" si="174"/>
        <v>0.91500000000000004</v>
      </c>
      <c r="AR215" s="178">
        <f t="shared" si="175"/>
        <v>1647000</v>
      </c>
      <c r="AS215" s="178"/>
      <c r="AT215" s="178">
        <f t="shared" si="176"/>
        <v>8368736</v>
      </c>
      <c r="AU215" s="469">
        <f t="shared" si="177"/>
        <v>197</v>
      </c>
      <c r="AV215" s="195"/>
      <c r="AW215" s="198" t="s">
        <v>711</v>
      </c>
    </row>
    <row r="216" spans="1:59" s="189" customFormat="1" ht="32.25" customHeight="1" x14ac:dyDescent="0.25">
      <c r="A216" s="900">
        <f t="shared" si="127"/>
        <v>198</v>
      </c>
      <c r="B216" s="168" t="str">
        <f>VLOOKUP(D216,[1]LuongBC_T01!$B$9:$C$292,2,FALSE)</f>
        <v>0016100006795007</v>
      </c>
      <c r="C216" s="199" t="s">
        <v>983</v>
      </c>
      <c r="D216" s="169" t="s">
        <v>303</v>
      </c>
      <c r="E216" s="263" t="s">
        <v>1260</v>
      </c>
      <c r="F216" s="169" t="s">
        <v>549</v>
      </c>
      <c r="G216" s="200" t="s">
        <v>25</v>
      </c>
      <c r="H216" s="200" t="s">
        <v>283</v>
      </c>
      <c r="I216" s="170" t="s">
        <v>283</v>
      </c>
      <c r="J216" s="169" t="s">
        <v>532</v>
      </c>
      <c r="K216" s="170" t="str">
        <f>VLOOKUP(D216,[2]T3!$B$2:$D$328,3,FALSE)</f>
        <v>025627682</v>
      </c>
      <c r="L216" s="171" t="s">
        <v>332</v>
      </c>
      <c r="M216" s="171" t="s">
        <v>983</v>
      </c>
      <c r="N216" s="263" t="str">
        <f>VLOOKUP(D216,'[5]Bao cao So GDDT'!$D$14:$S$282,11,FALSE)</f>
        <v>Giảng viên GDNN LT (hạng III)</v>
      </c>
      <c r="O216" s="390" t="s">
        <v>1438</v>
      </c>
      <c r="P216" s="172" t="s">
        <v>692</v>
      </c>
      <c r="Q216" s="173">
        <v>3</v>
      </c>
      <c r="R216" s="174">
        <v>3.66</v>
      </c>
      <c r="S216" s="176">
        <f t="shared" si="157"/>
        <v>0.51239999999999997</v>
      </c>
      <c r="T216" s="370"/>
      <c r="U216" s="176">
        <f t="shared" si="167"/>
        <v>0</v>
      </c>
      <c r="V216" s="175">
        <f t="shared" si="178"/>
        <v>0</v>
      </c>
      <c r="W216" s="170"/>
      <c r="X216" s="179">
        <v>0.14000000000000001</v>
      </c>
      <c r="Y216" s="216">
        <f t="shared" si="168"/>
        <v>0.51239999999999997</v>
      </c>
      <c r="Z216" s="216">
        <f t="shared" si="169"/>
        <v>4.1723999999999997</v>
      </c>
      <c r="AA216" s="180">
        <f t="shared" si="170"/>
        <v>7510320</v>
      </c>
      <c r="AB216" s="180"/>
      <c r="AC216" s="180">
        <f t="shared" si="171"/>
        <v>0</v>
      </c>
      <c r="AD216" s="180">
        <v>0</v>
      </c>
      <c r="AE216" s="180">
        <f t="shared" si="172"/>
        <v>7510320</v>
      </c>
      <c r="AF216" s="178">
        <f t="shared" si="181"/>
        <v>600825.59999999998</v>
      </c>
      <c r="AG216" s="178">
        <f t="shared" si="182"/>
        <v>112654.8</v>
      </c>
      <c r="AH216" s="178">
        <f t="shared" si="183"/>
        <v>75103.199999999997</v>
      </c>
      <c r="AI216" s="178"/>
      <c r="AJ216" s="178">
        <f t="shared" si="173"/>
        <v>788583.6</v>
      </c>
      <c r="AK216" s="192"/>
      <c r="AL216" s="182">
        <f t="shared" si="179"/>
        <v>0</v>
      </c>
      <c r="AM216" s="182"/>
      <c r="AN216" s="182"/>
      <c r="AO216" s="193">
        <f t="shared" si="184"/>
        <v>3.66</v>
      </c>
      <c r="AP216" s="246">
        <v>0.25</v>
      </c>
      <c r="AQ216" s="194">
        <f t="shared" si="174"/>
        <v>0.91500000000000004</v>
      </c>
      <c r="AR216" s="178">
        <f t="shared" si="175"/>
        <v>1647000</v>
      </c>
      <c r="AS216" s="178"/>
      <c r="AT216" s="178">
        <f t="shared" si="176"/>
        <v>8368736</v>
      </c>
      <c r="AU216" s="469">
        <f t="shared" si="177"/>
        <v>198</v>
      </c>
      <c r="AV216" s="195"/>
      <c r="AW216" s="198" t="s">
        <v>711</v>
      </c>
    </row>
    <row r="217" spans="1:59" s="189" customFormat="1" ht="32.25" customHeight="1" x14ac:dyDescent="0.25">
      <c r="A217" s="1035">
        <f t="shared" si="127"/>
        <v>199</v>
      </c>
      <c r="B217" s="683" t="str">
        <f>VLOOKUP(D217,[1]LuongBC_T01!$B$9:$C$292,2,FALSE)</f>
        <v>0016100006797002</v>
      </c>
      <c r="C217" s="704" t="s">
        <v>986</v>
      </c>
      <c r="D217" s="684" t="s">
        <v>297</v>
      </c>
      <c r="E217" s="685" t="s">
        <v>1260</v>
      </c>
      <c r="F217" s="684" t="s">
        <v>549</v>
      </c>
      <c r="G217" s="706"/>
      <c r="H217" s="706" t="s">
        <v>283</v>
      </c>
      <c r="I217" s="686" t="s">
        <v>283</v>
      </c>
      <c r="J217" s="684" t="s">
        <v>540</v>
      </c>
      <c r="K217" s="686" t="str">
        <f>VLOOKUP(D217,[2]T3!$B$2:$D$328,3,FALSE)</f>
        <v>023425372</v>
      </c>
      <c r="L217" s="701" t="s">
        <v>329</v>
      </c>
      <c r="M217" s="701" t="s">
        <v>986</v>
      </c>
      <c r="N217" s="685" t="str">
        <f>VLOOKUP(D217,'[5]Bao cao So GDDT'!$D$14:$S$282,11,FALSE)</f>
        <v>Giảng viên GDNN LT (hạng III)</v>
      </c>
      <c r="O217" s="687" t="s">
        <v>1438</v>
      </c>
      <c r="P217" s="688" t="s">
        <v>692</v>
      </c>
      <c r="Q217" s="689">
        <v>3</v>
      </c>
      <c r="R217" s="690">
        <v>3.66</v>
      </c>
      <c r="S217" s="691">
        <f t="shared" si="157"/>
        <v>0.51239999999999997</v>
      </c>
      <c r="T217" s="692"/>
      <c r="U217" s="691">
        <f t="shared" si="167"/>
        <v>0</v>
      </c>
      <c r="V217" s="693">
        <f t="shared" si="178"/>
        <v>0</v>
      </c>
      <c r="W217" s="686"/>
      <c r="X217" s="694">
        <v>0.14000000000000001</v>
      </c>
      <c r="Y217" s="695">
        <f t="shared" si="168"/>
        <v>0.51239999999999997</v>
      </c>
      <c r="Z217" s="695">
        <f t="shared" si="169"/>
        <v>4.1723999999999997</v>
      </c>
      <c r="AA217" s="696">
        <f t="shared" si="170"/>
        <v>7510320</v>
      </c>
      <c r="AB217" s="696"/>
      <c r="AC217" s="696">
        <f t="shared" si="171"/>
        <v>0</v>
      </c>
      <c r="AD217" s="696">
        <f t="shared" ref="AD217:AD235" si="185">AA217/24*AB217*75%</f>
        <v>0</v>
      </c>
      <c r="AE217" s="696">
        <f t="shared" si="172"/>
        <v>7510320</v>
      </c>
      <c r="AF217" s="697">
        <f t="shared" si="181"/>
        <v>600825.59999999998</v>
      </c>
      <c r="AG217" s="697">
        <f t="shared" si="182"/>
        <v>112654.8</v>
      </c>
      <c r="AH217" s="697">
        <f t="shared" si="183"/>
        <v>75103.199999999997</v>
      </c>
      <c r="AI217" s="697"/>
      <c r="AJ217" s="697">
        <f t="shared" si="173"/>
        <v>788583.6</v>
      </c>
      <c r="AK217" s="702"/>
      <c r="AL217" s="698">
        <f t="shared" si="179"/>
        <v>0</v>
      </c>
      <c r="AM217" s="698"/>
      <c r="AN217" s="698"/>
      <c r="AO217" s="707">
        <f t="shared" si="184"/>
        <v>3.66</v>
      </c>
      <c r="AP217" s="703">
        <v>0.25</v>
      </c>
      <c r="AQ217" s="705">
        <f t="shared" si="174"/>
        <v>0.91500000000000004</v>
      </c>
      <c r="AR217" s="697">
        <f t="shared" si="175"/>
        <v>1647000</v>
      </c>
      <c r="AS217" s="697"/>
      <c r="AT217" s="697">
        <f t="shared" si="176"/>
        <v>8368736</v>
      </c>
      <c r="AU217" s="699">
        <f t="shared" si="177"/>
        <v>199</v>
      </c>
      <c r="AV217" s="1034"/>
      <c r="AW217" s="198" t="s">
        <v>711</v>
      </c>
      <c r="AX217" s="29"/>
      <c r="AY217" s="29"/>
      <c r="AZ217" s="29"/>
      <c r="BA217" s="29"/>
      <c r="BB217" s="29"/>
      <c r="BC217" s="29"/>
      <c r="BD217" s="29"/>
      <c r="BE217" s="29"/>
      <c r="BF217" s="29"/>
      <c r="BG217" s="29"/>
    </row>
    <row r="218" spans="1:59" s="189" customFormat="1" ht="32.25" customHeight="1" x14ac:dyDescent="0.25">
      <c r="A218" s="900">
        <f t="shared" ref="A218:A281" si="186">A217+1</f>
        <v>200</v>
      </c>
      <c r="B218" s="168" t="str">
        <f>VLOOKUP(D218,[1]LuongBC_T01!$B$9:$C$292,2,FALSE)</f>
        <v>0016100006750006</v>
      </c>
      <c r="C218" s="199" t="s">
        <v>929</v>
      </c>
      <c r="D218" s="169" t="s">
        <v>1209</v>
      </c>
      <c r="E218" s="263" t="s">
        <v>1255</v>
      </c>
      <c r="F218" s="169" t="s">
        <v>549</v>
      </c>
      <c r="G218" s="200"/>
      <c r="H218" s="200" t="s">
        <v>283</v>
      </c>
      <c r="I218" s="200" t="s">
        <v>283</v>
      </c>
      <c r="J218" s="200" t="s">
        <v>581</v>
      </c>
      <c r="K218" s="170" t="str">
        <f>VLOOKUP(D218,[2]T3!$B$2:$D$328,3,FALSE)</f>
        <v>025187897</v>
      </c>
      <c r="L218" s="201" t="s">
        <v>603</v>
      </c>
      <c r="M218" s="201" t="s">
        <v>929</v>
      </c>
      <c r="N218" s="263" t="str">
        <f>VLOOKUP(D218,'[5]Bao cao So GDDT'!$D$14:$S$282,11,FALSE)</f>
        <v>Giảng viên GDNN LT (hạng III)</v>
      </c>
      <c r="O218" s="390" t="s">
        <v>1438</v>
      </c>
      <c r="P218" s="170" t="s">
        <v>692</v>
      </c>
      <c r="Q218" s="170">
        <v>3</v>
      </c>
      <c r="R218" s="177">
        <v>3.99</v>
      </c>
      <c r="S218" s="176">
        <f t="shared" si="157"/>
        <v>0.91420000000000001</v>
      </c>
      <c r="T218" s="220"/>
      <c r="U218" s="176">
        <f t="shared" si="167"/>
        <v>0</v>
      </c>
      <c r="V218" s="175">
        <f t="shared" si="178"/>
        <v>0</v>
      </c>
      <c r="W218" s="170">
        <v>0.35</v>
      </c>
      <c r="X218" s="179">
        <v>0.13</v>
      </c>
      <c r="Y218" s="216">
        <f t="shared" si="168"/>
        <v>0.56420000000000003</v>
      </c>
      <c r="Z218" s="216">
        <f t="shared" si="169"/>
        <v>4.9041999999999994</v>
      </c>
      <c r="AA218" s="180">
        <f t="shared" si="170"/>
        <v>8827560</v>
      </c>
      <c r="AB218" s="180"/>
      <c r="AC218" s="180">
        <f t="shared" si="171"/>
        <v>0</v>
      </c>
      <c r="AD218" s="180">
        <f t="shared" si="185"/>
        <v>0</v>
      </c>
      <c r="AE218" s="180">
        <f t="shared" si="172"/>
        <v>8827560</v>
      </c>
      <c r="AF218" s="178">
        <f t="shared" si="181"/>
        <v>706204.8</v>
      </c>
      <c r="AG218" s="178">
        <f t="shared" si="182"/>
        <v>132413.4</v>
      </c>
      <c r="AH218" s="178">
        <f t="shared" si="183"/>
        <v>88275.6</v>
      </c>
      <c r="AI218" s="178"/>
      <c r="AJ218" s="178">
        <f t="shared" si="173"/>
        <v>926893.8</v>
      </c>
      <c r="AK218" s="192"/>
      <c r="AL218" s="182">
        <f t="shared" si="179"/>
        <v>0</v>
      </c>
      <c r="AM218" s="182"/>
      <c r="AN218" s="182"/>
      <c r="AO218" s="193">
        <f t="shared" si="184"/>
        <v>4.34</v>
      </c>
      <c r="AP218" s="246">
        <v>0.25</v>
      </c>
      <c r="AQ218" s="194">
        <f t="shared" si="174"/>
        <v>1.085</v>
      </c>
      <c r="AR218" s="178">
        <f t="shared" si="175"/>
        <v>1953000</v>
      </c>
      <c r="AS218" s="178"/>
      <c r="AT218" s="178">
        <f t="shared" si="176"/>
        <v>9853666</v>
      </c>
      <c r="AU218" s="469">
        <f t="shared" si="177"/>
        <v>200</v>
      </c>
      <c r="AV218" s="186"/>
      <c r="AW218" s="198" t="s">
        <v>711</v>
      </c>
    </row>
    <row r="219" spans="1:59" s="189" customFormat="1" ht="32.25" customHeight="1" x14ac:dyDescent="0.25">
      <c r="A219" s="900">
        <f t="shared" si="186"/>
        <v>201</v>
      </c>
      <c r="B219" s="168" t="str">
        <f>VLOOKUP(D219,[1]LuongBC_T01!$B$9:$C$292,2,FALSE)</f>
        <v>0016100007758008</v>
      </c>
      <c r="C219" s="170" t="s">
        <v>1316</v>
      </c>
      <c r="D219" s="169" t="s">
        <v>1298</v>
      </c>
      <c r="E219" s="263" t="s">
        <v>1555</v>
      </c>
      <c r="F219" s="220"/>
      <c r="G219" s="220"/>
      <c r="H219" s="220"/>
      <c r="I219" s="220"/>
      <c r="J219" s="220"/>
      <c r="K219" s="168" t="s">
        <v>1461</v>
      </c>
      <c r="L219" s="220"/>
      <c r="M219" s="170"/>
      <c r="N219" s="263" t="str">
        <f>VLOOKUP(D219,'[5]Bao cao So GDDT'!$D$14:$S$282,11,FALSE)</f>
        <v>Giảng viên GDNN LT (hạng III)</v>
      </c>
      <c r="O219" s="390" t="s">
        <v>1438</v>
      </c>
      <c r="P219" s="251"/>
      <c r="Q219" s="251"/>
      <c r="R219" s="177">
        <v>3.33</v>
      </c>
      <c r="S219" s="176"/>
      <c r="T219" s="220"/>
      <c r="U219" s="176">
        <f t="shared" si="167"/>
        <v>0</v>
      </c>
      <c r="V219" s="175"/>
      <c r="W219" s="170"/>
      <c r="X219" s="179">
        <v>0.11</v>
      </c>
      <c r="Y219" s="216">
        <f t="shared" si="168"/>
        <v>0.36630000000000001</v>
      </c>
      <c r="Z219" s="216">
        <f t="shared" si="169"/>
        <v>3.6962999999999999</v>
      </c>
      <c r="AA219" s="180">
        <f t="shared" si="170"/>
        <v>6653340</v>
      </c>
      <c r="AB219" s="180"/>
      <c r="AC219" s="180">
        <f t="shared" si="171"/>
        <v>0</v>
      </c>
      <c r="AD219" s="180">
        <f t="shared" si="185"/>
        <v>0</v>
      </c>
      <c r="AE219" s="180">
        <f t="shared" si="172"/>
        <v>6653340</v>
      </c>
      <c r="AF219" s="178">
        <f t="shared" si="181"/>
        <v>532267.19999999995</v>
      </c>
      <c r="AG219" s="178">
        <f t="shared" si="182"/>
        <v>99800.099999999991</v>
      </c>
      <c r="AH219" s="178">
        <f t="shared" si="183"/>
        <v>66533.399999999994</v>
      </c>
      <c r="AI219" s="178"/>
      <c r="AJ219" s="178">
        <f t="shared" si="173"/>
        <v>698600.7</v>
      </c>
      <c r="AK219" s="192"/>
      <c r="AL219" s="182">
        <f t="shared" si="179"/>
        <v>0</v>
      </c>
      <c r="AM219" s="182"/>
      <c r="AN219" s="182"/>
      <c r="AO219" s="183">
        <f t="shared" si="184"/>
        <v>3.33</v>
      </c>
      <c r="AP219" s="246">
        <v>0.25</v>
      </c>
      <c r="AQ219" s="185">
        <f t="shared" si="174"/>
        <v>0.83250000000000002</v>
      </c>
      <c r="AR219" s="178">
        <f t="shared" si="175"/>
        <v>1498500</v>
      </c>
      <c r="AS219" s="178"/>
      <c r="AT219" s="178">
        <f t="shared" si="176"/>
        <v>7453239</v>
      </c>
      <c r="AU219" s="469">
        <f t="shared" si="177"/>
        <v>201</v>
      </c>
      <c r="AV219" s="195"/>
      <c r="AW219" s="486"/>
    </row>
    <row r="220" spans="1:59" s="189" customFormat="1" ht="32.25" customHeight="1" x14ac:dyDescent="0.25">
      <c r="A220" s="900">
        <f t="shared" si="186"/>
        <v>202</v>
      </c>
      <c r="B220" s="168" t="str">
        <f>VLOOKUP(D220,[1]LuongBC_T01!$B$9:$C$292,2,FALSE)</f>
        <v>0016100006749008</v>
      </c>
      <c r="C220" s="199" t="s">
        <v>977</v>
      </c>
      <c r="D220" s="169" t="s">
        <v>1223</v>
      </c>
      <c r="E220" s="263" t="s">
        <v>1260</v>
      </c>
      <c r="F220" s="169" t="s">
        <v>549</v>
      </c>
      <c r="G220" s="170"/>
      <c r="H220" s="170" t="s">
        <v>283</v>
      </c>
      <c r="I220" s="170" t="s">
        <v>284</v>
      </c>
      <c r="J220" s="169" t="s">
        <v>278</v>
      </c>
      <c r="K220" s="170" t="str">
        <f>VLOOKUP(D220,[2]T3!$B$2:$D$328,3,FALSE)</f>
        <v>024730162</v>
      </c>
      <c r="L220" s="171" t="s">
        <v>142</v>
      </c>
      <c r="M220" s="171" t="s">
        <v>977</v>
      </c>
      <c r="N220" s="263" t="str">
        <f>VLOOKUP(D220,'[5]Bao cao So GDDT'!$D$14:$S$282,11,FALSE)</f>
        <v>Giảng viên GDNN LT (hạng III)</v>
      </c>
      <c r="O220" s="390" t="s">
        <v>1438</v>
      </c>
      <c r="P220" s="222" t="s">
        <v>692</v>
      </c>
      <c r="Q220" s="172">
        <v>4</v>
      </c>
      <c r="R220" s="174">
        <v>3.99</v>
      </c>
      <c r="S220" s="176">
        <f t="shared" ref="S220:S239" si="187">U220+W220+Y220</f>
        <v>0.43890000000000001</v>
      </c>
      <c r="T220" s="370"/>
      <c r="U220" s="176">
        <f t="shared" si="167"/>
        <v>0</v>
      </c>
      <c r="V220" s="175">
        <f t="shared" ref="V220:V239" si="188">R220*T220*$D$8/100</f>
        <v>0</v>
      </c>
      <c r="W220" s="170"/>
      <c r="X220" s="179">
        <v>0.11</v>
      </c>
      <c r="Y220" s="216">
        <f t="shared" si="168"/>
        <v>0.43890000000000001</v>
      </c>
      <c r="Z220" s="216">
        <f t="shared" si="169"/>
        <v>4.4289000000000005</v>
      </c>
      <c r="AA220" s="180">
        <f t="shared" si="170"/>
        <v>7972020</v>
      </c>
      <c r="AB220" s="180"/>
      <c r="AC220" s="180">
        <f t="shared" si="171"/>
        <v>0</v>
      </c>
      <c r="AD220" s="180">
        <f t="shared" si="185"/>
        <v>0</v>
      </c>
      <c r="AE220" s="180">
        <f t="shared" si="172"/>
        <v>7972020</v>
      </c>
      <c r="AF220" s="178">
        <f t="shared" si="181"/>
        <v>637761.6</v>
      </c>
      <c r="AG220" s="178">
        <f t="shared" si="182"/>
        <v>119580.29999999999</v>
      </c>
      <c r="AH220" s="178">
        <f t="shared" si="183"/>
        <v>79720.2</v>
      </c>
      <c r="AI220" s="178"/>
      <c r="AJ220" s="178">
        <f t="shared" si="173"/>
        <v>837062.09999999986</v>
      </c>
      <c r="AK220" s="192"/>
      <c r="AL220" s="182">
        <f t="shared" si="179"/>
        <v>0</v>
      </c>
      <c r="AM220" s="182"/>
      <c r="AN220" s="182"/>
      <c r="AO220" s="193">
        <f t="shared" si="184"/>
        <v>3.99</v>
      </c>
      <c r="AP220" s="246">
        <v>0.25</v>
      </c>
      <c r="AQ220" s="194">
        <f t="shared" si="174"/>
        <v>0.99750000000000005</v>
      </c>
      <c r="AR220" s="178">
        <f t="shared" si="175"/>
        <v>1795500</v>
      </c>
      <c r="AS220" s="178"/>
      <c r="AT220" s="178">
        <f t="shared" si="176"/>
        <v>8930458</v>
      </c>
      <c r="AU220" s="469">
        <f t="shared" si="177"/>
        <v>202</v>
      </c>
      <c r="AV220" s="186"/>
      <c r="AW220" s="187" t="s">
        <v>711</v>
      </c>
    </row>
    <row r="221" spans="1:59" s="189" customFormat="1" ht="32.25" customHeight="1" x14ac:dyDescent="0.25">
      <c r="A221" s="900">
        <f t="shared" si="186"/>
        <v>203</v>
      </c>
      <c r="B221" s="168" t="str">
        <f>VLOOKUP(D221,[1]LuongBC_T01!$B$9:$C$292,2,FALSE)</f>
        <v>0016100006747005</v>
      </c>
      <c r="C221" s="199" t="s">
        <v>1010</v>
      </c>
      <c r="D221" s="230" t="s">
        <v>561</v>
      </c>
      <c r="E221" s="263" t="s">
        <v>1260</v>
      </c>
      <c r="F221" s="231"/>
      <c r="G221" s="231"/>
      <c r="H221" s="231"/>
      <c r="I221" s="231"/>
      <c r="J221" s="231"/>
      <c r="K221" s="170" t="str">
        <f>VLOOKUP(D221,[2]T3!$B$2:$D$328,3,FALSE)</f>
        <v>112163050</v>
      </c>
      <c r="L221" s="226">
        <v>1603205286594</v>
      </c>
      <c r="M221" s="226" t="s">
        <v>1010</v>
      </c>
      <c r="N221" s="263" t="str">
        <f>VLOOKUP(D221,'[5]Bao cao So GDDT'!$D$14:$S$282,11,FALSE)</f>
        <v>Giảng viên GDNN LT (hạng III)</v>
      </c>
      <c r="O221" s="393" t="s">
        <v>1438</v>
      </c>
      <c r="P221" s="170" t="s">
        <v>692</v>
      </c>
      <c r="Q221" s="170">
        <v>2</v>
      </c>
      <c r="R221" s="177">
        <v>3.33</v>
      </c>
      <c r="S221" s="176">
        <f t="shared" si="187"/>
        <v>0.33300000000000002</v>
      </c>
      <c r="T221" s="169"/>
      <c r="U221" s="176">
        <f t="shared" si="167"/>
        <v>0</v>
      </c>
      <c r="V221" s="175">
        <f t="shared" si="188"/>
        <v>0</v>
      </c>
      <c r="W221" s="170"/>
      <c r="X221" s="179">
        <v>0.1</v>
      </c>
      <c r="Y221" s="216">
        <f t="shared" si="168"/>
        <v>0.33300000000000002</v>
      </c>
      <c r="Z221" s="216">
        <f t="shared" si="169"/>
        <v>3.6630000000000003</v>
      </c>
      <c r="AA221" s="180">
        <f t="shared" si="170"/>
        <v>6593400</v>
      </c>
      <c r="AB221" s="180"/>
      <c r="AC221" s="180">
        <f t="shared" si="171"/>
        <v>0</v>
      </c>
      <c r="AD221" s="180">
        <f t="shared" si="185"/>
        <v>0</v>
      </c>
      <c r="AE221" s="180">
        <f t="shared" si="172"/>
        <v>6593400</v>
      </c>
      <c r="AF221" s="178">
        <f t="shared" si="181"/>
        <v>527472</v>
      </c>
      <c r="AG221" s="178">
        <f t="shared" si="182"/>
        <v>98901</v>
      </c>
      <c r="AH221" s="178">
        <f t="shared" si="183"/>
        <v>65934</v>
      </c>
      <c r="AI221" s="178"/>
      <c r="AJ221" s="178">
        <f t="shared" si="173"/>
        <v>692307</v>
      </c>
      <c r="AK221" s="192"/>
      <c r="AL221" s="182">
        <f t="shared" ref="AL221:AL246" si="189">AK221*$D$8</f>
        <v>0</v>
      </c>
      <c r="AM221" s="182"/>
      <c r="AN221" s="182"/>
      <c r="AO221" s="183">
        <f t="shared" si="184"/>
        <v>3.33</v>
      </c>
      <c r="AP221" s="246">
        <v>0.25</v>
      </c>
      <c r="AQ221" s="194">
        <f t="shared" si="174"/>
        <v>0.83250000000000002</v>
      </c>
      <c r="AR221" s="178">
        <f t="shared" si="175"/>
        <v>1498500</v>
      </c>
      <c r="AS221" s="178"/>
      <c r="AT221" s="178">
        <f t="shared" si="176"/>
        <v>7399593</v>
      </c>
      <c r="AU221" s="469">
        <f t="shared" si="177"/>
        <v>203</v>
      </c>
      <c r="AV221" s="186"/>
      <c r="AW221" s="198" t="s">
        <v>711</v>
      </c>
    </row>
    <row r="222" spans="1:59" s="189" customFormat="1" ht="32.25" customHeight="1" x14ac:dyDescent="0.25">
      <c r="A222" s="900">
        <f t="shared" si="186"/>
        <v>204</v>
      </c>
      <c r="B222" s="168" t="str">
        <f>VLOOKUP(D222,[1]LuongBC_T01!$B$9:$C$292,2,FALSE)</f>
        <v>0016100006774002</v>
      </c>
      <c r="C222" s="199" t="s">
        <v>972</v>
      </c>
      <c r="D222" s="169" t="s">
        <v>314</v>
      </c>
      <c r="E222" s="263" t="s">
        <v>1260</v>
      </c>
      <c r="F222" s="169" t="s">
        <v>549</v>
      </c>
      <c r="G222" s="200"/>
      <c r="H222" s="200"/>
      <c r="I222" s="170" t="s">
        <v>283</v>
      </c>
      <c r="J222" s="169" t="s">
        <v>543</v>
      </c>
      <c r="K222" s="170" t="str">
        <f>VLOOKUP(D222,[2]T3!$B$2:$D$328,3,FALSE)</f>
        <v>023730236</v>
      </c>
      <c r="L222" s="171" t="s">
        <v>327</v>
      </c>
      <c r="M222" s="171" t="s">
        <v>972</v>
      </c>
      <c r="N222" s="263" t="str">
        <f>VLOOKUP(D222,'[5]Bao cao So GDDT'!$D$14:$S$282,11,FALSE)</f>
        <v>Giảng viên GDNN LT (hạng III)</v>
      </c>
      <c r="O222" s="390" t="s">
        <v>1438</v>
      </c>
      <c r="P222" s="172" t="s">
        <v>692</v>
      </c>
      <c r="Q222" s="173">
        <v>4</v>
      </c>
      <c r="R222" s="174">
        <v>3.99</v>
      </c>
      <c r="S222" s="176">
        <f t="shared" si="187"/>
        <v>0.59850000000000003</v>
      </c>
      <c r="T222" s="370"/>
      <c r="U222" s="176">
        <f t="shared" si="167"/>
        <v>0</v>
      </c>
      <c r="V222" s="175">
        <f t="shared" si="188"/>
        <v>0</v>
      </c>
      <c r="W222" s="170"/>
      <c r="X222" s="179">
        <v>0.15</v>
      </c>
      <c r="Y222" s="216">
        <f t="shared" si="168"/>
        <v>0.59850000000000003</v>
      </c>
      <c r="Z222" s="216">
        <f t="shared" si="169"/>
        <v>4.5884999999999998</v>
      </c>
      <c r="AA222" s="180">
        <f t="shared" si="170"/>
        <v>8259300</v>
      </c>
      <c r="AB222" s="180"/>
      <c r="AC222" s="180">
        <f t="shared" si="171"/>
        <v>0</v>
      </c>
      <c r="AD222" s="180">
        <f t="shared" si="185"/>
        <v>0</v>
      </c>
      <c r="AE222" s="180">
        <f t="shared" si="172"/>
        <v>8259300</v>
      </c>
      <c r="AF222" s="178">
        <f t="shared" si="181"/>
        <v>660744</v>
      </c>
      <c r="AG222" s="178">
        <f t="shared" si="182"/>
        <v>123889.5</v>
      </c>
      <c r="AH222" s="178">
        <f t="shared" si="183"/>
        <v>82593</v>
      </c>
      <c r="AI222" s="178"/>
      <c r="AJ222" s="178">
        <f t="shared" si="173"/>
        <v>867226.5</v>
      </c>
      <c r="AK222" s="192"/>
      <c r="AL222" s="182">
        <f t="shared" si="189"/>
        <v>0</v>
      </c>
      <c r="AM222" s="182"/>
      <c r="AN222" s="182"/>
      <c r="AO222" s="193">
        <f t="shared" si="184"/>
        <v>3.99</v>
      </c>
      <c r="AP222" s="246">
        <v>0.25</v>
      </c>
      <c r="AQ222" s="194">
        <f t="shared" si="174"/>
        <v>0.99750000000000005</v>
      </c>
      <c r="AR222" s="178">
        <f t="shared" si="175"/>
        <v>1795500</v>
      </c>
      <c r="AS222" s="178"/>
      <c r="AT222" s="178">
        <f t="shared" si="176"/>
        <v>9187574</v>
      </c>
      <c r="AU222" s="469">
        <f t="shared" si="177"/>
        <v>204</v>
      </c>
      <c r="AV222" s="195"/>
      <c r="AW222" s="198" t="s">
        <v>707</v>
      </c>
    </row>
    <row r="223" spans="1:59" s="189" customFormat="1" ht="32.25" customHeight="1" x14ac:dyDescent="0.25">
      <c r="A223" s="1035">
        <f t="shared" si="186"/>
        <v>205</v>
      </c>
      <c r="B223" s="683" t="str">
        <f>VLOOKUP(D223,[1]LuongBC_T01!$B$9:$C$292,2,FALSE)</f>
        <v>0016100006762004</v>
      </c>
      <c r="C223" s="704" t="s">
        <v>944</v>
      </c>
      <c r="D223" s="684" t="s">
        <v>822</v>
      </c>
      <c r="E223" s="685" t="s">
        <v>1260</v>
      </c>
      <c r="F223" s="684"/>
      <c r="G223" s="686"/>
      <c r="H223" s="686"/>
      <c r="I223" s="686"/>
      <c r="J223" s="684"/>
      <c r="K223" s="686" t="str">
        <f>VLOOKUP(D223,[2]T3!$B$2:$D$328,3,FALSE)</f>
        <v>024999755</v>
      </c>
      <c r="L223" s="708"/>
      <c r="M223" s="708" t="s">
        <v>944</v>
      </c>
      <c r="N223" s="685" t="str">
        <f>VLOOKUP(D223,'[5]Bao cao So GDDT'!$D$14:$S$282,11,FALSE)</f>
        <v>Giảng viên GDNN LT (hạng III)</v>
      </c>
      <c r="O223" s="687" t="s">
        <v>1438</v>
      </c>
      <c r="P223" s="709" t="s">
        <v>692</v>
      </c>
      <c r="Q223" s="688">
        <v>3</v>
      </c>
      <c r="R223" s="690">
        <v>3.99</v>
      </c>
      <c r="S223" s="691">
        <f t="shared" si="187"/>
        <v>0.55859999999999999</v>
      </c>
      <c r="T223" s="692"/>
      <c r="U223" s="691">
        <f t="shared" si="167"/>
        <v>0</v>
      </c>
      <c r="V223" s="693">
        <f t="shared" si="188"/>
        <v>0</v>
      </c>
      <c r="W223" s="686"/>
      <c r="X223" s="694">
        <v>0.14000000000000001</v>
      </c>
      <c r="Y223" s="695">
        <f t="shared" si="168"/>
        <v>0.55859999999999999</v>
      </c>
      <c r="Z223" s="695">
        <f t="shared" si="169"/>
        <v>4.5486000000000004</v>
      </c>
      <c r="AA223" s="696">
        <f t="shared" si="170"/>
        <v>8187480</v>
      </c>
      <c r="AB223" s="696"/>
      <c r="AC223" s="696">
        <f t="shared" si="171"/>
        <v>0</v>
      </c>
      <c r="AD223" s="696">
        <f t="shared" si="185"/>
        <v>0</v>
      </c>
      <c r="AE223" s="696">
        <f t="shared" si="172"/>
        <v>8187480</v>
      </c>
      <c r="AF223" s="697">
        <f t="shared" si="181"/>
        <v>654998.4</v>
      </c>
      <c r="AG223" s="697">
        <f t="shared" si="182"/>
        <v>122812.2</v>
      </c>
      <c r="AH223" s="697">
        <f t="shared" si="183"/>
        <v>81874.8</v>
      </c>
      <c r="AI223" s="697"/>
      <c r="AJ223" s="697">
        <f t="shared" si="173"/>
        <v>859685.4</v>
      </c>
      <c r="AK223" s="702"/>
      <c r="AL223" s="698">
        <f t="shared" si="189"/>
        <v>0</v>
      </c>
      <c r="AM223" s="698"/>
      <c r="AN223" s="698"/>
      <c r="AO223" s="707">
        <f t="shared" si="184"/>
        <v>3.99</v>
      </c>
      <c r="AP223" s="703">
        <v>0.25</v>
      </c>
      <c r="AQ223" s="705">
        <f t="shared" si="174"/>
        <v>0.99750000000000005</v>
      </c>
      <c r="AR223" s="697">
        <f t="shared" si="175"/>
        <v>1795500</v>
      </c>
      <c r="AS223" s="697"/>
      <c r="AT223" s="697">
        <f t="shared" si="176"/>
        <v>9123295</v>
      </c>
      <c r="AU223" s="699">
        <f t="shared" si="177"/>
        <v>205</v>
      </c>
      <c r="AV223" s="710"/>
      <c r="AW223" s="242"/>
      <c r="AX223" s="29"/>
      <c r="AY223" s="29"/>
      <c r="AZ223" s="29"/>
      <c r="BA223" s="29"/>
      <c r="BB223" s="29"/>
      <c r="BC223" s="29"/>
      <c r="BD223" s="29"/>
      <c r="BE223" s="29"/>
      <c r="BF223" s="29"/>
      <c r="BG223" s="29"/>
    </row>
    <row r="224" spans="1:59" s="189" customFormat="1" ht="32.25" customHeight="1" x14ac:dyDescent="0.25">
      <c r="A224" s="900">
        <f t="shared" si="186"/>
        <v>206</v>
      </c>
      <c r="B224" s="168" t="str">
        <f>VLOOKUP(D224,[1]LuongBC_T01!$B$9:$C$292,2,FALSE)</f>
        <v>0016100006500007</v>
      </c>
      <c r="C224" s="199" t="s">
        <v>909</v>
      </c>
      <c r="D224" s="169" t="s">
        <v>61</v>
      </c>
      <c r="E224" s="263" t="s">
        <v>1260</v>
      </c>
      <c r="F224" s="169" t="s">
        <v>549</v>
      </c>
      <c r="G224" s="200"/>
      <c r="H224" s="200"/>
      <c r="I224" s="170" t="s">
        <v>283</v>
      </c>
      <c r="J224" s="169" t="s">
        <v>243</v>
      </c>
      <c r="K224" s="170" t="str">
        <f>VLOOKUP(D224,[2]T3!$B$2:$D$328,3,FALSE)</f>
        <v>025408856</v>
      </c>
      <c r="L224" s="171" t="s">
        <v>140</v>
      </c>
      <c r="M224" s="171" t="s">
        <v>909</v>
      </c>
      <c r="N224" s="263" t="str">
        <f>VLOOKUP(D224,'[5]Bao cao So GDDT'!$D$14:$S$282,11,FALSE)</f>
        <v>Giảng viên GDNN LT (hạng III)</v>
      </c>
      <c r="O224" s="390" t="s">
        <v>1438</v>
      </c>
      <c r="P224" s="172" t="s">
        <v>692</v>
      </c>
      <c r="Q224" s="173">
        <v>4</v>
      </c>
      <c r="R224" s="174">
        <v>3.99</v>
      </c>
      <c r="S224" s="176">
        <f t="shared" si="187"/>
        <v>0.59850000000000003</v>
      </c>
      <c r="T224" s="370"/>
      <c r="U224" s="176">
        <f t="shared" si="167"/>
        <v>0</v>
      </c>
      <c r="V224" s="175">
        <f t="shared" si="188"/>
        <v>0</v>
      </c>
      <c r="W224" s="170"/>
      <c r="X224" s="179">
        <v>0.15</v>
      </c>
      <c r="Y224" s="216">
        <f t="shared" si="168"/>
        <v>0.59850000000000003</v>
      </c>
      <c r="Z224" s="216">
        <f t="shared" si="169"/>
        <v>4.5884999999999998</v>
      </c>
      <c r="AA224" s="180">
        <f t="shared" si="170"/>
        <v>8259300</v>
      </c>
      <c r="AB224" s="180"/>
      <c r="AC224" s="180">
        <f t="shared" si="171"/>
        <v>0</v>
      </c>
      <c r="AD224" s="180">
        <f t="shared" si="185"/>
        <v>0</v>
      </c>
      <c r="AE224" s="180">
        <f t="shared" si="172"/>
        <v>8259300</v>
      </c>
      <c r="AF224" s="178">
        <f t="shared" si="181"/>
        <v>660744</v>
      </c>
      <c r="AG224" s="178">
        <f t="shared" si="182"/>
        <v>123889.5</v>
      </c>
      <c r="AH224" s="178">
        <f t="shared" si="183"/>
        <v>82593</v>
      </c>
      <c r="AI224" s="178"/>
      <c r="AJ224" s="178">
        <f t="shared" si="173"/>
        <v>867226.5</v>
      </c>
      <c r="AK224" s="192"/>
      <c r="AL224" s="182">
        <f t="shared" si="189"/>
        <v>0</v>
      </c>
      <c r="AM224" s="182"/>
      <c r="AN224" s="182"/>
      <c r="AO224" s="193">
        <f t="shared" si="184"/>
        <v>3.99</v>
      </c>
      <c r="AP224" s="246">
        <v>0.25</v>
      </c>
      <c r="AQ224" s="194">
        <f t="shared" si="174"/>
        <v>0.99750000000000005</v>
      </c>
      <c r="AR224" s="178">
        <f t="shared" si="175"/>
        <v>1795500</v>
      </c>
      <c r="AS224" s="178"/>
      <c r="AT224" s="178">
        <f t="shared" si="176"/>
        <v>9187574</v>
      </c>
      <c r="AU224" s="469">
        <f t="shared" si="177"/>
        <v>206</v>
      </c>
      <c r="AV224" s="195"/>
      <c r="AW224" s="198" t="s">
        <v>715</v>
      </c>
    </row>
    <row r="225" spans="1:59" s="189" customFormat="1" ht="32.25" customHeight="1" x14ac:dyDescent="0.25">
      <c r="A225" s="900">
        <f t="shared" si="186"/>
        <v>207</v>
      </c>
      <c r="B225" s="168" t="str">
        <f>VLOOKUP(D225,[1]LuongBC_T01!$B$9:$C$292,2,FALSE)</f>
        <v>0008100002629007</v>
      </c>
      <c r="C225" s="199" t="s">
        <v>1000</v>
      </c>
      <c r="D225" s="230" t="s">
        <v>557</v>
      </c>
      <c r="E225" s="263" t="s">
        <v>1260</v>
      </c>
      <c r="F225" s="231"/>
      <c r="G225" s="231"/>
      <c r="H225" s="200" t="s">
        <v>283</v>
      </c>
      <c r="I225" s="200" t="s">
        <v>283</v>
      </c>
      <c r="J225" s="231"/>
      <c r="K225" s="170" t="str">
        <f>VLOOKUP(D225,[2]T3!$B$2:$D$328,3,FALSE)</f>
        <v>025624118</v>
      </c>
      <c r="L225" s="231"/>
      <c r="M225" s="231" t="s">
        <v>1000</v>
      </c>
      <c r="N225" s="263" t="str">
        <f>VLOOKUP(D225,'[5]Bao cao So GDDT'!$D$14:$S$282,11,FALSE)</f>
        <v>Giảng viên GDNN LT (hạng III)</v>
      </c>
      <c r="O225" s="390" t="s">
        <v>1438</v>
      </c>
      <c r="P225" s="170" t="s">
        <v>692</v>
      </c>
      <c r="Q225" s="170">
        <v>3</v>
      </c>
      <c r="R225" s="177">
        <v>3.66</v>
      </c>
      <c r="S225" s="176">
        <f t="shared" si="187"/>
        <v>0.36599999999999999</v>
      </c>
      <c r="T225" s="169"/>
      <c r="U225" s="176">
        <f t="shared" ref="U225:U257" si="190">ROUND(R225*T225/100,4)</f>
        <v>0</v>
      </c>
      <c r="V225" s="175">
        <f t="shared" si="188"/>
        <v>0</v>
      </c>
      <c r="W225" s="170"/>
      <c r="X225" s="179">
        <v>0.1</v>
      </c>
      <c r="Y225" s="216">
        <f t="shared" ref="Y225:Y257" si="191">ROUND((R225+U225+W225)*X225,4)</f>
        <v>0.36599999999999999</v>
      </c>
      <c r="Z225" s="216">
        <f t="shared" ref="Z225:Z257" si="192">R225+U225+W225+Y225</f>
        <v>4.0259999999999998</v>
      </c>
      <c r="AA225" s="180">
        <f t="shared" ref="AA225:AA257" si="193">ROUND(Z225*$D$8,0)</f>
        <v>7246800</v>
      </c>
      <c r="AB225" s="180"/>
      <c r="AC225" s="180">
        <f t="shared" ref="AC225:AC257" si="194">AA225/24*AB225</f>
        <v>0</v>
      </c>
      <c r="AD225" s="180">
        <f t="shared" si="185"/>
        <v>0</v>
      </c>
      <c r="AE225" s="180">
        <f t="shared" ref="AE225:AE257" si="195">ROUND(AA225-AC225+AD225,0)</f>
        <v>7246800</v>
      </c>
      <c r="AF225" s="178">
        <f t="shared" si="181"/>
        <v>579744</v>
      </c>
      <c r="AG225" s="178">
        <f t="shared" si="182"/>
        <v>108702</v>
      </c>
      <c r="AH225" s="178">
        <f t="shared" si="183"/>
        <v>72468</v>
      </c>
      <c r="AI225" s="178"/>
      <c r="AJ225" s="178">
        <f t="shared" ref="AJ225:AJ257" si="196">SUM(AF225:AI225)</f>
        <v>760914</v>
      </c>
      <c r="AK225" s="192"/>
      <c r="AL225" s="182">
        <f t="shared" si="189"/>
        <v>0</v>
      </c>
      <c r="AM225" s="182"/>
      <c r="AN225" s="182"/>
      <c r="AO225" s="183">
        <f t="shared" si="184"/>
        <v>3.66</v>
      </c>
      <c r="AP225" s="246">
        <v>0.25</v>
      </c>
      <c r="AQ225" s="194">
        <f t="shared" ref="AQ225:AQ257" si="197">ROUND(AO225*AP225,4)</f>
        <v>0.91500000000000004</v>
      </c>
      <c r="AR225" s="178">
        <f t="shared" ref="AR225:AR257" si="198">ROUND(AQ225*$D$8,0)</f>
        <v>1647000</v>
      </c>
      <c r="AS225" s="178"/>
      <c r="AT225" s="178">
        <f t="shared" ref="AT225:AT257" si="199">ROUND(AE225-AJ225+AL225+AN225+AR225,0)</f>
        <v>8132886</v>
      </c>
      <c r="AU225" s="469">
        <f t="shared" ref="AU225:AU257" si="200">A225</f>
        <v>207</v>
      </c>
      <c r="AV225" s="195"/>
      <c r="AW225" s="198" t="s">
        <v>711</v>
      </c>
    </row>
    <row r="226" spans="1:59" s="191" customFormat="1" ht="30.75" customHeight="1" x14ac:dyDescent="0.25">
      <c r="A226" s="900">
        <f t="shared" si="186"/>
        <v>208</v>
      </c>
      <c r="B226" s="168" t="str">
        <f>VLOOKUP(D226,[1]LuongBC_T01!$B$9:$C$292,2,FALSE)</f>
        <v>0016100006787007</v>
      </c>
      <c r="C226" s="199" t="s">
        <v>908</v>
      </c>
      <c r="D226" s="169" t="s">
        <v>1199</v>
      </c>
      <c r="E226" s="263" t="s">
        <v>1389</v>
      </c>
      <c r="F226" s="169" t="s">
        <v>549</v>
      </c>
      <c r="G226" s="170"/>
      <c r="H226" s="170" t="s">
        <v>283</v>
      </c>
      <c r="I226" s="170" t="s">
        <v>283</v>
      </c>
      <c r="J226" s="169" t="s">
        <v>252</v>
      </c>
      <c r="K226" s="170" t="str">
        <f>VLOOKUP(D226,[2]T3!$B$2:$D$328,3,FALSE)</f>
        <v>023353491</v>
      </c>
      <c r="L226" s="171" t="s">
        <v>118</v>
      </c>
      <c r="M226" s="171" t="s">
        <v>908</v>
      </c>
      <c r="N226" s="263" t="str">
        <f>VLOOKUP(D226,'[5]Bao cao So GDDT'!$D$14:$S$282,11,FALSE)</f>
        <v>Giảng viên GDNN LT (hạng III)</v>
      </c>
      <c r="O226" s="390" t="s">
        <v>1438</v>
      </c>
      <c r="P226" s="172" t="s">
        <v>692</v>
      </c>
      <c r="Q226" s="173">
        <v>5</v>
      </c>
      <c r="R226" s="174">
        <v>4.6500000000000004</v>
      </c>
      <c r="S226" s="176">
        <f t="shared" si="187"/>
        <v>1.3680000000000001</v>
      </c>
      <c r="T226" s="370"/>
      <c r="U226" s="176">
        <f t="shared" si="190"/>
        <v>0</v>
      </c>
      <c r="V226" s="175">
        <f t="shared" si="188"/>
        <v>0</v>
      </c>
      <c r="W226" s="170">
        <v>0.45</v>
      </c>
      <c r="X226" s="179">
        <v>0.18</v>
      </c>
      <c r="Y226" s="216">
        <f t="shared" si="191"/>
        <v>0.91800000000000004</v>
      </c>
      <c r="Z226" s="216">
        <f t="shared" si="192"/>
        <v>6.0180000000000007</v>
      </c>
      <c r="AA226" s="180">
        <f t="shared" si="193"/>
        <v>10832400</v>
      </c>
      <c r="AB226" s="180"/>
      <c r="AC226" s="180">
        <f t="shared" si="194"/>
        <v>0</v>
      </c>
      <c r="AD226" s="180">
        <f t="shared" si="185"/>
        <v>0</v>
      </c>
      <c r="AE226" s="180">
        <f t="shared" si="195"/>
        <v>10832400</v>
      </c>
      <c r="AF226" s="178">
        <f t="shared" si="181"/>
        <v>866592</v>
      </c>
      <c r="AG226" s="178">
        <f t="shared" si="182"/>
        <v>162486</v>
      </c>
      <c r="AH226" s="178">
        <f t="shared" si="183"/>
        <v>108324</v>
      </c>
      <c r="AI226" s="178"/>
      <c r="AJ226" s="178">
        <f t="shared" si="196"/>
        <v>1137402</v>
      </c>
      <c r="AK226" s="672"/>
      <c r="AL226" s="182">
        <f t="shared" si="189"/>
        <v>0</v>
      </c>
      <c r="AM226" s="182"/>
      <c r="AN226" s="182"/>
      <c r="AO226" s="193">
        <f t="shared" si="184"/>
        <v>5.1000000000000005</v>
      </c>
      <c r="AP226" s="246">
        <v>0.25</v>
      </c>
      <c r="AQ226" s="194">
        <f t="shared" si="197"/>
        <v>1.2749999999999999</v>
      </c>
      <c r="AR226" s="178">
        <f t="shared" si="198"/>
        <v>2295000</v>
      </c>
      <c r="AS226" s="178"/>
      <c r="AT226" s="178">
        <f t="shared" si="199"/>
        <v>11989998</v>
      </c>
      <c r="AU226" s="469">
        <f t="shared" si="200"/>
        <v>208</v>
      </c>
      <c r="AV226" s="195"/>
      <c r="AW226" s="187" t="s">
        <v>709</v>
      </c>
    </row>
    <row r="227" spans="1:59" s="189" customFormat="1" ht="30.75" customHeight="1" x14ac:dyDescent="0.25">
      <c r="A227" s="900">
        <f t="shared" si="186"/>
        <v>209</v>
      </c>
      <c r="B227" s="168" t="str">
        <f>VLOOKUP(D227,[1]LuongBC_T01!$B$9:$C$292,2,FALSE)</f>
        <v>0016100006761008</v>
      </c>
      <c r="C227" s="199" t="s">
        <v>914</v>
      </c>
      <c r="D227" s="169" t="s">
        <v>307</v>
      </c>
      <c r="E227" s="263" t="s">
        <v>1388</v>
      </c>
      <c r="F227" s="169" t="s">
        <v>549</v>
      </c>
      <c r="G227" s="200"/>
      <c r="H227" s="200" t="s">
        <v>283</v>
      </c>
      <c r="I227" s="170" t="s">
        <v>283</v>
      </c>
      <c r="J227" s="169" t="s">
        <v>536</v>
      </c>
      <c r="K227" s="168" t="s">
        <v>1359</v>
      </c>
      <c r="L227" s="201" t="s">
        <v>686</v>
      </c>
      <c r="M227" s="201" t="s">
        <v>914</v>
      </c>
      <c r="N227" s="263" t="str">
        <f>VLOOKUP(D227,'[5]Bao cao So GDDT'!$D$14:$S$282,11,FALSE)</f>
        <v>Giảng viên GDNN LT (hạng III)</v>
      </c>
      <c r="O227" s="390" t="s">
        <v>1438</v>
      </c>
      <c r="P227" s="172" t="s">
        <v>692</v>
      </c>
      <c r="Q227" s="173">
        <v>3</v>
      </c>
      <c r="R227" s="174">
        <v>3.66</v>
      </c>
      <c r="S227" s="176">
        <f t="shared" si="187"/>
        <v>0.91139999999999999</v>
      </c>
      <c r="T227" s="370"/>
      <c r="U227" s="176">
        <f t="shared" si="190"/>
        <v>0</v>
      </c>
      <c r="V227" s="175">
        <f t="shared" si="188"/>
        <v>0</v>
      </c>
      <c r="W227" s="170">
        <v>0.35</v>
      </c>
      <c r="X227" s="179">
        <v>0.14000000000000001</v>
      </c>
      <c r="Y227" s="216">
        <f t="shared" si="191"/>
        <v>0.56140000000000001</v>
      </c>
      <c r="Z227" s="216">
        <f t="shared" si="192"/>
        <v>4.5713999999999997</v>
      </c>
      <c r="AA227" s="180">
        <f t="shared" si="193"/>
        <v>8228520</v>
      </c>
      <c r="AB227" s="180"/>
      <c r="AC227" s="180">
        <f t="shared" si="194"/>
        <v>0</v>
      </c>
      <c r="AD227" s="180">
        <f t="shared" si="185"/>
        <v>0</v>
      </c>
      <c r="AE227" s="180">
        <f t="shared" si="195"/>
        <v>8228520</v>
      </c>
      <c r="AF227" s="178">
        <f t="shared" si="181"/>
        <v>658281.6</v>
      </c>
      <c r="AG227" s="178">
        <f t="shared" si="182"/>
        <v>123427.79999999999</v>
      </c>
      <c r="AH227" s="178">
        <f t="shared" si="183"/>
        <v>82285.2</v>
      </c>
      <c r="AI227" s="178"/>
      <c r="AJ227" s="178">
        <f t="shared" si="196"/>
        <v>863994.59999999986</v>
      </c>
      <c r="AK227" s="192"/>
      <c r="AL227" s="182">
        <f t="shared" si="189"/>
        <v>0</v>
      </c>
      <c r="AM227" s="182"/>
      <c r="AN227" s="182"/>
      <c r="AO227" s="193">
        <f t="shared" si="184"/>
        <v>4.01</v>
      </c>
      <c r="AP227" s="246">
        <v>0.25</v>
      </c>
      <c r="AQ227" s="194">
        <f t="shared" si="197"/>
        <v>1.0024999999999999</v>
      </c>
      <c r="AR227" s="178">
        <f t="shared" si="198"/>
        <v>1804500</v>
      </c>
      <c r="AS227" s="178"/>
      <c r="AT227" s="178">
        <f t="shared" si="199"/>
        <v>9169025</v>
      </c>
      <c r="AU227" s="469">
        <f t="shared" si="200"/>
        <v>209</v>
      </c>
      <c r="AV227" s="195"/>
      <c r="AW227" s="198" t="s">
        <v>709</v>
      </c>
      <c r="AY227" s="671"/>
    </row>
    <row r="228" spans="1:59" s="191" customFormat="1" ht="30.75" customHeight="1" x14ac:dyDescent="0.25">
      <c r="A228" s="900">
        <f t="shared" si="186"/>
        <v>210</v>
      </c>
      <c r="B228" s="168" t="str">
        <f>VLOOKUP(D228,[1]LuongBC_T01!$B$9:$C$292,2,FALSE)</f>
        <v>0016100006779004</v>
      </c>
      <c r="C228" s="199" t="s">
        <v>919</v>
      </c>
      <c r="D228" s="169" t="s">
        <v>1204</v>
      </c>
      <c r="E228" s="263" t="s">
        <v>1556</v>
      </c>
      <c r="F228" s="169" t="s">
        <v>549</v>
      </c>
      <c r="G228" s="170"/>
      <c r="H228" s="170"/>
      <c r="I228" s="170" t="s">
        <v>283</v>
      </c>
      <c r="J228" s="169" t="s">
        <v>254</v>
      </c>
      <c r="K228" s="170" t="str">
        <f>VLOOKUP(D228,[2]T3!$B$2:$D$328,3,FALSE)</f>
        <v>023172992</v>
      </c>
      <c r="L228" s="171" t="s">
        <v>120</v>
      </c>
      <c r="M228" s="171" t="s">
        <v>919</v>
      </c>
      <c r="N228" s="263" t="str">
        <f>VLOOKUP(D228,'[5]Bao cao So GDDT'!$D$14:$S$282,11,FALSE)</f>
        <v>Giảng viên GDNN LT (hạng III)</v>
      </c>
      <c r="O228" s="390" t="s">
        <v>1438</v>
      </c>
      <c r="P228" s="172" t="s">
        <v>692</v>
      </c>
      <c r="Q228" s="173">
        <v>5</v>
      </c>
      <c r="R228" s="174">
        <v>4.6500000000000004</v>
      </c>
      <c r="S228" s="176">
        <f t="shared" si="187"/>
        <v>1.1320000000000001</v>
      </c>
      <c r="T228" s="370"/>
      <c r="U228" s="176">
        <f t="shared" si="190"/>
        <v>0</v>
      </c>
      <c r="V228" s="175">
        <f t="shared" si="188"/>
        <v>0</v>
      </c>
      <c r="W228" s="170">
        <v>0.25</v>
      </c>
      <c r="X228" s="179">
        <v>0.18</v>
      </c>
      <c r="Y228" s="216">
        <f t="shared" si="191"/>
        <v>0.88200000000000001</v>
      </c>
      <c r="Z228" s="216">
        <f t="shared" si="192"/>
        <v>5.782</v>
      </c>
      <c r="AA228" s="180">
        <f t="shared" si="193"/>
        <v>10407600</v>
      </c>
      <c r="AB228" s="180"/>
      <c r="AC228" s="180">
        <f t="shared" si="194"/>
        <v>0</v>
      </c>
      <c r="AD228" s="180">
        <f t="shared" si="185"/>
        <v>0</v>
      </c>
      <c r="AE228" s="180">
        <f t="shared" si="195"/>
        <v>10407600</v>
      </c>
      <c r="AF228" s="178">
        <f t="shared" si="181"/>
        <v>832608</v>
      </c>
      <c r="AG228" s="178">
        <f t="shared" si="182"/>
        <v>156114</v>
      </c>
      <c r="AH228" s="178">
        <f t="shared" si="183"/>
        <v>104076</v>
      </c>
      <c r="AI228" s="178"/>
      <c r="AJ228" s="178">
        <f t="shared" si="196"/>
        <v>1092798</v>
      </c>
      <c r="AK228" s="181"/>
      <c r="AL228" s="182">
        <f t="shared" si="189"/>
        <v>0</v>
      </c>
      <c r="AM228" s="182"/>
      <c r="AN228" s="182"/>
      <c r="AO228" s="193">
        <f t="shared" si="184"/>
        <v>4.9000000000000004</v>
      </c>
      <c r="AP228" s="246">
        <v>0.25</v>
      </c>
      <c r="AQ228" s="194">
        <f t="shared" si="197"/>
        <v>1.2250000000000001</v>
      </c>
      <c r="AR228" s="178">
        <f t="shared" si="198"/>
        <v>2205000</v>
      </c>
      <c r="AS228" s="178"/>
      <c r="AT228" s="178">
        <f t="shared" si="199"/>
        <v>11519802</v>
      </c>
      <c r="AU228" s="469">
        <f t="shared" si="200"/>
        <v>210</v>
      </c>
      <c r="AV228" s="195"/>
      <c r="AW228" s="223" t="s">
        <v>709</v>
      </c>
    </row>
    <row r="229" spans="1:59" s="189" customFormat="1" ht="30.75" customHeight="1" x14ac:dyDescent="0.25">
      <c r="A229" s="900">
        <f t="shared" si="186"/>
        <v>211</v>
      </c>
      <c r="B229" s="168" t="str">
        <f>VLOOKUP(D229,[1]LuongBC_T01!$B$9:$C$292,2,FALSE)</f>
        <v>0016100006800003</v>
      </c>
      <c r="C229" s="199" t="s">
        <v>928</v>
      </c>
      <c r="D229" s="230" t="s">
        <v>1063</v>
      </c>
      <c r="E229" s="263" t="s">
        <v>1424</v>
      </c>
      <c r="F229" s="231"/>
      <c r="G229" s="231"/>
      <c r="H229" s="231"/>
      <c r="I229" s="231"/>
      <c r="J229" s="231"/>
      <c r="K229" s="168" t="s">
        <v>1360</v>
      </c>
      <c r="L229" s="544" t="s">
        <v>742</v>
      </c>
      <c r="M229" s="544" t="s">
        <v>928</v>
      </c>
      <c r="N229" s="263" t="str">
        <f>VLOOKUP(D229,'[5]Bao cao So GDDT'!$D$14:$S$282,11,FALSE)</f>
        <v>Giảng viên GDNN LT (hạng III)</v>
      </c>
      <c r="O229" s="390" t="s">
        <v>1438</v>
      </c>
      <c r="P229" s="170" t="s">
        <v>692</v>
      </c>
      <c r="Q229" s="170">
        <v>2</v>
      </c>
      <c r="R229" s="177">
        <v>3.33</v>
      </c>
      <c r="S229" s="176">
        <f t="shared" si="187"/>
        <v>0.60799999999999998</v>
      </c>
      <c r="T229" s="169"/>
      <c r="U229" s="176">
        <f t="shared" si="190"/>
        <v>0</v>
      </c>
      <c r="V229" s="175">
        <f t="shared" si="188"/>
        <v>0</v>
      </c>
      <c r="W229" s="170">
        <v>0.25</v>
      </c>
      <c r="X229" s="179">
        <v>0.1</v>
      </c>
      <c r="Y229" s="216">
        <f t="shared" si="191"/>
        <v>0.35799999999999998</v>
      </c>
      <c r="Z229" s="216">
        <f t="shared" si="192"/>
        <v>3.9380000000000002</v>
      </c>
      <c r="AA229" s="180">
        <f t="shared" si="193"/>
        <v>7088400</v>
      </c>
      <c r="AB229" s="180"/>
      <c r="AC229" s="180">
        <f t="shared" si="194"/>
        <v>0</v>
      </c>
      <c r="AD229" s="180">
        <f t="shared" si="185"/>
        <v>0</v>
      </c>
      <c r="AE229" s="180">
        <f t="shared" si="195"/>
        <v>7088400</v>
      </c>
      <c r="AF229" s="178">
        <f t="shared" si="181"/>
        <v>567072</v>
      </c>
      <c r="AG229" s="178">
        <f t="shared" si="182"/>
        <v>106326</v>
      </c>
      <c r="AH229" s="178">
        <f t="shared" si="183"/>
        <v>70884</v>
      </c>
      <c r="AI229" s="178"/>
      <c r="AJ229" s="178">
        <f t="shared" si="196"/>
        <v>744282</v>
      </c>
      <c r="AK229" s="192"/>
      <c r="AL229" s="182">
        <f t="shared" si="189"/>
        <v>0</v>
      </c>
      <c r="AM229" s="182"/>
      <c r="AN229" s="182"/>
      <c r="AO229" s="183">
        <f t="shared" si="184"/>
        <v>3.58</v>
      </c>
      <c r="AP229" s="246">
        <v>0.25</v>
      </c>
      <c r="AQ229" s="194">
        <f t="shared" si="197"/>
        <v>0.89500000000000002</v>
      </c>
      <c r="AR229" s="178">
        <f t="shared" si="198"/>
        <v>1611000</v>
      </c>
      <c r="AS229" s="178"/>
      <c r="AT229" s="178">
        <f t="shared" si="199"/>
        <v>7955118</v>
      </c>
      <c r="AU229" s="469">
        <f t="shared" si="200"/>
        <v>211</v>
      </c>
      <c r="AV229" s="186"/>
      <c r="AW229" s="198" t="s">
        <v>709</v>
      </c>
    </row>
    <row r="230" spans="1:59" s="191" customFormat="1" ht="30.75" customHeight="1" x14ac:dyDescent="0.25">
      <c r="A230" s="900">
        <f t="shared" si="186"/>
        <v>212</v>
      </c>
      <c r="B230" s="168" t="str">
        <f>VLOOKUP(D230,[1]LuongBC_T01!$B$9:$C$292,2,FALSE)</f>
        <v>0016100006794003</v>
      </c>
      <c r="C230" s="199" t="s">
        <v>954</v>
      </c>
      <c r="D230" s="169" t="s">
        <v>1218</v>
      </c>
      <c r="E230" s="263" t="s">
        <v>1374</v>
      </c>
      <c r="F230" s="169" t="s">
        <v>549</v>
      </c>
      <c r="G230" s="170"/>
      <c r="H230" s="170" t="s">
        <v>283</v>
      </c>
      <c r="I230" s="170" t="s">
        <v>283</v>
      </c>
      <c r="J230" s="169" t="s">
        <v>253</v>
      </c>
      <c r="K230" s="170" t="str">
        <f>VLOOKUP(D230,[2]T3!$B$2:$D$328,3,FALSE)</f>
        <v>024252246</v>
      </c>
      <c r="L230" s="171" t="s">
        <v>119</v>
      </c>
      <c r="M230" s="171" t="s">
        <v>954</v>
      </c>
      <c r="N230" s="263" t="str">
        <f>VLOOKUP(D230,'[5]Bao cao So GDDT'!$D$14:$S$282,11,FALSE)</f>
        <v>Giảng viên GDNN LT (hạng III)</v>
      </c>
      <c r="O230" s="390" t="s">
        <v>1438</v>
      </c>
      <c r="P230" s="172" t="s">
        <v>692</v>
      </c>
      <c r="Q230" s="173">
        <v>5</v>
      </c>
      <c r="R230" s="174">
        <v>4.32</v>
      </c>
      <c r="S230" s="176">
        <f t="shared" si="187"/>
        <v>0.77759999999999996</v>
      </c>
      <c r="T230" s="370"/>
      <c r="U230" s="176">
        <f t="shared" si="190"/>
        <v>0</v>
      </c>
      <c r="V230" s="175">
        <f t="shared" si="188"/>
        <v>0</v>
      </c>
      <c r="W230" s="200"/>
      <c r="X230" s="179">
        <v>0.18</v>
      </c>
      <c r="Y230" s="216">
        <f t="shared" si="191"/>
        <v>0.77759999999999996</v>
      </c>
      <c r="Z230" s="216">
        <f t="shared" si="192"/>
        <v>5.0975999999999999</v>
      </c>
      <c r="AA230" s="180">
        <f t="shared" si="193"/>
        <v>9175680</v>
      </c>
      <c r="AB230" s="180"/>
      <c r="AC230" s="180">
        <f t="shared" si="194"/>
        <v>0</v>
      </c>
      <c r="AD230" s="180">
        <f t="shared" si="185"/>
        <v>0</v>
      </c>
      <c r="AE230" s="180">
        <f t="shared" si="195"/>
        <v>9175680</v>
      </c>
      <c r="AF230" s="178">
        <f t="shared" si="181"/>
        <v>734054.40000000002</v>
      </c>
      <c r="AG230" s="178">
        <f t="shared" si="182"/>
        <v>137635.19999999998</v>
      </c>
      <c r="AH230" s="178">
        <f t="shared" si="183"/>
        <v>91756.800000000003</v>
      </c>
      <c r="AI230" s="178"/>
      <c r="AJ230" s="178">
        <f t="shared" si="196"/>
        <v>963446.4</v>
      </c>
      <c r="AK230" s="181"/>
      <c r="AL230" s="182">
        <f t="shared" si="189"/>
        <v>0</v>
      </c>
      <c r="AM230" s="182"/>
      <c r="AN230" s="182"/>
      <c r="AO230" s="193">
        <f t="shared" si="184"/>
        <v>4.32</v>
      </c>
      <c r="AP230" s="246">
        <v>0.25</v>
      </c>
      <c r="AQ230" s="194">
        <f t="shared" si="197"/>
        <v>1.08</v>
      </c>
      <c r="AR230" s="178">
        <f t="shared" si="198"/>
        <v>1944000</v>
      </c>
      <c r="AS230" s="178"/>
      <c r="AT230" s="178">
        <f t="shared" si="199"/>
        <v>10156234</v>
      </c>
      <c r="AU230" s="469">
        <f t="shared" si="200"/>
        <v>212</v>
      </c>
      <c r="AV230" s="186"/>
      <c r="AW230" s="187" t="s">
        <v>709</v>
      </c>
    </row>
    <row r="231" spans="1:59" s="189" customFormat="1" ht="30.75" customHeight="1" x14ac:dyDescent="0.25">
      <c r="A231" s="900">
        <f t="shared" si="186"/>
        <v>213</v>
      </c>
      <c r="B231" s="168" t="str">
        <f>VLOOKUP(D231,[1]LuongBC_T01!$B$9:$C$292,2,FALSE)</f>
        <v>0016100006752009</v>
      </c>
      <c r="C231" s="199" t="s">
        <v>863</v>
      </c>
      <c r="D231" s="169" t="s">
        <v>64</v>
      </c>
      <c r="E231" s="263" t="s">
        <v>1374</v>
      </c>
      <c r="F231" s="169" t="s">
        <v>549</v>
      </c>
      <c r="G231" s="200"/>
      <c r="H231" s="200" t="s">
        <v>283</v>
      </c>
      <c r="I231" s="170" t="s">
        <v>283</v>
      </c>
      <c r="J231" s="169" t="s">
        <v>247</v>
      </c>
      <c r="K231" s="168" t="s">
        <v>1364</v>
      </c>
      <c r="L231" s="171" t="s">
        <v>147</v>
      </c>
      <c r="M231" s="171" t="s">
        <v>863</v>
      </c>
      <c r="N231" s="263" t="str">
        <f>VLOOKUP(D231,'[5]Bao cao So GDDT'!$D$14:$S$282,11,FALSE)</f>
        <v>Giảng viên GDNN LT (hạng III)</v>
      </c>
      <c r="O231" s="390" t="s">
        <v>1438</v>
      </c>
      <c r="P231" s="172" t="s">
        <v>692</v>
      </c>
      <c r="Q231" s="173">
        <v>4</v>
      </c>
      <c r="R231" s="174">
        <v>3.99</v>
      </c>
      <c r="S231" s="176">
        <f t="shared" si="187"/>
        <v>0.59850000000000003</v>
      </c>
      <c r="T231" s="370"/>
      <c r="U231" s="176">
        <f t="shared" si="190"/>
        <v>0</v>
      </c>
      <c r="V231" s="175">
        <f t="shared" si="188"/>
        <v>0</v>
      </c>
      <c r="W231" s="170"/>
      <c r="X231" s="179">
        <v>0.15</v>
      </c>
      <c r="Y231" s="216">
        <f t="shared" si="191"/>
        <v>0.59850000000000003</v>
      </c>
      <c r="Z231" s="216">
        <f t="shared" si="192"/>
        <v>4.5884999999999998</v>
      </c>
      <c r="AA231" s="180">
        <f t="shared" si="193"/>
        <v>8259300</v>
      </c>
      <c r="AB231" s="180"/>
      <c r="AC231" s="180">
        <f t="shared" si="194"/>
        <v>0</v>
      </c>
      <c r="AD231" s="180">
        <f t="shared" si="185"/>
        <v>0</v>
      </c>
      <c r="AE231" s="180">
        <f t="shared" si="195"/>
        <v>8259300</v>
      </c>
      <c r="AF231" s="178">
        <f t="shared" si="181"/>
        <v>660744</v>
      </c>
      <c r="AG231" s="178">
        <f t="shared" si="182"/>
        <v>123889.5</v>
      </c>
      <c r="AH231" s="178">
        <f t="shared" si="183"/>
        <v>82593</v>
      </c>
      <c r="AI231" s="178"/>
      <c r="AJ231" s="178">
        <f t="shared" si="196"/>
        <v>867226.5</v>
      </c>
      <c r="AK231" s="192"/>
      <c r="AL231" s="182">
        <f t="shared" si="189"/>
        <v>0</v>
      </c>
      <c r="AM231" s="182"/>
      <c r="AN231" s="182"/>
      <c r="AO231" s="193">
        <f t="shared" si="184"/>
        <v>3.99</v>
      </c>
      <c r="AP231" s="246">
        <v>0.25</v>
      </c>
      <c r="AQ231" s="194">
        <f t="shared" si="197"/>
        <v>0.99750000000000005</v>
      </c>
      <c r="AR231" s="178">
        <f t="shared" si="198"/>
        <v>1795500</v>
      </c>
      <c r="AS231" s="178"/>
      <c r="AT231" s="178">
        <f t="shared" si="199"/>
        <v>9187574</v>
      </c>
      <c r="AU231" s="469">
        <f t="shared" si="200"/>
        <v>213</v>
      </c>
      <c r="AV231" s="186"/>
      <c r="AW231" s="187" t="s">
        <v>709</v>
      </c>
    </row>
    <row r="232" spans="1:59" s="189" customFormat="1" ht="30.75" customHeight="1" x14ac:dyDescent="0.25">
      <c r="A232" s="900">
        <f t="shared" si="186"/>
        <v>214</v>
      </c>
      <c r="B232" s="168" t="str">
        <f>VLOOKUP(D232,[1]LuongBC_T01!$B$9:$C$292,2,FALSE)</f>
        <v>0016100006793007</v>
      </c>
      <c r="C232" s="199" t="s">
        <v>978</v>
      </c>
      <c r="D232" s="169" t="s">
        <v>300</v>
      </c>
      <c r="E232" s="263" t="s">
        <v>1374</v>
      </c>
      <c r="F232" s="169" t="s">
        <v>549</v>
      </c>
      <c r="G232" s="200" t="s">
        <v>25</v>
      </c>
      <c r="H232" s="200" t="s">
        <v>283</v>
      </c>
      <c r="I232" s="170" t="s">
        <v>283</v>
      </c>
      <c r="J232" s="169" t="s">
        <v>530</v>
      </c>
      <c r="K232" s="170" t="str">
        <f>VLOOKUP(D232,[2]T3!$B$2:$D$328,3,FALSE)</f>
        <v>024799248</v>
      </c>
      <c r="L232" s="171" t="s">
        <v>330</v>
      </c>
      <c r="M232" s="171" t="s">
        <v>978</v>
      </c>
      <c r="N232" s="263" t="str">
        <f>VLOOKUP(D232,'[5]Bao cao So GDDT'!$D$14:$S$282,11,FALSE)</f>
        <v>Giảng viên GDNN LT (hạng III)</v>
      </c>
      <c r="O232" s="390" t="s">
        <v>1438</v>
      </c>
      <c r="P232" s="172" t="s">
        <v>692</v>
      </c>
      <c r="Q232" s="173">
        <v>3</v>
      </c>
      <c r="R232" s="174">
        <v>3.66</v>
      </c>
      <c r="S232" s="176">
        <f t="shared" si="187"/>
        <v>0.51239999999999997</v>
      </c>
      <c r="T232" s="370"/>
      <c r="U232" s="176">
        <f t="shared" si="190"/>
        <v>0</v>
      </c>
      <c r="V232" s="175">
        <f t="shared" si="188"/>
        <v>0</v>
      </c>
      <c r="W232" s="170"/>
      <c r="X232" s="179">
        <v>0.14000000000000001</v>
      </c>
      <c r="Y232" s="216">
        <f t="shared" si="191"/>
        <v>0.51239999999999997</v>
      </c>
      <c r="Z232" s="216">
        <f t="shared" si="192"/>
        <v>4.1723999999999997</v>
      </c>
      <c r="AA232" s="180">
        <f t="shared" si="193"/>
        <v>7510320</v>
      </c>
      <c r="AB232" s="180"/>
      <c r="AC232" s="180">
        <f t="shared" si="194"/>
        <v>0</v>
      </c>
      <c r="AD232" s="180">
        <f t="shared" si="185"/>
        <v>0</v>
      </c>
      <c r="AE232" s="180">
        <f t="shared" si="195"/>
        <v>7510320</v>
      </c>
      <c r="AF232" s="178">
        <f t="shared" si="181"/>
        <v>600825.59999999998</v>
      </c>
      <c r="AG232" s="178">
        <f t="shared" si="182"/>
        <v>112654.8</v>
      </c>
      <c r="AH232" s="178">
        <f t="shared" si="183"/>
        <v>75103.199999999997</v>
      </c>
      <c r="AI232" s="178"/>
      <c r="AJ232" s="178">
        <f t="shared" si="196"/>
        <v>788583.6</v>
      </c>
      <c r="AK232" s="192"/>
      <c r="AL232" s="182">
        <f t="shared" si="189"/>
        <v>0</v>
      </c>
      <c r="AM232" s="182"/>
      <c r="AN232" s="182"/>
      <c r="AO232" s="193">
        <f t="shared" si="184"/>
        <v>3.66</v>
      </c>
      <c r="AP232" s="246">
        <v>0.25</v>
      </c>
      <c r="AQ232" s="194">
        <f t="shared" si="197"/>
        <v>0.91500000000000004</v>
      </c>
      <c r="AR232" s="178">
        <f t="shared" si="198"/>
        <v>1647000</v>
      </c>
      <c r="AS232" s="178"/>
      <c r="AT232" s="178">
        <f t="shared" si="199"/>
        <v>8368736</v>
      </c>
      <c r="AU232" s="469">
        <f t="shared" si="200"/>
        <v>214</v>
      </c>
      <c r="AV232" s="195"/>
      <c r="AW232" s="198" t="s">
        <v>709</v>
      </c>
    </row>
    <row r="233" spans="1:59" s="189" customFormat="1" ht="30.75" customHeight="1" x14ac:dyDescent="0.25">
      <c r="A233" s="900">
        <f t="shared" si="186"/>
        <v>215</v>
      </c>
      <c r="B233" s="168" t="str">
        <f>VLOOKUP(D233,[1]LuongBC_T01!$B$9:$C$292,2,FALSE)</f>
        <v>0016100006786008</v>
      </c>
      <c r="C233" s="199" t="s">
        <v>991</v>
      </c>
      <c r="D233" s="169" t="s">
        <v>1225</v>
      </c>
      <c r="E233" s="263" t="s">
        <v>1374</v>
      </c>
      <c r="F233" s="169" t="s">
        <v>549</v>
      </c>
      <c r="G233" s="200"/>
      <c r="H233" s="200" t="s">
        <v>283</v>
      </c>
      <c r="I233" s="200" t="s">
        <v>283</v>
      </c>
      <c r="J233" s="200" t="s">
        <v>583</v>
      </c>
      <c r="K233" s="170" t="str">
        <f>VLOOKUP(D233,[2]T3!$B$2:$D$328,3,FALSE)</f>
        <v>024436109</v>
      </c>
      <c r="L233" s="201" t="s">
        <v>605</v>
      </c>
      <c r="M233" s="201" t="s">
        <v>991</v>
      </c>
      <c r="N233" s="263" t="str">
        <f>VLOOKUP(D233,'[5]Bao cao So GDDT'!$D$14:$S$282,11,FALSE)</f>
        <v>Giảng viên GDNN LT (hạng III)</v>
      </c>
      <c r="O233" s="392" t="s">
        <v>1438</v>
      </c>
      <c r="P233" s="170" t="s">
        <v>692</v>
      </c>
      <c r="Q233" s="170">
        <v>3</v>
      </c>
      <c r="R233" s="177">
        <v>3.66</v>
      </c>
      <c r="S233" s="176">
        <f t="shared" si="187"/>
        <v>0.4758</v>
      </c>
      <c r="T233" s="220"/>
      <c r="U233" s="176">
        <f t="shared" si="190"/>
        <v>0</v>
      </c>
      <c r="V233" s="175">
        <f t="shared" si="188"/>
        <v>0</v>
      </c>
      <c r="W233" s="170"/>
      <c r="X233" s="179">
        <v>0.13</v>
      </c>
      <c r="Y233" s="216">
        <f t="shared" si="191"/>
        <v>0.4758</v>
      </c>
      <c r="Z233" s="216">
        <f t="shared" si="192"/>
        <v>4.1357999999999997</v>
      </c>
      <c r="AA233" s="180">
        <f t="shared" si="193"/>
        <v>7444440</v>
      </c>
      <c r="AB233" s="180"/>
      <c r="AC233" s="180">
        <f t="shared" si="194"/>
        <v>0</v>
      </c>
      <c r="AD233" s="180">
        <f t="shared" si="185"/>
        <v>0</v>
      </c>
      <c r="AE233" s="180">
        <f t="shared" si="195"/>
        <v>7444440</v>
      </c>
      <c r="AF233" s="178">
        <f t="shared" si="181"/>
        <v>595555.20000000007</v>
      </c>
      <c r="AG233" s="178">
        <f t="shared" si="182"/>
        <v>111666.59999999999</v>
      </c>
      <c r="AH233" s="178">
        <f t="shared" si="183"/>
        <v>74444.400000000009</v>
      </c>
      <c r="AI233" s="178"/>
      <c r="AJ233" s="178">
        <f t="shared" si="196"/>
        <v>781666.20000000007</v>
      </c>
      <c r="AK233" s="192"/>
      <c r="AL233" s="182">
        <f t="shared" si="189"/>
        <v>0</v>
      </c>
      <c r="AM233" s="182"/>
      <c r="AN233" s="182"/>
      <c r="AO233" s="193">
        <f t="shared" si="184"/>
        <v>3.66</v>
      </c>
      <c r="AP233" s="246">
        <v>0.25</v>
      </c>
      <c r="AQ233" s="194">
        <f t="shared" si="197"/>
        <v>0.91500000000000004</v>
      </c>
      <c r="AR233" s="178">
        <f t="shared" si="198"/>
        <v>1647000</v>
      </c>
      <c r="AS233" s="178"/>
      <c r="AT233" s="178">
        <f t="shared" si="199"/>
        <v>8309774</v>
      </c>
      <c r="AU233" s="469">
        <f t="shared" si="200"/>
        <v>215</v>
      </c>
      <c r="AV233" s="186"/>
      <c r="AW233" s="198" t="s">
        <v>709</v>
      </c>
    </row>
    <row r="234" spans="1:59" s="189" customFormat="1" ht="30.75" customHeight="1" x14ac:dyDescent="0.25">
      <c r="A234" s="900">
        <f t="shared" si="186"/>
        <v>216</v>
      </c>
      <c r="B234" s="168" t="str">
        <f>VLOOKUP(D234,[1]LuongBC_T01!$B$9:$C$292,2,FALSE)</f>
        <v>0016100006788003</v>
      </c>
      <c r="C234" s="199" t="s">
        <v>997</v>
      </c>
      <c r="D234" s="169" t="s">
        <v>1229</v>
      </c>
      <c r="E234" s="263" t="s">
        <v>1374</v>
      </c>
      <c r="F234" s="169" t="s">
        <v>549</v>
      </c>
      <c r="G234" s="200"/>
      <c r="H234" s="200" t="s">
        <v>283</v>
      </c>
      <c r="I234" s="200" t="s">
        <v>283</v>
      </c>
      <c r="J234" s="200" t="s">
        <v>591</v>
      </c>
      <c r="K234" s="170" t="str">
        <f>VLOOKUP(D234,[2]T3!$B$2:$D$328,3,FALSE)</f>
        <v>022939793</v>
      </c>
      <c r="L234" s="201" t="s">
        <v>613</v>
      </c>
      <c r="M234" s="201" t="s">
        <v>997</v>
      </c>
      <c r="N234" s="263" t="str">
        <f>VLOOKUP(D234,'[5]Bao cao So GDDT'!$D$14:$S$282,11,FALSE)</f>
        <v>Giảng viên GDNN LT (hạng III)</v>
      </c>
      <c r="O234" s="392" t="s">
        <v>1438</v>
      </c>
      <c r="P234" s="170" t="s">
        <v>692</v>
      </c>
      <c r="Q234" s="170">
        <v>3</v>
      </c>
      <c r="R234" s="177">
        <v>3.66</v>
      </c>
      <c r="S234" s="176">
        <f t="shared" si="187"/>
        <v>0.4758</v>
      </c>
      <c r="T234" s="220"/>
      <c r="U234" s="176">
        <f t="shared" si="190"/>
        <v>0</v>
      </c>
      <c r="V234" s="175">
        <f t="shared" si="188"/>
        <v>0</v>
      </c>
      <c r="W234" s="170"/>
      <c r="X234" s="179">
        <v>0.13</v>
      </c>
      <c r="Y234" s="216">
        <f t="shared" si="191"/>
        <v>0.4758</v>
      </c>
      <c r="Z234" s="216">
        <f t="shared" si="192"/>
        <v>4.1357999999999997</v>
      </c>
      <c r="AA234" s="180">
        <f t="shared" si="193"/>
        <v>7444440</v>
      </c>
      <c r="AB234" s="180"/>
      <c r="AC234" s="180">
        <f t="shared" si="194"/>
        <v>0</v>
      </c>
      <c r="AD234" s="180">
        <f t="shared" si="185"/>
        <v>0</v>
      </c>
      <c r="AE234" s="180">
        <f t="shared" si="195"/>
        <v>7444440</v>
      </c>
      <c r="AF234" s="178">
        <f t="shared" si="181"/>
        <v>595555.20000000007</v>
      </c>
      <c r="AG234" s="178">
        <f t="shared" si="182"/>
        <v>111666.59999999999</v>
      </c>
      <c r="AH234" s="178">
        <f t="shared" si="183"/>
        <v>74444.400000000009</v>
      </c>
      <c r="AI234" s="178"/>
      <c r="AJ234" s="178">
        <f t="shared" si="196"/>
        <v>781666.20000000007</v>
      </c>
      <c r="AK234" s="192"/>
      <c r="AL234" s="182">
        <f t="shared" si="189"/>
        <v>0</v>
      </c>
      <c r="AM234" s="182"/>
      <c r="AN234" s="182"/>
      <c r="AO234" s="193">
        <f t="shared" si="184"/>
        <v>3.66</v>
      </c>
      <c r="AP234" s="246">
        <v>0.25</v>
      </c>
      <c r="AQ234" s="194">
        <f t="shared" si="197"/>
        <v>0.91500000000000004</v>
      </c>
      <c r="AR234" s="178">
        <f t="shared" si="198"/>
        <v>1647000</v>
      </c>
      <c r="AS234" s="178"/>
      <c r="AT234" s="178">
        <f t="shared" si="199"/>
        <v>8309774</v>
      </c>
      <c r="AU234" s="469">
        <f t="shared" si="200"/>
        <v>216</v>
      </c>
      <c r="AV234" s="186"/>
      <c r="AW234" s="187" t="s">
        <v>709</v>
      </c>
    </row>
    <row r="235" spans="1:59" s="189" customFormat="1" ht="30.75" customHeight="1" x14ac:dyDescent="0.25">
      <c r="A235" s="900">
        <f t="shared" si="186"/>
        <v>217</v>
      </c>
      <c r="B235" s="168" t="s">
        <v>1428</v>
      </c>
      <c r="C235" s="199" t="s">
        <v>990</v>
      </c>
      <c r="D235" s="169" t="s">
        <v>1201</v>
      </c>
      <c r="E235" s="263" t="s">
        <v>1374</v>
      </c>
      <c r="F235" s="169" t="s">
        <v>549</v>
      </c>
      <c r="G235" s="200"/>
      <c r="H235" s="200" t="s">
        <v>283</v>
      </c>
      <c r="I235" s="200" t="s">
        <v>283</v>
      </c>
      <c r="J235" s="200" t="s">
        <v>582</v>
      </c>
      <c r="K235" s="168" t="s">
        <v>1363</v>
      </c>
      <c r="L235" s="201" t="s">
        <v>604</v>
      </c>
      <c r="M235" s="201" t="s">
        <v>990</v>
      </c>
      <c r="N235" s="263" t="str">
        <f>VLOOKUP(D235,'[5]Bao cao So GDDT'!$D$14:$S$282,11,FALSE)</f>
        <v>Giảng viên GDNN LT (hạng III)</v>
      </c>
      <c r="O235" s="392" t="s">
        <v>1438</v>
      </c>
      <c r="P235" s="170" t="s">
        <v>692</v>
      </c>
      <c r="Q235" s="170">
        <v>3</v>
      </c>
      <c r="R235" s="177">
        <v>3.66</v>
      </c>
      <c r="S235" s="176">
        <f t="shared" si="187"/>
        <v>0.4758</v>
      </c>
      <c r="T235" s="220"/>
      <c r="U235" s="176">
        <f t="shared" si="190"/>
        <v>0</v>
      </c>
      <c r="V235" s="175">
        <f t="shared" si="188"/>
        <v>0</v>
      </c>
      <c r="W235" s="170"/>
      <c r="X235" s="179">
        <v>0.13</v>
      </c>
      <c r="Y235" s="216">
        <f t="shared" si="191"/>
        <v>0.4758</v>
      </c>
      <c r="Z235" s="216">
        <f t="shared" si="192"/>
        <v>4.1357999999999997</v>
      </c>
      <c r="AA235" s="180">
        <f t="shared" si="193"/>
        <v>7444440</v>
      </c>
      <c r="AB235" s="180"/>
      <c r="AC235" s="180">
        <f t="shared" si="194"/>
        <v>0</v>
      </c>
      <c r="AD235" s="180">
        <f t="shared" si="185"/>
        <v>0</v>
      </c>
      <c r="AE235" s="180">
        <f t="shared" si="195"/>
        <v>7444440</v>
      </c>
      <c r="AF235" s="178">
        <f t="shared" si="181"/>
        <v>595555.20000000007</v>
      </c>
      <c r="AG235" s="178">
        <f t="shared" si="182"/>
        <v>111666.59999999999</v>
      </c>
      <c r="AH235" s="178">
        <f t="shared" si="183"/>
        <v>74444.400000000009</v>
      </c>
      <c r="AI235" s="178"/>
      <c r="AJ235" s="178">
        <f t="shared" si="196"/>
        <v>781666.20000000007</v>
      </c>
      <c r="AK235" s="192"/>
      <c r="AL235" s="182">
        <f t="shared" si="189"/>
        <v>0</v>
      </c>
      <c r="AM235" s="182"/>
      <c r="AN235" s="182"/>
      <c r="AO235" s="193">
        <f t="shared" si="184"/>
        <v>3.66</v>
      </c>
      <c r="AP235" s="246">
        <v>0.25</v>
      </c>
      <c r="AQ235" s="194">
        <f t="shared" si="197"/>
        <v>0.91500000000000004</v>
      </c>
      <c r="AR235" s="178">
        <f t="shared" si="198"/>
        <v>1647000</v>
      </c>
      <c r="AS235" s="178"/>
      <c r="AT235" s="178">
        <f t="shared" si="199"/>
        <v>8309774</v>
      </c>
      <c r="AU235" s="469">
        <f t="shared" si="200"/>
        <v>217</v>
      </c>
      <c r="AV235" s="186"/>
      <c r="AW235" s="198" t="s">
        <v>709</v>
      </c>
    </row>
    <row r="236" spans="1:59" s="189" customFormat="1" ht="30.75" customHeight="1" x14ac:dyDescent="0.25">
      <c r="A236" s="900">
        <f t="shared" si="186"/>
        <v>218</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263" t="str">
        <f>VLOOKUP(D236,'[5]Bao cao So GDDT'!$D$14:$S$282,11,FALSE)</f>
        <v>Giảng viên GDNN LT (hạng III)</v>
      </c>
      <c r="O236" s="390" t="s">
        <v>1438</v>
      </c>
      <c r="P236" s="222" t="s">
        <v>692</v>
      </c>
      <c r="Q236" s="172">
        <v>3</v>
      </c>
      <c r="R236" s="430">
        <v>3.66</v>
      </c>
      <c r="S236" s="176">
        <f t="shared" si="187"/>
        <v>0.43919999999999998</v>
      </c>
      <c r="T236" s="220"/>
      <c r="U236" s="176">
        <f t="shared" si="190"/>
        <v>0</v>
      </c>
      <c r="V236" s="175">
        <f t="shared" si="188"/>
        <v>0</v>
      </c>
      <c r="W236" s="170"/>
      <c r="X236" s="179">
        <v>0.12</v>
      </c>
      <c r="Y236" s="216">
        <f t="shared" si="191"/>
        <v>0.43919999999999998</v>
      </c>
      <c r="Z236" s="216">
        <f t="shared" si="192"/>
        <v>4.0991999999999997</v>
      </c>
      <c r="AA236" s="180">
        <f t="shared" si="193"/>
        <v>7378560</v>
      </c>
      <c r="AB236" s="180"/>
      <c r="AC236" s="180">
        <f t="shared" si="194"/>
        <v>0</v>
      </c>
      <c r="AD236" s="180">
        <v>0</v>
      </c>
      <c r="AE236" s="180">
        <f t="shared" si="195"/>
        <v>7378560</v>
      </c>
      <c r="AF236" s="178">
        <f t="shared" si="181"/>
        <v>590284.80000000005</v>
      </c>
      <c r="AG236" s="178">
        <f t="shared" si="182"/>
        <v>110678.39999999999</v>
      </c>
      <c r="AH236" s="178">
        <f t="shared" si="183"/>
        <v>73785.600000000006</v>
      </c>
      <c r="AI236" s="178"/>
      <c r="AJ236" s="178">
        <f t="shared" si="196"/>
        <v>774748.8</v>
      </c>
      <c r="AK236" s="192"/>
      <c r="AL236" s="182">
        <f t="shared" si="189"/>
        <v>0</v>
      </c>
      <c r="AM236" s="182"/>
      <c r="AN236" s="182"/>
      <c r="AO236" s="193">
        <f t="shared" si="184"/>
        <v>3.66</v>
      </c>
      <c r="AP236" s="246">
        <v>0.25</v>
      </c>
      <c r="AQ236" s="194">
        <f t="shared" si="197"/>
        <v>0.91500000000000004</v>
      </c>
      <c r="AR236" s="178">
        <f t="shared" si="198"/>
        <v>1647000</v>
      </c>
      <c r="AS236" s="178"/>
      <c r="AT236" s="178">
        <f t="shared" si="199"/>
        <v>8250811</v>
      </c>
      <c r="AU236" s="469">
        <f t="shared" si="200"/>
        <v>218</v>
      </c>
      <c r="AV236" s="195"/>
      <c r="AW236" s="252" t="s">
        <v>709</v>
      </c>
    </row>
    <row r="237" spans="1:59" s="189" customFormat="1" ht="30.75" customHeight="1" x14ac:dyDescent="0.25">
      <c r="A237" s="900">
        <f t="shared" si="186"/>
        <v>219</v>
      </c>
      <c r="B237" s="168" t="str">
        <f>VLOOKUP(D237,[1]LuongBC_T01!$B$9:$C$292,2,FALSE)</f>
        <v>0016100006757008</v>
      </c>
      <c r="C237" s="199" t="s">
        <v>999</v>
      </c>
      <c r="D237" s="230" t="s">
        <v>558</v>
      </c>
      <c r="E237" s="263" t="s">
        <v>1374</v>
      </c>
      <c r="F237" s="231"/>
      <c r="G237" s="251" t="s">
        <v>25</v>
      </c>
      <c r="H237" s="200" t="s">
        <v>283</v>
      </c>
      <c r="I237" s="200" t="s">
        <v>283</v>
      </c>
      <c r="J237" s="231"/>
      <c r="K237" s="168" t="s">
        <v>1365</v>
      </c>
      <c r="L237" s="386">
        <v>1603205357641</v>
      </c>
      <c r="M237" s="386" t="s">
        <v>999</v>
      </c>
      <c r="N237" s="263" t="str">
        <f>VLOOKUP(D237,'[5]Bao cao So GDDT'!$D$14:$S$282,11,FALSE)</f>
        <v>Giảng viên GDNN LT (hạng III)</v>
      </c>
      <c r="O237" s="393" t="s">
        <v>1438</v>
      </c>
      <c r="P237" s="170" t="s">
        <v>692</v>
      </c>
      <c r="Q237" s="170">
        <v>3</v>
      </c>
      <c r="R237" s="177">
        <v>3.66</v>
      </c>
      <c r="S237" s="176">
        <f t="shared" si="187"/>
        <v>0.4758</v>
      </c>
      <c r="T237" s="169"/>
      <c r="U237" s="176">
        <f t="shared" si="190"/>
        <v>0</v>
      </c>
      <c r="V237" s="175">
        <f t="shared" si="188"/>
        <v>0</v>
      </c>
      <c r="W237" s="170"/>
      <c r="X237" s="179">
        <v>0.13</v>
      </c>
      <c r="Y237" s="216">
        <f t="shared" si="191"/>
        <v>0.4758</v>
      </c>
      <c r="Z237" s="216">
        <f t="shared" si="192"/>
        <v>4.1357999999999997</v>
      </c>
      <c r="AA237" s="180">
        <f t="shared" si="193"/>
        <v>7444440</v>
      </c>
      <c r="AB237" s="180"/>
      <c r="AC237" s="180">
        <f t="shared" si="194"/>
        <v>0</v>
      </c>
      <c r="AD237" s="180">
        <f t="shared" ref="AD237:AD246" si="201">AA237/24*AB237*75%</f>
        <v>0</v>
      </c>
      <c r="AE237" s="180">
        <f t="shared" si="195"/>
        <v>7444440</v>
      </c>
      <c r="AF237" s="178">
        <f t="shared" si="181"/>
        <v>595555.20000000007</v>
      </c>
      <c r="AG237" s="178">
        <f t="shared" si="182"/>
        <v>111666.59999999999</v>
      </c>
      <c r="AH237" s="178">
        <f t="shared" si="183"/>
        <v>74444.400000000009</v>
      </c>
      <c r="AI237" s="178"/>
      <c r="AJ237" s="178">
        <f t="shared" si="196"/>
        <v>781666.20000000007</v>
      </c>
      <c r="AK237" s="192"/>
      <c r="AL237" s="182">
        <f t="shared" si="189"/>
        <v>0</v>
      </c>
      <c r="AM237" s="182"/>
      <c r="AN237" s="182"/>
      <c r="AO237" s="183">
        <f t="shared" si="184"/>
        <v>3.66</v>
      </c>
      <c r="AP237" s="246">
        <v>0.25</v>
      </c>
      <c r="AQ237" s="194">
        <f t="shared" si="197"/>
        <v>0.91500000000000004</v>
      </c>
      <c r="AR237" s="178">
        <f t="shared" si="198"/>
        <v>1647000</v>
      </c>
      <c r="AS237" s="178"/>
      <c r="AT237" s="178">
        <f t="shared" si="199"/>
        <v>8309774</v>
      </c>
      <c r="AU237" s="469">
        <f t="shared" si="200"/>
        <v>219</v>
      </c>
      <c r="AV237" s="244"/>
      <c r="AW237" s="198" t="s">
        <v>709</v>
      </c>
    </row>
    <row r="238" spans="1:59" s="189" customFormat="1" ht="30.75" customHeight="1" x14ac:dyDescent="0.25">
      <c r="A238" s="1035">
        <f t="shared" si="186"/>
        <v>220</v>
      </c>
      <c r="B238" s="683" t="str">
        <f>VLOOKUP(D238,[1]LuongBC_T01!$B$9:$C$292,2,FALSE)</f>
        <v>0016100006790008</v>
      </c>
      <c r="C238" s="704" t="s">
        <v>1012</v>
      </c>
      <c r="D238" s="1037" t="s">
        <v>562</v>
      </c>
      <c r="E238" s="685" t="s">
        <v>1374</v>
      </c>
      <c r="F238" s="1038"/>
      <c r="G238" s="1038"/>
      <c r="H238" s="1038"/>
      <c r="I238" s="1038"/>
      <c r="J238" s="1038"/>
      <c r="K238" s="686" t="str">
        <f>VLOOKUP(D238,[2]T3!$B$2:$D$328,3,FALSE)</f>
        <v>024221614</v>
      </c>
      <c r="L238" s="1039">
        <v>1603205357120</v>
      </c>
      <c r="M238" s="1039" t="s">
        <v>1012</v>
      </c>
      <c r="N238" s="685" t="str">
        <f>VLOOKUP(D238,'[5]Bao cao So GDDT'!$D$14:$S$282,11,FALSE)</f>
        <v>Giảng viên GDNN LT (hạng III)</v>
      </c>
      <c r="O238" s="1040" t="s">
        <v>1438</v>
      </c>
      <c r="P238" s="686" t="s">
        <v>692</v>
      </c>
      <c r="Q238" s="686">
        <v>2</v>
      </c>
      <c r="R238" s="1041">
        <v>3.33</v>
      </c>
      <c r="S238" s="691">
        <f t="shared" si="187"/>
        <v>0.33300000000000002</v>
      </c>
      <c r="T238" s="684"/>
      <c r="U238" s="691">
        <f t="shared" si="190"/>
        <v>0</v>
      </c>
      <c r="V238" s="693">
        <f t="shared" si="188"/>
        <v>0</v>
      </c>
      <c r="W238" s="686"/>
      <c r="X238" s="694">
        <v>0.1</v>
      </c>
      <c r="Y238" s="695">
        <f t="shared" si="191"/>
        <v>0.33300000000000002</v>
      </c>
      <c r="Z238" s="695">
        <f t="shared" si="192"/>
        <v>3.6630000000000003</v>
      </c>
      <c r="AA238" s="696">
        <f t="shared" si="193"/>
        <v>6593400</v>
      </c>
      <c r="AB238" s="696"/>
      <c r="AC238" s="696">
        <f t="shared" si="194"/>
        <v>0</v>
      </c>
      <c r="AD238" s="696">
        <f t="shared" si="201"/>
        <v>0</v>
      </c>
      <c r="AE238" s="696">
        <f t="shared" si="195"/>
        <v>6593400</v>
      </c>
      <c r="AF238" s="697">
        <f t="shared" si="181"/>
        <v>527472</v>
      </c>
      <c r="AG238" s="697">
        <f t="shared" si="182"/>
        <v>98901</v>
      </c>
      <c r="AH238" s="697">
        <f t="shared" si="183"/>
        <v>65934</v>
      </c>
      <c r="AI238" s="697"/>
      <c r="AJ238" s="697">
        <f t="shared" si="196"/>
        <v>692307</v>
      </c>
      <c r="AK238" s="702"/>
      <c r="AL238" s="698">
        <f t="shared" si="189"/>
        <v>0</v>
      </c>
      <c r="AM238" s="698"/>
      <c r="AN238" s="698"/>
      <c r="AO238" s="765">
        <f t="shared" si="184"/>
        <v>3.33</v>
      </c>
      <c r="AP238" s="703">
        <v>0.25</v>
      </c>
      <c r="AQ238" s="705">
        <f t="shared" si="197"/>
        <v>0.83250000000000002</v>
      </c>
      <c r="AR238" s="697">
        <f t="shared" si="198"/>
        <v>1498500</v>
      </c>
      <c r="AS238" s="697"/>
      <c r="AT238" s="697">
        <f t="shared" si="199"/>
        <v>7399593</v>
      </c>
      <c r="AU238" s="699">
        <f t="shared" si="200"/>
        <v>220</v>
      </c>
      <c r="AV238" s="1034"/>
      <c r="AW238" s="198" t="s">
        <v>709</v>
      </c>
      <c r="AX238" s="29"/>
      <c r="AY238" s="29"/>
      <c r="AZ238" s="29"/>
      <c r="BA238" s="29"/>
      <c r="BB238" s="29"/>
      <c r="BC238" s="29"/>
      <c r="BD238" s="29"/>
      <c r="BE238" s="29"/>
      <c r="BF238" s="29"/>
      <c r="BG238" s="29"/>
    </row>
    <row r="239" spans="1:59" s="189" customFormat="1" ht="30.75" customHeight="1" x14ac:dyDescent="0.25">
      <c r="A239" s="900">
        <f t="shared" si="186"/>
        <v>221</v>
      </c>
      <c r="B239" s="168" t="str">
        <f>VLOOKUP(D239,[1]LuongBC_T01!$B$9:$C$292,2,FALSE)</f>
        <v>0016100006597003</v>
      </c>
      <c r="C239" s="387" t="s">
        <v>899</v>
      </c>
      <c r="D239" s="169" t="s">
        <v>806</v>
      </c>
      <c r="E239" s="263" t="s">
        <v>1374</v>
      </c>
      <c r="F239" s="220"/>
      <c r="G239" s="220" t="s">
        <v>25</v>
      </c>
      <c r="H239" s="220"/>
      <c r="I239" s="220"/>
      <c r="J239" s="220"/>
      <c r="K239" s="168" t="s">
        <v>1361</v>
      </c>
      <c r="L239" s="220"/>
      <c r="M239" s="170" t="s">
        <v>899</v>
      </c>
      <c r="N239" s="263" t="str">
        <f>VLOOKUP(D239,'[5]Bao cao So GDDT'!$D$14:$S$282,11,FALSE)</f>
        <v>Giảng viên GDNN LT (hạng III)</v>
      </c>
      <c r="O239" s="263" t="s">
        <v>1438</v>
      </c>
      <c r="P239" s="170" t="s">
        <v>692</v>
      </c>
      <c r="Q239" s="170">
        <v>2</v>
      </c>
      <c r="R239" s="177">
        <v>3.33</v>
      </c>
      <c r="S239" s="176">
        <f t="shared" si="187"/>
        <v>0.2331</v>
      </c>
      <c r="T239" s="220"/>
      <c r="U239" s="176">
        <f t="shared" si="190"/>
        <v>0</v>
      </c>
      <c r="V239" s="175">
        <f t="shared" si="188"/>
        <v>0</v>
      </c>
      <c r="W239" s="170"/>
      <c r="X239" s="179">
        <v>7.0000000000000007E-2</v>
      </c>
      <c r="Y239" s="216">
        <f t="shared" si="191"/>
        <v>0.2331</v>
      </c>
      <c r="Z239" s="216">
        <f t="shared" si="192"/>
        <v>3.5630999999999999</v>
      </c>
      <c r="AA239" s="180">
        <f t="shared" si="193"/>
        <v>6413580</v>
      </c>
      <c r="AB239" s="180"/>
      <c r="AC239" s="180">
        <f t="shared" si="194"/>
        <v>0</v>
      </c>
      <c r="AD239" s="180">
        <f t="shared" si="201"/>
        <v>0</v>
      </c>
      <c r="AE239" s="180">
        <f t="shared" si="195"/>
        <v>6413580</v>
      </c>
      <c r="AF239" s="178">
        <f t="shared" ref="AF239:AF271" si="202">AA239*8%</f>
        <v>513086.4</v>
      </c>
      <c r="AG239" s="178">
        <f t="shared" ref="AG239:AG271" si="203">AA239*1.5%</f>
        <v>96203.7</v>
      </c>
      <c r="AH239" s="178">
        <f t="shared" ref="AH239:AH271" si="204">AA239*1%</f>
        <v>64135.8</v>
      </c>
      <c r="AI239" s="178"/>
      <c r="AJ239" s="178">
        <f t="shared" si="196"/>
        <v>673425.9</v>
      </c>
      <c r="AK239" s="192"/>
      <c r="AL239" s="182">
        <f t="shared" si="189"/>
        <v>0</v>
      </c>
      <c r="AM239" s="182"/>
      <c r="AN239" s="182"/>
      <c r="AO239" s="183">
        <f t="shared" si="184"/>
        <v>3.33</v>
      </c>
      <c r="AP239" s="246">
        <v>0.25</v>
      </c>
      <c r="AQ239" s="185">
        <f t="shared" si="197"/>
        <v>0.83250000000000002</v>
      </c>
      <c r="AR239" s="178">
        <f t="shared" si="198"/>
        <v>1498500</v>
      </c>
      <c r="AS239" s="178"/>
      <c r="AT239" s="178">
        <f t="shared" si="199"/>
        <v>7238654</v>
      </c>
      <c r="AU239" s="469">
        <f t="shared" si="200"/>
        <v>221</v>
      </c>
      <c r="AV239" s="195"/>
      <c r="AW239" s="198"/>
    </row>
    <row r="240" spans="1:59" s="189" customFormat="1" ht="30.75" customHeight="1" x14ac:dyDescent="0.25">
      <c r="A240" s="900">
        <f t="shared" si="186"/>
        <v>222</v>
      </c>
      <c r="B240" s="168" t="str">
        <f>VLOOKUP(D240,[1]LuongBC_T01!$B$9:$C$292,2,FALSE)</f>
        <v>0016100007212008</v>
      </c>
      <c r="C240" s="170" t="s">
        <v>1328</v>
      </c>
      <c r="D240" s="169" t="s">
        <v>1282</v>
      </c>
      <c r="E240" s="263" t="s">
        <v>1374</v>
      </c>
      <c r="F240" s="220"/>
      <c r="G240" s="220"/>
      <c r="H240" s="220"/>
      <c r="I240" s="220"/>
      <c r="J240" s="220"/>
      <c r="K240" s="170">
        <f>VLOOKUP(D240,[2]T3!$B$2:$D$328,3,FALSE)</f>
        <v>331950060</v>
      </c>
      <c r="L240" s="220"/>
      <c r="M240" s="170"/>
      <c r="N240" s="263" t="str">
        <f>VLOOKUP(D240,'[5]Bao cao So GDDT'!$D$14:$S$282,11,FALSE)</f>
        <v>Giảng viên GDNN LT (hạng III)</v>
      </c>
      <c r="O240" s="263" t="s">
        <v>1438</v>
      </c>
      <c r="P240" s="251"/>
      <c r="Q240" s="251"/>
      <c r="R240" s="177">
        <v>3</v>
      </c>
      <c r="S240" s="176"/>
      <c r="T240" s="220"/>
      <c r="U240" s="176">
        <f t="shared" si="190"/>
        <v>0</v>
      </c>
      <c r="V240" s="175"/>
      <c r="W240" s="170"/>
      <c r="X240" s="179">
        <v>0.1</v>
      </c>
      <c r="Y240" s="216">
        <f t="shared" si="191"/>
        <v>0.3</v>
      </c>
      <c r="Z240" s="216">
        <f t="shared" si="192"/>
        <v>3.3</v>
      </c>
      <c r="AA240" s="180">
        <f t="shared" si="193"/>
        <v>5940000</v>
      </c>
      <c r="AB240" s="180"/>
      <c r="AC240" s="180">
        <f t="shared" si="194"/>
        <v>0</v>
      </c>
      <c r="AD240" s="180">
        <f t="shared" si="201"/>
        <v>0</v>
      </c>
      <c r="AE240" s="180">
        <f t="shared" si="195"/>
        <v>5940000</v>
      </c>
      <c r="AF240" s="178">
        <f t="shared" si="202"/>
        <v>475200</v>
      </c>
      <c r="AG240" s="178">
        <f t="shared" si="203"/>
        <v>89100</v>
      </c>
      <c r="AH240" s="178">
        <f t="shared" si="204"/>
        <v>59400</v>
      </c>
      <c r="AI240" s="178"/>
      <c r="AJ240" s="178">
        <f t="shared" si="196"/>
        <v>623700</v>
      </c>
      <c r="AK240" s="192"/>
      <c r="AL240" s="182">
        <f t="shared" si="189"/>
        <v>0</v>
      </c>
      <c r="AM240" s="182"/>
      <c r="AN240" s="182"/>
      <c r="AO240" s="183">
        <f t="shared" si="184"/>
        <v>3</v>
      </c>
      <c r="AP240" s="246">
        <v>0.25</v>
      </c>
      <c r="AQ240" s="185">
        <f t="shared" si="197"/>
        <v>0.75</v>
      </c>
      <c r="AR240" s="178">
        <f t="shared" si="198"/>
        <v>1350000</v>
      </c>
      <c r="AS240" s="178"/>
      <c r="AT240" s="178">
        <f t="shared" si="199"/>
        <v>6666300</v>
      </c>
      <c r="AU240" s="469">
        <f t="shared" si="200"/>
        <v>222</v>
      </c>
      <c r="AV240" s="195"/>
      <c r="AW240" s="486"/>
    </row>
    <row r="241" spans="1:59" s="189" customFormat="1" ht="30.75" customHeight="1" x14ac:dyDescent="0.25">
      <c r="A241" s="1035">
        <f t="shared" si="186"/>
        <v>223</v>
      </c>
      <c r="B241" s="683" t="str">
        <f>VLOOKUP(D241,[1]LuongBC_T01!$B$9:$C$292,2,FALSE)</f>
        <v>0016100007698008</v>
      </c>
      <c r="C241" s="686" t="s">
        <v>1326</v>
      </c>
      <c r="D241" s="684" t="s">
        <v>1289</v>
      </c>
      <c r="E241" s="685" t="s">
        <v>1374</v>
      </c>
      <c r="F241" s="717"/>
      <c r="G241" s="717"/>
      <c r="H241" s="717"/>
      <c r="I241" s="717"/>
      <c r="J241" s="717"/>
      <c r="K241" s="686" t="str">
        <f>VLOOKUP(D241,[2]T3!$B$2:$D$328,3,FALSE)</f>
        <v>079089004197</v>
      </c>
      <c r="L241" s="1042" t="s">
        <v>1295</v>
      </c>
      <c r="M241" s="686"/>
      <c r="N241" s="685" t="str">
        <f>VLOOKUP(D241,'[5]Bao cao So GDDT'!$D$14:$S$282,11,FALSE)</f>
        <v>Giảng viên GDNN LT (hạng III)</v>
      </c>
      <c r="O241" s="687" t="s">
        <v>1438</v>
      </c>
      <c r="P241" s="769"/>
      <c r="Q241" s="769"/>
      <c r="R241" s="1041">
        <v>3</v>
      </c>
      <c r="S241" s="691"/>
      <c r="T241" s="717"/>
      <c r="U241" s="691">
        <f t="shared" si="190"/>
        <v>0</v>
      </c>
      <c r="V241" s="693"/>
      <c r="W241" s="686"/>
      <c r="X241" s="694">
        <v>0.06</v>
      </c>
      <c r="Y241" s="695">
        <f t="shared" si="191"/>
        <v>0.18</v>
      </c>
      <c r="Z241" s="695">
        <f t="shared" si="192"/>
        <v>3.18</v>
      </c>
      <c r="AA241" s="696">
        <f t="shared" si="193"/>
        <v>5724000</v>
      </c>
      <c r="AB241" s="696"/>
      <c r="AC241" s="696">
        <f t="shared" si="194"/>
        <v>0</v>
      </c>
      <c r="AD241" s="696">
        <f t="shared" si="201"/>
        <v>0</v>
      </c>
      <c r="AE241" s="696">
        <f t="shared" si="195"/>
        <v>5724000</v>
      </c>
      <c r="AF241" s="697">
        <f t="shared" si="202"/>
        <v>457920</v>
      </c>
      <c r="AG241" s="697">
        <f t="shared" si="203"/>
        <v>85860</v>
      </c>
      <c r="AH241" s="697">
        <f t="shared" si="204"/>
        <v>57240</v>
      </c>
      <c r="AI241" s="697"/>
      <c r="AJ241" s="697">
        <f t="shared" si="196"/>
        <v>601020</v>
      </c>
      <c r="AK241" s="702"/>
      <c r="AL241" s="698">
        <f t="shared" si="189"/>
        <v>0</v>
      </c>
      <c r="AM241" s="698"/>
      <c r="AN241" s="698"/>
      <c r="AO241" s="765">
        <f t="shared" si="184"/>
        <v>3</v>
      </c>
      <c r="AP241" s="703">
        <v>0.25</v>
      </c>
      <c r="AQ241" s="767">
        <f t="shared" si="197"/>
        <v>0.75</v>
      </c>
      <c r="AR241" s="697">
        <f t="shared" si="198"/>
        <v>1350000</v>
      </c>
      <c r="AS241" s="697"/>
      <c r="AT241" s="697">
        <f t="shared" si="199"/>
        <v>6472980</v>
      </c>
      <c r="AU241" s="699">
        <f t="shared" si="200"/>
        <v>223</v>
      </c>
      <c r="AV241" s="700"/>
      <c r="AW241" s="486"/>
    </row>
    <row r="242" spans="1:59" s="189" customFormat="1" ht="30.75" customHeight="1" x14ac:dyDescent="0.25">
      <c r="A242" s="900">
        <f t="shared" si="186"/>
        <v>224</v>
      </c>
      <c r="B242" s="168" t="str">
        <f>VLOOKUP(D242,[1]LuongBC_T01!$B$9:$C$292,2,FALSE)</f>
        <v>0016100012451002</v>
      </c>
      <c r="C242" s="170" t="s">
        <v>1335</v>
      </c>
      <c r="D242" s="169" t="s">
        <v>1307</v>
      </c>
      <c r="E242" s="263" t="s">
        <v>1374</v>
      </c>
      <c r="F242" s="220"/>
      <c r="G242" s="220"/>
      <c r="H242" s="220"/>
      <c r="I242" s="220"/>
      <c r="J242" s="220"/>
      <c r="K242" s="168" t="s">
        <v>1308</v>
      </c>
      <c r="L242" s="220"/>
      <c r="M242" s="170"/>
      <c r="N242" s="263" t="str">
        <f>VLOOKUP(D242,'[5]Bao cao So GDDT'!$D$14:$S$282,11,FALSE)</f>
        <v>Giảng viên GDNN LT (hạng III)</v>
      </c>
      <c r="O242" s="263" t="s">
        <v>1438</v>
      </c>
      <c r="P242" s="251"/>
      <c r="Q242" s="251"/>
      <c r="R242" s="170">
        <v>2.67</v>
      </c>
      <c r="S242" s="176"/>
      <c r="T242" s="220"/>
      <c r="U242" s="176">
        <f t="shared" si="190"/>
        <v>0</v>
      </c>
      <c r="V242" s="175"/>
      <c r="W242" s="170"/>
      <c r="X242" s="179">
        <f>VLOOKUP(D242,PCTN!D278:W545,20,FALSE)</f>
        <v>0</v>
      </c>
      <c r="Y242" s="216">
        <f t="shared" si="191"/>
        <v>0</v>
      </c>
      <c r="Z242" s="216">
        <f t="shared" si="192"/>
        <v>2.67</v>
      </c>
      <c r="AA242" s="180">
        <f t="shared" si="193"/>
        <v>4806000</v>
      </c>
      <c r="AB242" s="180"/>
      <c r="AC242" s="180">
        <f t="shared" si="194"/>
        <v>0</v>
      </c>
      <c r="AD242" s="180">
        <f t="shared" si="201"/>
        <v>0</v>
      </c>
      <c r="AE242" s="180">
        <f t="shared" si="195"/>
        <v>4806000</v>
      </c>
      <c r="AF242" s="178">
        <f t="shared" si="202"/>
        <v>384480</v>
      </c>
      <c r="AG242" s="178">
        <f t="shared" si="203"/>
        <v>72090</v>
      </c>
      <c r="AH242" s="178">
        <f t="shared" si="204"/>
        <v>48060</v>
      </c>
      <c r="AI242" s="178"/>
      <c r="AJ242" s="178">
        <f t="shared" si="196"/>
        <v>504630</v>
      </c>
      <c r="AK242" s="192"/>
      <c r="AL242" s="182">
        <f t="shared" si="189"/>
        <v>0</v>
      </c>
      <c r="AM242" s="182"/>
      <c r="AN242" s="182"/>
      <c r="AO242" s="183">
        <f t="shared" si="184"/>
        <v>2.67</v>
      </c>
      <c r="AP242" s="246">
        <v>0.25</v>
      </c>
      <c r="AQ242" s="185">
        <f t="shared" si="197"/>
        <v>0.66749999999999998</v>
      </c>
      <c r="AR242" s="178">
        <f t="shared" si="198"/>
        <v>1201500</v>
      </c>
      <c r="AS242" s="178"/>
      <c r="AT242" s="178">
        <f t="shared" si="199"/>
        <v>5502870</v>
      </c>
      <c r="AU242" s="469">
        <f t="shared" si="200"/>
        <v>224</v>
      </c>
      <c r="AV242" s="195"/>
      <c r="AW242" s="486"/>
    </row>
    <row r="243" spans="1:59" s="191" customFormat="1" ht="36.75" customHeight="1" x14ac:dyDescent="0.25">
      <c r="A243" s="900">
        <f t="shared" si="186"/>
        <v>225</v>
      </c>
      <c r="B243" s="168"/>
      <c r="C243" s="199" t="s">
        <v>1572</v>
      </c>
      <c r="D243" s="169" t="s">
        <v>1517</v>
      </c>
      <c r="E243" s="263" t="s">
        <v>1374</v>
      </c>
      <c r="F243" s="220"/>
      <c r="G243" s="200"/>
      <c r="H243" s="200"/>
      <c r="I243" s="200"/>
      <c r="J243" s="220"/>
      <c r="K243" s="170"/>
      <c r="L243" s="241"/>
      <c r="M243" s="241"/>
      <c r="N243" s="263" t="str">
        <f>VLOOKUP(D243,'[5]Bao cao So GDDT'!$D$14:$S$282,11,FALSE)</f>
        <v>Giáo viên GDNN LT (hạng III)</v>
      </c>
      <c r="O243" s="390" t="s">
        <v>1438</v>
      </c>
      <c r="P243" s="172"/>
      <c r="Q243" s="173"/>
      <c r="R243" s="174">
        <v>4.32</v>
      </c>
      <c r="S243" s="176"/>
      <c r="T243" s="377"/>
      <c r="U243" s="176">
        <f t="shared" si="190"/>
        <v>0</v>
      </c>
      <c r="V243" s="175"/>
      <c r="W243" s="200"/>
      <c r="X243" s="179">
        <v>0.18</v>
      </c>
      <c r="Y243" s="216">
        <f t="shared" si="191"/>
        <v>0.77759999999999996</v>
      </c>
      <c r="Z243" s="216">
        <f t="shared" si="192"/>
        <v>5.0975999999999999</v>
      </c>
      <c r="AA243" s="180">
        <f t="shared" si="193"/>
        <v>9175680</v>
      </c>
      <c r="AB243" s="180"/>
      <c r="AC243" s="180">
        <f t="shared" si="194"/>
        <v>0</v>
      </c>
      <c r="AD243" s="180">
        <f t="shared" si="201"/>
        <v>0</v>
      </c>
      <c r="AE243" s="180">
        <f t="shared" si="195"/>
        <v>9175680</v>
      </c>
      <c r="AF243" s="178">
        <f t="shared" si="202"/>
        <v>734054.40000000002</v>
      </c>
      <c r="AG243" s="178">
        <f t="shared" si="203"/>
        <v>137635.19999999998</v>
      </c>
      <c r="AH243" s="178">
        <f t="shared" si="204"/>
        <v>91756.800000000003</v>
      </c>
      <c r="AI243" s="178"/>
      <c r="AJ243" s="178">
        <f t="shared" si="196"/>
        <v>963446.4</v>
      </c>
      <c r="AK243" s="181"/>
      <c r="AL243" s="182">
        <f t="shared" si="189"/>
        <v>0</v>
      </c>
      <c r="AM243" s="182"/>
      <c r="AN243" s="182"/>
      <c r="AO243" s="193">
        <f t="shared" ref="AO243:AO285" si="205">R243+U243+W243</f>
        <v>4.32</v>
      </c>
      <c r="AP243" s="179">
        <v>0.25</v>
      </c>
      <c r="AQ243" s="185">
        <f t="shared" si="197"/>
        <v>1.08</v>
      </c>
      <c r="AR243" s="178">
        <f t="shared" si="198"/>
        <v>1944000</v>
      </c>
      <c r="AS243" s="178"/>
      <c r="AT243" s="178">
        <f t="shared" si="199"/>
        <v>10156234</v>
      </c>
      <c r="AU243" s="469">
        <f t="shared" si="200"/>
        <v>225</v>
      </c>
      <c r="AV243" s="195"/>
      <c r="AW243" s="198"/>
    </row>
    <row r="244" spans="1:59" s="189" customFormat="1" ht="37.5" customHeight="1" x14ac:dyDescent="0.25">
      <c r="A244" s="900">
        <f t="shared" si="186"/>
        <v>226</v>
      </c>
      <c r="B244" s="168" t="s">
        <v>1501</v>
      </c>
      <c r="C244" s="661" t="s">
        <v>1571</v>
      </c>
      <c r="D244" s="169" t="s">
        <v>1485</v>
      </c>
      <c r="E244" s="263" t="s">
        <v>1374</v>
      </c>
      <c r="F244" s="220"/>
      <c r="G244" s="220"/>
      <c r="H244" s="220"/>
      <c r="I244" s="220"/>
      <c r="J244" s="220"/>
      <c r="K244" s="168">
        <v>261105998</v>
      </c>
      <c r="L244" s="491" t="s">
        <v>1491</v>
      </c>
      <c r="M244" s="170"/>
      <c r="N244" s="263" t="str">
        <f>VLOOKUP(D244,'[5]Bao cao So GDDT'!$D$14:$S$282,11,FALSE)</f>
        <v>Giảng viên GDNN LT (hạng III)</v>
      </c>
      <c r="O244" s="663" t="s">
        <v>1438</v>
      </c>
      <c r="P244" s="251"/>
      <c r="Q244" s="251"/>
      <c r="R244" s="177">
        <v>3</v>
      </c>
      <c r="S244" s="176"/>
      <c r="T244" s="220"/>
      <c r="U244" s="176">
        <f>ROUND(R244*T244/100,4)</f>
        <v>0</v>
      </c>
      <c r="V244" s="175"/>
      <c r="W244" s="170"/>
      <c r="X244" s="179">
        <v>0.06</v>
      </c>
      <c r="Y244" s="216">
        <f>ROUND((R244+U244+W244)*X244,4)</f>
        <v>0.18</v>
      </c>
      <c r="Z244" s="216">
        <f>R244+U244+W244+Y244</f>
        <v>3.18</v>
      </c>
      <c r="AA244" s="180">
        <f>ROUND(Z244*$D$8,0)</f>
        <v>5724000</v>
      </c>
      <c r="AB244" s="180"/>
      <c r="AC244" s="180">
        <f>AA244/24*AB244</f>
        <v>0</v>
      </c>
      <c r="AD244" s="180">
        <f>AA244/24*AB244*75%</f>
        <v>0</v>
      </c>
      <c r="AE244" s="180">
        <f>ROUND(AA244-AC244+AD244,0)</f>
        <v>5724000</v>
      </c>
      <c r="AF244" s="178">
        <f>AA244*8%</f>
        <v>457920</v>
      </c>
      <c r="AG244" s="178">
        <f>AA244*1.5%</f>
        <v>85860</v>
      </c>
      <c r="AH244" s="178">
        <f>AA244*1%</f>
        <v>57240</v>
      </c>
      <c r="AI244" s="178"/>
      <c r="AJ244" s="178">
        <f>SUM(AF244:AI244)</f>
        <v>601020</v>
      </c>
      <c r="AK244" s="192"/>
      <c r="AL244" s="182">
        <f t="shared" si="189"/>
        <v>0</v>
      </c>
      <c r="AM244" s="182"/>
      <c r="AN244" s="182"/>
      <c r="AO244" s="183">
        <f>R244+U244+W244</f>
        <v>3</v>
      </c>
      <c r="AP244" s="641">
        <v>0.25</v>
      </c>
      <c r="AQ244" s="185">
        <f>ROUND(AO244*AP244,4)</f>
        <v>0.75</v>
      </c>
      <c r="AR244" s="178">
        <f>ROUND(AQ244*$D$8,0)</f>
        <v>1350000</v>
      </c>
      <c r="AS244" s="178"/>
      <c r="AT244" s="178">
        <f>ROUND(AE244-AJ244+AL244+AN244+AR244,0)</f>
        <v>6472980</v>
      </c>
      <c r="AU244" s="539">
        <f>A244</f>
        <v>226</v>
      </c>
      <c r="AV244" s="195"/>
      <c r="AW244" s="660"/>
    </row>
    <row r="245" spans="1:59" s="189" customFormat="1" ht="42.75" customHeight="1" x14ac:dyDescent="0.25">
      <c r="A245" s="900">
        <f t="shared" si="186"/>
        <v>227</v>
      </c>
      <c r="B245" s="168"/>
      <c r="C245" s="168"/>
      <c r="D245" s="169" t="s">
        <v>1592</v>
      </c>
      <c r="E245" s="263" t="s">
        <v>1374</v>
      </c>
      <c r="F245" s="220"/>
      <c r="G245" s="220"/>
      <c r="H245" s="220"/>
      <c r="I245" s="220"/>
      <c r="J245" s="220"/>
      <c r="K245" s="168"/>
      <c r="L245" s="491"/>
      <c r="M245" s="170"/>
      <c r="N245" s="263"/>
      <c r="O245" s="263" t="s">
        <v>1438</v>
      </c>
      <c r="P245" s="170"/>
      <c r="Q245" s="170"/>
      <c r="R245" s="170">
        <v>2.67</v>
      </c>
      <c r="S245" s="176"/>
      <c r="T245" s="220"/>
      <c r="U245" s="176">
        <f>ROUND(R245*T245/100,4)</f>
        <v>0</v>
      </c>
      <c r="V245" s="175"/>
      <c r="W245" s="170"/>
      <c r="X245" s="179">
        <v>0.08</v>
      </c>
      <c r="Y245" s="216">
        <f>ROUND((R245+U245+W245)*X245,4)</f>
        <v>0.21360000000000001</v>
      </c>
      <c r="Z245" s="216">
        <f>R245+U245+W245+Y245</f>
        <v>2.8835999999999999</v>
      </c>
      <c r="AA245" s="180">
        <f>ROUND(Z245*$D$8,0)</f>
        <v>5190480</v>
      </c>
      <c r="AB245" s="180"/>
      <c r="AC245" s="180">
        <f>AA245/24*AB245</f>
        <v>0</v>
      </c>
      <c r="AD245" s="180">
        <v>0</v>
      </c>
      <c r="AE245" s="180">
        <f>ROUND(AA245-AC245+AD245,0)</f>
        <v>5190480</v>
      </c>
      <c r="AF245" s="178">
        <f>AA245*8%</f>
        <v>415238.40000000002</v>
      </c>
      <c r="AG245" s="178">
        <f>AA245*1.5%</f>
        <v>77857.2</v>
      </c>
      <c r="AH245" s="178">
        <f>AA245*1%</f>
        <v>51904.800000000003</v>
      </c>
      <c r="AI245" s="178"/>
      <c r="AJ245" s="178">
        <f>SUM(AF245:AI245)</f>
        <v>545000.4</v>
      </c>
      <c r="AK245" s="192"/>
      <c r="AL245" s="182">
        <f t="shared" si="189"/>
        <v>0</v>
      </c>
      <c r="AM245" s="182"/>
      <c r="AN245" s="182"/>
      <c r="AO245" s="183">
        <f>R245+U245+W245</f>
        <v>2.67</v>
      </c>
      <c r="AP245" s="246">
        <v>0.25</v>
      </c>
      <c r="AQ245" s="185">
        <f>ROUND(AO245*AP245,4)</f>
        <v>0.66749999999999998</v>
      </c>
      <c r="AR245" s="178">
        <f>ROUND(AQ245*$D$8,0)</f>
        <v>1201500</v>
      </c>
      <c r="AS245" s="178"/>
      <c r="AT245" s="178">
        <f>ROUND(AE245-AJ245+AL245+AN245+AR245,0)</f>
        <v>5846980</v>
      </c>
      <c r="AU245" s="469">
        <f>A245</f>
        <v>227</v>
      </c>
      <c r="AV245" s="195"/>
      <c r="AW245" s="660"/>
    </row>
    <row r="246" spans="1:59" s="189" customFormat="1" ht="30.75" customHeight="1" x14ac:dyDescent="0.25">
      <c r="A246" s="900">
        <f t="shared" si="186"/>
        <v>228</v>
      </c>
      <c r="B246" s="168" t="str">
        <f>VLOOKUP(D246,[1]LuongBC_T01!$B$9:$C$292,2,FALSE)</f>
        <v>0016100006643005</v>
      </c>
      <c r="C246" s="387" t="s">
        <v>901</v>
      </c>
      <c r="D246" s="169" t="s">
        <v>809</v>
      </c>
      <c r="E246" s="263" t="s">
        <v>1391</v>
      </c>
      <c r="F246" s="220"/>
      <c r="G246" s="220"/>
      <c r="H246" s="220"/>
      <c r="I246" s="220"/>
      <c r="J246" s="220"/>
      <c r="K246" s="168" t="s">
        <v>1346</v>
      </c>
      <c r="L246" s="220"/>
      <c r="M246" s="170" t="s">
        <v>901</v>
      </c>
      <c r="N246" s="263" t="str">
        <f>VLOOKUP(D246,'[5]Bao cao So GDDT'!$D$14:$S$282,11,FALSE)</f>
        <v>Giảng viên GDNN LT (hạng III)</v>
      </c>
      <c r="O246" s="390" t="s">
        <v>1438</v>
      </c>
      <c r="P246" s="170" t="s">
        <v>692</v>
      </c>
      <c r="Q246" s="170">
        <v>2</v>
      </c>
      <c r="R246" s="177">
        <v>3.33</v>
      </c>
      <c r="S246" s="176">
        <f t="shared" ref="S246:S251" si="206">U246+W246+Y246</f>
        <v>0.78700000000000003</v>
      </c>
      <c r="T246" s="220"/>
      <c r="U246" s="176">
        <f t="shared" si="190"/>
        <v>0</v>
      </c>
      <c r="V246" s="175">
        <f t="shared" ref="V246:V251" si="207">R246*T246*$D$8/100</f>
        <v>0</v>
      </c>
      <c r="W246" s="170">
        <v>0.25</v>
      </c>
      <c r="X246" s="179">
        <v>0.15</v>
      </c>
      <c r="Y246" s="216">
        <f t="shared" si="191"/>
        <v>0.53700000000000003</v>
      </c>
      <c r="Z246" s="216">
        <f t="shared" si="192"/>
        <v>4.117</v>
      </c>
      <c r="AA246" s="180">
        <f t="shared" si="193"/>
        <v>7410600</v>
      </c>
      <c r="AB246" s="180"/>
      <c r="AC246" s="180">
        <f t="shared" si="194"/>
        <v>0</v>
      </c>
      <c r="AD246" s="180">
        <f t="shared" si="201"/>
        <v>0</v>
      </c>
      <c r="AE246" s="180">
        <f t="shared" si="195"/>
        <v>7410600</v>
      </c>
      <c r="AF246" s="178">
        <f t="shared" si="202"/>
        <v>592848</v>
      </c>
      <c r="AG246" s="178">
        <f t="shared" si="203"/>
        <v>111159</v>
      </c>
      <c r="AH246" s="178">
        <f t="shared" si="204"/>
        <v>74106</v>
      </c>
      <c r="AI246" s="178"/>
      <c r="AJ246" s="178">
        <f t="shared" si="196"/>
        <v>778113</v>
      </c>
      <c r="AK246" s="192"/>
      <c r="AL246" s="182">
        <f t="shared" si="189"/>
        <v>0</v>
      </c>
      <c r="AM246" s="182"/>
      <c r="AN246" s="182"/>
      <c r="AO246" s="183">
        <f t="shared" si="205"/>
        <v>3.58</v>
      </c>
      <c r="AP246" s="246">
        <v>0.25</v>
      </c>
      <c r="AQ246" s="185">
        <f t="shared" si="197"/>
        <v>0.89500000000000002</v>
      </c>
      <c r="AR246" s="178">
        <f t="shared" si="198"/>
        <v>1611000</v>
      </c>
      <c r="AS246" s="178"/>
      <c r="AT246" s="178">
        <f t="shared" si="199"/>
        <v>8243487</v>
      </c>
      <c r="AU246" s="469">
        <f t="shared" si="200"/>
        <v>228</v>
      </c>
      <c r="AV246" s="195"/>
      <c r="AW246" s="198"/>
    </row>
    <row r="247" spans="1:59" s="189" customFormat="1" ht="30.75" customHeight="1" x14ac:dyDescent="0.25">
      <c r="A247" s="900">
        <f t="shared" si="186"/>
        <v>229</v>
      </c>
      <c r="B247" s="168" t="str">
        <f>VLOOKUP(D247,[1]LuongBC_T01!$B$9:$C$292,2,FALSE)</f>
        <v>0016100006581007</v>
      </c>
      <c r="C247" s="199" t="s">
        <v>994</v>
      </c>
      <c r="D247" s="169" t="s">
        <v>570</v>
      </c>
      <c r="E247" s="263" t="s">
        <v>1376</v>
      </c>
      <c r="F247" s="169" t="s">
        <v>549</v>
      </c>
      <c r="G247" s="200" t="s">
        <v>25</v>
      </c>
      <c r="H247" s="200" t="s">
        <v>283</v>
      </c>
      <c r="I247" s="200" t="s">
        <v>283</v>
      </c>
      <c r="J247" s="200" t="s">
        <v>587</v>
      </c>
      <c r="K247" s="168" t="s">
        <v>1343</v>
      </c>
      <c r="L247" s="201" t="s">
        <v>609</v>
      </c>
      <c r="M247" s="201" t="s">
        <v>994</v>
      </c>
      <c r="N247" s="263" t="str">
        <f>VLOOKUP(D247,'[5]Bao cao So GDDT'!$D$14:$S$282,11,FALSE)</f>
        <v>Giảng viên GDNN LT (hạng III)</v>
      </c>
      <c r="O247" s="390" t="s">
        <v>1438</v>
      </c>
      <c r="P247" s="170" t="s">
        <v>692</v>
      </c>
      <c r="Q247" s="170">
        <v>3</v>
      </c>
      <c r="R247" s="177">
        <v>3.66</v>
      </c>
      <c r="S247" s="176">
        <f t="shared" si="206"/>
        <v>0.4758</v>
      </c>
      <c r="T247" s="220"/>
      <c r="U247" s="176">
        <f t="shared" si="190"/>
        <v>0</v>
      </c>
      <c r="V247" s="175">
        <f t="shared" si="207"/>
        <v>0</v>
      </c>
      <c r="W247" s="170"/>
      <c r="X247" s="179">
        <v>0.13</v>
      </c>
      <c r="Y247" s="216">
        <f t="shared" si="191"/>
        <v>0.4758</v>
      </c>
      <c r="Z247" s="216">
        <f t="shared" si="192"/>
        <v>4.1357999999999997</v>
      </c>
      <c r="AA247" s="180">
        <f t="shared" si="193"/>
        <v>7444440</v>
      </c>
      <c r="AB247" s="180"/>
      <c r="AC247" s="180">
        <f t="shared" si="194"/>
        <v>0</v>
      </c>
      <c r="AD247" s="180">
        <v>0</v>
      </c>
      <c r="AE247" s="180">
        <f t="shared" si="195"/>
        <v>7444440</v>
      </c>
      <c r="AF247" s="178">
        <f t="shared" si="202"/>
        <v>595555.20000000007</v>
      </c>
      <c r="AG247" s="178">
        <f t="shared" si="203"/>
        <v>111666.59999999999</v>
      </c>
      <c r="AH247" s="178">
        <f t="shared" si="204"/>
        <v>74444.400000000009</v>
      </c>
      <c r="AI247" s="178"/>
      <c r="AJ247" s="178">
        <f t="shared" si="196"/>
        <v>781666.20000000007</v>
      </c>
      <c r="AK247" s="192"/>
      <c r="AL247" s="182">
        <f t="shared" ref="AL247:AL255" si="208">AK247*$D$8</f>
        <v>0</v>
      </c>
      <c r="AM247" s="182"/>
      <c r="AN247" s="182"/>
      <c r="AO247" s="193">
        <f t="shared" si="205"/>
        <v>3.66</v>
      </c>
      <c r="AP247" s="246">
        <v>0.25</v>
      </c>
      <c r="AQ247" s="194">
        <f t="shared" si="197"/>
        <v>0.91500000000000004</v>
      </c>
      <c r="AR247" s="178">
        <f t="shared" si="198"/>
        <v>1647000</v>
      </c>
      <c r="AS247" s="178"/>
      <c r="AT247" s="178">
        <f t="shared" si="199"/>
        <v>8309774</v>
      </c>
      <c r="AU247" s="469">
        <f t="shared" si="200"/>
        <v>229</v>
      </c>
      <c r="AV247" s="195"/>
      <c r="AW247" s="198" t="s">
        <v>704</v>
      </c>
    </row>
    <row r="248" spans="1:59" s="189" customFormat="1" ht="30.75" customHeight="1" x14ac:dyDescent="0.25">
      <c r="A248" s="900">
        <f t="shared" si="186"/>
        <v>230</v>
      </c>
      <c r="B248" s="168" t="str">
        <f>VLOOKUP(D248,[1]LuongBC_T01!$B$9:$C$292,2,FALSE)</f>
        <v>0016100006591005</v>
      </c>
      <c r="C248" s="199" t="s">
        <v>961</v>
      </c>
      <c r="D248" s="169" t="s">
        <v>290</v>
      </c>
      <c r="E248" s="263" t="s">
        <v>1376</v>
      </c>
      <c r="F248" s="169" t="s">
        <v>549</v>
      </c>
      <c r="G248" s="170" t="s">
        <v>25</v>
      </c>
      <c r="H248" s="170" t="s">
        <v>283</v>
      </c>
      <c r="I248" s="200" t="s">
        <v>283</v>
      </c>
      <c r="J248" s="220" t="s">
        <v>291</v>
      </c>
      <c r="K248" s="170" t="str">
        <f>VLOOKUP(D248,[2]T3!$B$2:$D$328,3,FALSE)</f>
        <v>024280248</v>
      </c>
      <c r="L248" s="171" t="s">
        <v>292</v>
      </c>
      <c r="M248" s="171" t="s">
        <v>961</v>
      </c>
      <c r="N248" s="263" t="str">
        <f>VLOOKUP(D248,'[5]Bao cao So GDDT'!$D$14:$S$282,11,FALSE)</f>
        <v>Giảng viên GDNN LT (hạng III)</v>
      </c>
      <c r="O248" s="390" t="s">
        <v>1438</v>
      </c>
      <c r="P248" s="172" t="s">
        <v>692</v>
      </c>
      <c r="Q248" s="173">
        <v>4</v>
      </c>
      <c r="R248" s="174">
        <v>3.99</v>
      </c>
      <c r="S248" s="176">
        <f t="shared" si="206"/>
        <v>0.67830000000000001</v>
      </c>
      <c r="T248" s="370"/>
      <c r="U248" s="176">
        <f t="shared" si="190"/>
        <v>0</v>
      </c>
      <c r="V248" s="175">
        <f t="shared" si="207"/>
        <v>0</v>
      </c>
      <c r="W248" s="170"/>
      <c r="X248" s="179">
        <v>0.17</v>
      </c>
      <c r="Y248" s="216">
        <f t="shared" si="191"/>
        <v>0.67830000000000001</v>
      </c>
      <c r="Z248" s="216">
        <f t="shared" si="192"/>
        <v>4.6683000000000003</v>
      </c>
      <c r="AA248" s="180">
        <f t="shared" si="193"/>
        <v>8402940</v>
      </c>
      <c r="AB248" s="180"/>
      <c r="AC248" s="180">
        <f t="shared" si="194"/>
        <v>0</v>
      </c>
      <c r="AD248" s="180">
        <f>AA248/24*AB248*75%</f>
        <v>0</v>
      </c>
      <c r="AE248" s="180">
        <f t="shared" si="195"/>
        <v>8402940</v>
      </c>
      <c r="AF248" s="178">
        <f t="shared" si="202"/>
        <v>672235.20000000007</v>
      </c>
      <c r="AG248" s="178">
        <f t="shared" si="203"/>
        <v>126044.09999999999</v>
      </c>
      <c r="AH248" s="178">
        <f t="shared" si="204"/>
        <v>84029.400000000009</v>
      </c>
      <c r="AI248" s="178"/>
      <c r="AJ248" s="178">
        <f t="shared" si="196"/>
        <v>882308.70000000007</v>
      </c>
      <c r="AK248" s="192"/>
      <c r="AL248" s="182">
        <f t="shared" si="208"/>
        <v>0</v>
      </c>
      <c r="AM248" s="182"/>
      <c r="AN248" s="182"/>
      <c r="AO248" s="193">
        <f t="shared" si="205"/>
        <v>3.99</v>
      </c>
      <c r="AP248" s="246">
        <v>0.25</v>
      </c>
      <c r="AQ248" s="194">
        <f t="shared" si="197"/>
        <v>0.99750000000000005</v>
      </c>
      <c r="AR248" s="178">
        <f t="shared" si="198"/>
        <v>1795500</v>
      </c>
      <c r="AS248" s="178"/>
      <c r="AT248" s="178">
        <f t="shared" si="199"/>
        <v>9316131</v>
      </c>
      <c r="AU248" s="469">
        <f t="shared" si="200"/>
        <v>230</v>
      </c>
      <c r="AV248" s="186"/>
      <c r="AW248" s="198" t="s">
        <v>704</v>
      </c>
    </row>
    <row r="249" spans="1:59" s="189" customFormat="1" ht="34.5" customHeight="1" x14ac:dyDescent="0.25">
      <c r="A249" s="900">
        <f t="shared" si="186"/>
        <v>231</v>
      </c>
      <c r="B249" s="168" t="str">
        <f>VLOOKUP(D249,[1]LuongBC_T01!$B$9:$C$292,2,FALSE)</f>
        <v>0016100006610007</v>
      </c>
      <c r="C249" s="513" t="s">
        <v>1004</v>
      </c>
      <c r="D249" s="169" t="s">
        <v>1230</v>
      </c>
      <c r="E249" s="263" t="s">
        <v>1392</v>
      </c>
      <c r="F249" s="169" t="s">
        <v>549</v>
      </c>
      <c r="G249" s="200"/>
      <c r="H249" s="200" t="s">
        <v>283</v>
      </c>
      <c r="I249" s="200" t="s">
        <v>283</v>
      </c>
      <c r="J249" s="200"/>
      <c r="K249" s="170" t="str">
        <f>VLOOKUP(D249,[2]T3!$B$2:$D$328,3,FALSE)</f>
        <v>025764174</v>
      </c>
      <c r="L249" s="213" t="s">
        <v>674</v>
      </c>
      <c r="M249" s="213" t="s">
        <v>1004</v>
      </c>
      <c r="N249" s="263" t="str">
        <f>VLOOKUP(D249,'[5]Bao cao So GDDT'!$D$14:$S$282,11,FALSE)</f>
        <v>Giảng viên GDNN LT (hạng III)</v>
      </c>
      <c r="O249" s="390" t="s">
        <v>1438</v>
      </c>
      <c r="P249" s="222" t="s">
        <v>692</v>
      </c>
      <c r="Q249" s="172">
        <v>3</v>
      </c>
      <c r="R249" s="430">
        <v>3.66</v>
      </c>
      <c r="S249" s="176">
        <f t="shared" si="206"/>
        <v>0.43919999999999998</v>
      </c>
      <c r="T249" s="220"/>
      <c r="U249" s="176">
        <f t="shared" si="190"/>
        <v>0</v>
      </c>
      <c r="V249" s="175">
        <f t="shared" si="207"/>
        <v>0</v>
      </c>
      <c r="W249" s="170"/>
      <c r="X249" s="179">
        <v>0.12</v>
      </c>
      <c r="Y249" s="216">
        <f t="shared" si="191"/>
        <v>0.43919999999999998</v>
      </c>
      <c r="Z249" s="216">
        <f t="shared" si="192"/>
        <v>4.0991999999999997</v>
      </c>
      <c r="AA249" s="180">
        <f t="shared" si="193"/>
        <v>7378560</v>
      </c>
      <c r="AB249" s="180"/>
      <c r="AC249" s="180">
        <f t="shared" si="194"/>
        <v>0</v>
      </c>
      <c r="AD249" s="180">
        <v>0</v>
      </c>
      <c r="AE249" s="180">
        <f t="shared" si="195"/>
        <v>7378560</v>
      </c>
      <c r="AF249" s="178">
        <f t="shared" si="202"/>
        <v>590284.80000000005</v>
      </c>
      <c r="AG249" s="178">
        <f t="shared" si="203"/>
        <v>110678.39999999999</v>
      </c>
      <c r="AH249" s="178">
        <f t="shared" si="204"/>
        <v>73785.600000000006</v>
      </c>
      <c r="AI249" s="178"/>
      <c r="AJ249" s="178">
        <f t="shared" si="196"/>
        <v>774748.8</v>
      </c>
      <c r="AK249" s="192"/>
      <c r="AL249" s="182">
        <f t="shared" si="208"/>
        <v>0</v>
      </c>
      <c r="AM249" s="182"/>
      <c r="AN249" s="182"/>
      <c r="AO249" s="193">
        <f t="shared" si="205"/>
        <v>3.66</v>
      </c>
      <c r="AP249" s="246">
        <v>0.25</v>
      </c>
      <c r="AQ249" s="194">
        <f t="shared" si="197"/>
        <v>0.91500000000000004</v>
      </c>
      <c r="AR249" s="178">
        <f t="shared" si="198"/>
        <v>1647000</v>
      </c>
      <c r="AS249" s="178"/>
      <c r="AT249" s="178">
        <f t="shared" si="199"/>
        <v>8250811</v>
      </c>
      <c r="AU249" s="469">
        <f t="shared" si="200"/>
        <v>231</v>
      </c>
      <c r="AV249" s="195"/>
      <c r="AW249" s="198" t="s">
        <v>704</v>
      </c>
    </row>
    <row r="250" spans="1:59" s="189" customFormat="1" ht="36" customHeight="1" x14ac:dyDescent="0.25">
      <c r="A250" s="900">
        <f t="shared" si="186"/>
        <v>232</v>
      </c>
      <c r="B250" s="168" t="str">
        <f>VLOOKUP(D250,[1]LuongBC_T01!$B$9:$C$292,2,FALSE)</f>
        <v>0016100006584009</v>
      </c>
      <c r="C250" s="199" t="s">
        <v>1002</v>
      </c>
      <c r="D250" s="169" t="s">
        <v>669</v>
      </c>
      <c r="E250" s="263" t="s">
        <v>1392</v>
      </c>
      <c r="F250" s="169" t="s">
        <v>549</v>
      </c>
      <c r="G250" s="200"/>
      <c r="H250" s="200" t="s">
        <v>283</v>
      </c>
      <c r="I250" s="200" t="s">
        <v>283</v>
      </c>
      <c r="J250" s="200"/>
      <c r="K250" s="170" t="str">
        <f>VLOOKUP(D250,[2]T3!$B$2:$D$328,3,FALSE)</f>
        <v>025633696</v>
      </c>
      <c r="L250" s="201" t="s">
        <v>673</v>
      </c>
      <c r="M250" s="201" t="s">
        <v>1002</v>
      </c>
      <c r="N250" s="263" t="str">
        <f>VLOOKUP(D250,'[5]Bao cao So GDDT'!$D$14:$S$282,11,FALSE)</f>
        <v>Giảng viên GDNN LT (hạng III)</v>
      </c>
      <c r="O250" s="390" t="s">
        <v>1438</v>
      </c>
      <c r="P250" s="222" t="s">
        <v>692</v>
      </c>
      <c r="Q250" s="172">
        <v>3</v>
      </c>
      <c r="R250" s="430">
        <v>3.66</v>
      </c>
      <c r="S250" s="176">
        <f t="shared" si="206"/>
        <v>0.43919999999999998</v>
      </c>
      <c r="T250" s="220"/>
      <c r="U250" s="176">
        <f t="shared" si="190"/>
        <v>0</v>
      </c>
      <c r="V250" s="175">
        <f t="shared" si="207"/>
        <v>0</v>
      </c>
      <c r="W250" s="170"/>
      <c r="X250" s="179">
        <v>0.12</v>
      </c>
      <c r="Y250" s="216">
        <f t="shared" si="191"/>
        <v>0.43919999999999998</v>
      </c>
      <c r="Z250" s="216">
        <f t="shared" si="192"/>
        <v>4.0991999999999997</v>
      </c>
      <c r="AA250" s="180">
        <f t="shared" si="193"/>
        <v>7378560</v>
      </c>
      <c r="AB250" s="180"/>
      <c r="AC250" s="180">
        <f t="shared" si="194"/>
        <v>0</v>
      </c>
      <c r="AD250" s="180">
        <v>0</v>
      </c>
      <c r="AE250" s="180">
        <f t="shared" si="195"/>
        <v>7378560</v>
      </c>
      <c r="AF250" s="178">
        <f t="shared" si="202"/>
        <v>590284.80000000005</v>
      </c>
      <c r="AG250" s="178">
        <f t="shared" si="203"/>
        <v>110678.39999999999</v>
      </c>
      <c r="AH250" s="178">
        <f t="shared" si="204"/>
        <v>73785.600000000006</v>
      </c>
      <c r="AI250" s="178"/>
      <c r="AJ250" s="178">
        <f t="shared" si="196"/>
        <v>774748.8</v>
      </c>
      <c r="AK250" s="192"/>
      <c r="AL250" s="182">
        <f t="shared" si="208"/>
        <v>0</v>
      </c>
      <c r="AM250" s="182"/>
      <c r="AN250" s="182"/>
      <c r="AO250" s="193">
        <f t="shared" si="205"/>
        <v>3.66</v>
      </c>
      <c r="AP250" s="246">
        <v>0.25</v>
      </c>
      <c r="AQ250" s="194">
        <f t="shared" si="197"/>
        <v>0.91500000000000004</v>
      </c>
      <c r="AR250" s="178">
        <f t="shared" si="198"/>
        <v>1647000</v>
      </c>
      <c r="AS250" s="178"/>
      <c r="AT250" s="178">
        <f t="shared" si="199"/>
        <v>8250811</v>
      </c>
      <c r="AU250" s="469">
        <f t="shared" si="200"/>
        <v>232</v>
      </c>
      <c r="AV250" s="195"/>
      <c r="AW250" s="198" t="s">
        <v>704</v>
      </c>
    </row>
    <row r="251" spans="1:59" s="189" customFormat="1" ht="30.75" customHeight="1" x14ac:dyDescent="0.25">
      <c r="A251" s="900">
        <f t="shared" si="186"/>
        <v>233</v>
      </c>
      <c r="B251" s="168" t="str">
        <f>VLOOKUP(D251,[1]LuongBC_T01!$B$9:$C$292,2,FALSE)</f>
        <v>0016100006555009</v>
      </c>
      <c r="C251" s="199" t="s">
        <v>969</v>
      </c>
      <c r="D251" s="169" t="s">
        <v>68</v>
      </c>
      <c r="E251" s="263" t="s">
        <v>1376</v>
      </c>
      <c r="F251" s="169" t="s">
        <v>549</v>
      </c>
      <c r="G251" s="200"/>
      <c r="H251" s="200" t="s">
        <v>283</v>
      </c>
      <c r="I251" s="170" t="s">
        <v>283</v>
      </c>
      <c r="J251" s="169" t="s">
        <v>250</v>
      </c>
      <c r="K251" s="168" t="s">
        <v>1342</v>
      </c>
      <c r="L251" s="171" t="s">
        <v>117</v>
      </c>
      <c r="M251" s="171" t="s">
        <v>969</v>
      </c>
      <c r="N251" s="263" t="str">
        <f>VLOOKUP(D251,'[5]Bao cao So GDDT'!$D$14:$S$282,11,FALSE)</f>
        <v>Giảng viên GDNN LT (hạng III)</v>
      </c>
      <c r="O251" s="390" t="s">
        <v>1438</v>
      </c>
      <c r="P251" s="172" t="s">
        <v>692</v>
      </c>
      <c r="Q251" s="173">
        <v>4</v>
      </c>
      <c r="R251" s="174">
        <v>3.99</v>
      </c>
      <c r="S251" s="176">
        <f t="shared" si="206"/>
        <v>0.71819999999999995</v>
      </c>
      <c r="T251" s="370"/>
      <c r="U251" s="176">
        <f t="shared" si="190"/>
        <v>0</v>
      </c>
      <c r="V251" s="175">
        <f t="shared" si="207"/>
        <v>0</v>
      </c>
      <c r="W251" s="170"/>
      <c r="X251" s="179">
        <v>0.18</v>
      </c>
      <c r="Y251" s="216">
        <f t="shared" si="191"/>
        <v>0.71819999999999995</v>
      </c>
      <c r="Z251" s="216">
        <f t="shared" si="192"/>
        <v>4.7081999999999997</v>
      </c>
      <c r="AA251" s="180">
        <f t="shared" si="193"/>
        <v>8474760</v>
      </c>
      <c r="AB251" s="180"/>
      <c r="AC251" s="180">
        <f t="shared" si="194"/>
        <v>0</v>
      </c>
      <c r="AD251" s="180">
        <f t="shared" ref="AD251:AD266" si="209">AA251/24*AB251*75%</f>
        <v>0</v>
      </c>
      <c r="AE251" s="180">
        <f t="shared" si="195"/>
        <v>8474760</v>
      </c>
      <c r="AF251" s="178">
        <f t="shared" si="202"/>
        <v>677980.8</v>
      </c>
      <c r="AG251" s="178">
        <f t="shared" si="203"/>
        <v>127121.4</v>
      </c>
      <c r="AH251" s="178">
        <f t="shared" si="204"/>
        <v>84747.6</v>
      </c>
      <c r="AI251" s="178"/>
      <c r="AJ251" s="178">
        <f t="shared" si="196"/>
        <v>889849.8</v>
      </c>
      <c r="AK251" s="192"/>
      <c r="AL251" s="182">
        <f t="shared" si="208"/>
        <v>0</v>
      </c>
      <c r="AM251" s="182"/>
      <c r="AN251" s="182"/>
      <c r="AO251" s="193">
        <f t="shared" si="205"/>
        <v>3.99</v>
      </c>
      <c r="AP251" s="246">
        <v>0.25</v>
      </c>
      <c r="AQ251" s="194">
        <f t="shared" si="197"/>
        <v>0.99750000000000005</v>
      </c>
      <c r="AR251" s="178">
        <f t="shared" si="198"/>
        <v>1795500</v>
      </c>
      <c r="AS251" s="178"/>
      <c r="AT251" s="178">
        <f t="shared" si="199"/>
        <v>9380410</v>
      </c>
      <c r="AU251" s="469">
        <f t="shared" si="200"/>
        <v>233</v>
      </c>
      <c r="AV251" s="195"/>
      <c r="AW251" s="198" t="s">
        <v>704</v>
      </c>
    </row>
    <row r="252" spans="1:59" s="191" customFormat="1" ht="30.75" customHeight="1" x14ac:dyDescent="0.25">
      <c r="A252" s="1035">
        <f t="shared" si="186"/>
        <v>234</v>
      </c>
      <c r="B252" s="683"/>
      <c r="C252" s="704" t="s">
        <v>1573</v>
      </c>
      <c r="D252" s="684" t="s">
        <v>1516</v>
      </c>
      <c r="E252" s="685" t="s">
        <v>1376</v>
      </c>
      <c r="F252" s="717"/>
      <c r="G252" s="706"/>
      <c r="H252" s="706"/>
      <c r="I252" s="706"/>
      <c r="J252" s="717"/>
      <c r="K252" s="686"/>
      <c r="L252" s="761"/>
      <c r="M252" s="761"/>
      <c r="N252" s="685" t="str">
        <f>VLOOKUP(D252,'[5]Bao cao So GDDT'!$D$14:$S$282,11,FALSE)</f>
        <v>Giáo viên GDNN LT (hạng III)</v>
      </c>
      <c r="O252" s="687" t="s">
        <v>1438</v>
      </c>
      <c r="P252" s="688"/>
      <c r="Q252" s="689"/>
      <c r="R252" s="690">
        <v>3.99</v>
      </c>
      <c r="S252" s="691"/>
      <c r="T252" s="762"/>
      <c r="U252" s="691">
        <f t="shared" si="190"/>
        <v>0</v>
      </c>
      <c r="V252" s="693"/>
      <c r="W252" s="706"/>
      <c r="X252" s="694">
        <v>0.15</v>
      </c>
      <c r="Y252" s="695">
        <f t="shared" si="191"/>
        <v>0.59850000000000003</v>
      </c>
      <c r="Z252" s="695">
        <f t="shared" si="192"/>
        <v>4.5884999999999998</v>
      </c>
      <c r="AA252" s="696">
        <f t="shared" si="193"/>
        <v>8259300</v>
      </c>
      <c r="AB252" s="696"/>
      <c r="AC252" s="696">
        <f t="shared" si="194"/>
        <v>0</v>
      </c>
      <c r="AD252" s="696">
        <f t="shared" si="209"/>
        <v>0</v>
      </c>
      <c r="AE252" s="696">
        <f t="shared" si="195"/>
        <v>8259300</v>
      </c>
      <c r="AF252" s="697">
        <f t="shared" si="202"/>
        <v>660744</v>
      </c>
      <c r="AG252" s="697">
        <f t="shared" si="203"/>
        <v>123889.5</v>
      </c>
      <c r="AH252" s="697">
        <f t="shared" si="204"/>
        <v>82593</v>
      </c>
      <c r="AI252" s="697"/>
      <c r="AJ252" s="697">
        <f t="shared" si="196"/>
        <v>867226.5</v>
      </c>
      <c r="AK252" s="763"/>
      <c r="AL252" s="698">
        <f t="shared" si="208"/>
        <v>0</v>
      </c>
      <c r="AM252" s="698"/>
      <c r="AN252" s="698"/>
      <c r="AO252" s="707">
        <f t="shared" si="205"/>
        <v>3.99</v>
      </c>
      <c r="AP252" s="694">
        <v>0.25</v>
      </c>
      <c r="AQ252" s="767">
        <f t="shared" si="197"/>
        <v>0.99750000000000005</v>
      </c>
      <c r="AR252" s="697">
        <f t="shared" si="198"/>
        <v>1795500</v>
      </c>
      <c r="AS252" s="697"/>
      <c r="AT252" s="697">
        <f t="shared" si="199"/>
        <v>9187574</v>
      </c>
      <c r="AU252" s="699">
        <f t="shared" si="200"/>
        <v>234</v>
      </c>
      <c r="AV252" s="700"/>
      <c r="AW252" s="198"/>
    </row>
    <row r="253" spans="1:59" s="189" customFormat="1" ht="30.75" customHeight="1" x14ac:dyDescent="0.25">
      <c r="A253" s="900">
        <f t="shared" si="186"/>
        <v>235</v>
      </c>
      <c r="B253" s="168" t="str">
        <f>VLOOKUP(D253,[1]LuongBC_T01!$B$9:$C$292,2,FALSE)</f>
        <v>0016100007189006</v>
      </c>
      <c r="C253" s="170" t="s">
        <v>1322</v>
      </c>
      <c r="D253" s="169" t="s">
        <v>1271</v>
      </c>
      <c r="E253" s="263" t="s">
        <v>1376</v>
      </c>
      <c r="F253" s="220"/>
      <c r="G253" s="220"/>
      <c r="H253" s="220"/>
      <c r="I253" s="220"/>
      <c r="J253" s="220"/>
      <c r="K253" s="456" t="str">
        <f>VLOOKUP(D253,[2]T3!$B$2:$D$328,3,FALSE)</f>
        <v>051088000077</v>
      </c>
      <c r="L253" s="220"/>
      <c r="M253" s="170"/>
      <c r="N253" s="263" t="str">
        <f>VLOOKUP(D253,'[5]Bao cao So GDDT'!$D$14:$S$282,11,FALSE)</f>
        <v>Giảng viên GDNN LT (hạng III)</v>
      </c>
      <c r="O253" s="390" t="s">
        <v>1438</v>
      </c>
      <c r="P253" s="251" t="s">
        <v>1267</v>
      </c>
      <c r="Q253" s="251">
        <v>2</v>
      </c>
      <c r="R253" s="177">
        <v>3</v>
      </c>
      <c r="S253" s="176"/>
      <c r="T253" s="220"/>
      <c r="U253" s="176">
        <f t="shared" si="190"/>
        <v>0</v>
      </c>
      <c r="V253" s="175"/>
      <c r="W253" s="170"/>
      <c r="X253" s="179">
        <f>VLOOKUP(D253,PCTN!D259:W526,20,FALSE)</f>
        <v>0</v>
      </c>
      <c r="Y253" s="216">
        <f t="shared" si="191"/>
        <v>0</v>
      </c>
      <c r="Z253" s="216">
        <f t="shared" si="192"/>
        <v>3</v>
      </c>
      <c r="AA253" s="180">
        <f t="shared" si="193"/>
        <v>5400000</v>
      </c>
      <c r="AB253" s="180"/>
      <c r="AC253" s="180">
        <f t="shared" si="194"/>
        <v>0</v>
      </c>
      <c r="AD253" s="180">
        <f t="shared" si="209"/>
        <v>0</v>
      </c>
      <c r="AE253" s="180">
        <f t="shared" si="195"/>
        <v>5400000</v>
      </c>
      <c r="AF253" s="178">
        <f t="shared" si="202"/>
        <v>432000</v>
      </c>
      <c r="AG253" s="178">
        <f t="shared" si="203"/>
        <v>81000</v>
      </c>
      <c r="AH253" s="178">
        <f t="shared" si="204"/>
        <v>54000</v>
      </c>
      <c r="AI253" s="178"/>
      <c r="AJ253" s="178">
        <f t="shared" si="196"/>
        <v>567000</v>
      </c>
      <c r="AK253" s="192"/>
      <c r="AL253" s="182">
        <f t="shared" si="208"/>
        <v>0</v>
      </c>
      <c r="AM253" s="182"/>
      <c r="AN253" s="182"/>
      <c r="AO253" s="183">
        <f t="shared" si="205"/>
        <v>3</v>
      </c>
      <c r="AP253" s="246">
        <v>0.25</v>
      </c>
      <c r="AQ253" s="185">
        <f t="shared" si="197"/>
        <v>0.75</v>
      </c>
      <c r="AR253" s="178">
        <f t="shared" si="198"/>
        <v>1350000</v>
      </c>
      <c r="AS253" s="178"/>
      <c r="AT253" s="178">
        <f t="shared" si="199"/>
        <v>6183000</v>
      </c>
      <c r="AU253" s="469">
        <f t="shared" si="200"/>
        <v>235</v>
      </c>
      <c r="AV253" s="195"/>
      <c r="AW253" s="486" t="s">
        <v>1272</v>
      </c>
      <c r="AX253" s="29"/>
      <c r="AY253" s="29"/>
      <c r="AZ253" s="29"/>
      <c r="BA253" s="29"/>
      <c r="BB253" s="29"/>
      <c r="BC253" s="29"/>
      <c r="BD253" s="29"/>
      <c r="BE253" s="29"/>
      <c r="BF253" s="29"/>
      <c r="BG253" s="29"/>
    </row>
    <row r="254" spans="1:59" s="189" customFormat="1" ht="30.75" customHeight="1" x14ac:dyDescent="0.25">
      <c r="A254" s="1056">
        <f t="shared" si="186"/>
        <v>236</v>
      </c>
      <c r="B254" s="1057" t="str">
        <f>VLOOKUP(D254,[1]LuongBC_T01!$B$9:$C$292,2,FALSE)</f>
        <v>0016100012091006</v>
      </c>
      <c r="C254" s="1061" t="s">
        <v>1329</v>
      </c>
      <c r="D254" s="1059" t="s">
        <v>1304</v>
      </c>
      <c r="E254" s="1060" t="s">
        <v>1663</v>
      </c>
      <c r="F254" s="1105"/>
      <c r="G254" s="1105"/>
      <c r="H254" s="1105"/>
      <c r="I254" s="1105"/>
      <c r="J254" s="1105"/>
      <c r="K254" s="1057" t="s">
        <v>1347</v>
      </c>
      <c r="L254" s="1105"/>
      <c r="M254" s="1061"/>
      <c r="N254" s="1060" t="str">
        <f>VLOOKUP(D254,'[5]Bao cao So GDDT'!$D$14:$S$282,11,FALSE)</f>
        <v>Giảng viên GDNN LT (hạng III)</v>
      </c>
      <c r="O254" s="1060" t="s">
        <v>1438</v>
      </c>
      <c r="P254" s="1106"/>
      <c r="Q254" s="1106"/>
      <c r="R254" s="1061">
        <v>2.67</v>
      </c>
      <c r="S254" s="1067"/>
      <c r="T254" s="1105"/>
      <c r="U254" s="1067">
        <f t="shared" si="190"/>
        <v>0</v>
      </c>
      <c r="V254" s="1069"/>
      <c r="W254" s="1061">
        <v>0.25</v>
      </c>
      <c r="X254" s="1070">
        <f>VLOOKUP(D254,PCTN!D277:W544,20,FALSE)</f>
        <v>0</v>
      </c>
      <c r="Y254" s="1071">
        <f t="shared" si="191"/>
        <v>0</v>
      </c>
      <c r="Z254" s="1071">
        <f t="shared" si="192"/>
        <v>2.92</v>
      </c>
      <c r="AA254" s="1072">
        <f t="shared" si="193"/>
        <v>5256000</v>
      </c>
      <c r="AB254" s="1072"/>
      <c r="AC254" s="1072">
        <f t="shared" si="194"/>
        <v>0</v>
      </c>
      <c r="AD254" s="1072">
        <f t="shared" si="209"/>
        <v>0</v>
      </c>
      <c r="AE254" s="1072">
        <f t="shared" si="195"/>
        <v>5256000</v>
      </c>
      <c r="AF254" s="1073">
        <f t="shared" si="202"/>
        <v>420480</v>
      </c>
      <c r="AG254" s="1073">
        <f t="shared" si="203"/>
        <v>78840</v>
      </c>
      <c r="AH254" s="1073">
        <f t="shared" si="204"/>
        <v>52560</v>
      </c>
      <c r="AI254" s="1073"/>
      <c r="AJ254" s="1073">
        <f t="shared" si="196"/>
        <v>551880</v>
      </c>
      <c r="AK254" s="1074"/>
      <c r="AL254" s="1075">
        <f t="shared" si="208"/>
        <v>0</v>
      </c>
      <c r="AM254" s="1075"/>
      <c r="AN254" s="1075"/>
      <c r="AO254" s="1101">
        <f t="shared" si="205"/>
        <v>2.92</v>
      </c>
      <c r="AP254" s="1077">
        <v>0.25</v>
      </c>
      <c r="AQ254" s="1096">
        <f t="shared" si="197"/>
        <v>0.73</v>
      </c>
      <c r="AR254" s="1073">
        <f t="shared" si="198"/>
        <v>1314000</v>
      </c>
      <c r="AS254" s="1073"/>
      <c r="AT254" s="1073">
        <f t="shared" si="199"/>
        <v>6018120</v>
      </c>
      <c r="AU254" s="1079">
        <f t="shared" si="200"/>
        <v>236</v>
      </c>
      <c r="AV254" s="1097"/>
      <c r="AW254" s="486"/>
    </row>
    <row r="255" spans="1:59" s="189" customFormat="1" ht="30.75" customHeight="1" x14ac:dyDescent="0.25">
      <c r="A255" s="900">
        <f t="shared" si="186"/>
        <v>237</v>
      </c>
      <c r="B255" s="168" t="str">
        <f>VLOOKUP(D255,[1]LuongBC_T01!$B$9:$C$292,2,FALSE)</f>
        <v>0016100007188007</v>
      </c>
      <c r="C255" s="170" t="s">
        <v>1330</v>
      </c>
      <c r="D255" s="169" t="s">
        <v>1273</v>
      </c>
      <c r="E255" s="263" t="s">
        <v>1392</v>
      </c>
      <c r="F255" s="220"/>
      <c r="G255" s="220"/>
      <c r="H255" s="220"/>
      <c r="I255" s="220"/>
      <c r="J255" s="220"/>
      <c r="K255" s="170" t="str">
        <f>VLOOKUP(D255,[2]T3!$B$2:$D$328,3,FALSE)</f>
        <v>024255580</v>
      </c>
      <c r="L255" s="220"/>
      <c r="M255" s="170"/>
      <c r="N255" s="263" t="str">
        <f>VLOOKUP(D255,'[5]Bao cao So GDDT'!$D$14:$S$282,11,FALSE)</f>
        <v>Giảng viên GDNN LT (hạng III)</v>
      </c>
      <c r="O255" s="390" t="s">
        <v>1438</v>
      </c>
      <c r="P255" s="251" t="s">
        <v>1267</v>
      </c>
      <c r="Q255" s="251">
        <v>1</v>
      </c>
      <c r="R255" s="170">
        <v>2.67</v>
      </c>
      <c r="S255" s="176"/>
      <c r="T255" s="220"/>
      <c r="U255" s="176">
        <f t="shared" si="190"/>
        <v>0</v>
      </c>
      <c r="V255" s="175"/>
      <c r="W255" s="170">
        <v>0.25</v>
      </c>
      <c r="X255" s="179">
        <f>VLOOKUP(D255,PCTN!D274:W541,20,FALSE)</f>
        <v>0</v>
      </c>
      <c r="Y255" s="216">
        <f t="shared" si="191"/>
        <v>0</v>
      </c>
      <c r="Z255" s="216">
        <f t="shared" si="192"/>
        <v>2.92</v>
      </c>
      <c r="AA255" s="180">
        <f t="shared" si="193"/>
        <v>5256000</v>
      </c>
      <c r="AB255" s="180"/>
      <c r="AC255" s="180">
        <f t="shared" si="194"/>
        <v>0</v>
      </c>
      <c r="AD255" s="180">
        <f t="shared" si="209"/>
        <v>0</v>
      </c>
      <c r="AE255" s="180">
        <f t="shared" si="195"/>
        <v>5256000</v>
      </c>
      <c r="AF255" s="178">
        <f t="shared" si="202"/>
        <v>420480</v>
      </c>
      <c r="AG255" s="178">
        <f t="shared" si="203"/>
        <v>78840</v>
      </c>
      <c r="AH255" s="178">
        <f t="shared" si="204"/>
        <v>52560</v>
      </c>
      <c r="AI255" s="178"/>
      <c r="AJ255" s="178">
        <f t="shared" si="196"/>
        <v>551880</v>
      </c>
      <c r="AK255" s="192"/>
      <c r="AL255" s="182">
        <f t="shared" si="208"/>
        <v>0</v>
      </c>
      <c r="AM255" s="182"/>
      <c r="AN255" s="182"/>
      <c r="AO255" s="183">
        <f t="shared" si="205"/>
        <v>2.92</v>
      </c>
      <c r="AP255" s="246">
        <v>0.25</v>
      </c>
      <c r="AQ255" s="185">
        <f t="shared" si="197"/>
        <v>0.73</v>
      </c>
      <c r="AR255" s="178">
        <f t="shared" si="198"/>
        <v>1314000</v>
      </c>
      <c r="AS255" s="178"/>
      <c r="AT255" s="178">
        <f t="shared" si="199"/>
        <v>6018120</v>
      </c>
      <c r="AU255" s="469">
        <f t="shared" si="200"/>
        <v>237</v>
      </c>
      <c r="AV255" s="195"/>
      <c r="AW255" s="486" t="s">
        <v>1139</v>
      </c>
      <c r="AX255" s="29"/>
      <c r="AY255" s="29"/>
      <c r="AZ255" s="29"/>
      <c r="BA255" s="29"/>
      <c r="BB255" s="29"/>
      <c r="BC255" s="29"/>
      <c r="BD255" s="29"/>
      <c r="BE255" s="29"/>
      <c r="BF255" s="29"/>
      <c r="BG255" s="29"/>
    </row>
    <row r="256" spans="1:59" s="189" customFormat="1" ht="30.75" customHeight="1" x14ac:dyDescent="0.25">
      <c r="A256" s="900">
        <f t="shared" si="186"/>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VLOOKUP(D256,'[5]Bao cao So GDDT'!$D$14:$S$282,11,FALSE)</f>
        <v>Giảng viên GDNN LT (hạng III)</v>
      </c>
      <c r="O256" s="390" t="s">
        <v>1438</v>
      </c>
      <c r="P256" s="172" t="s">
        <v>692</v>
      </c>
      <c r="Q256" s="173">
        <v>5</v>
      </c>
      <c r="R256" s="174">
        <v>4.32</v>
      </c>
      <c r="S256" s="176">
        <f t="shared" ref="S256:S264" si="210">U256+W256+Y256</f>
        <v>1.2608999999999999</v>
      </c>
      <c r="T256" s="370"/>
      <c r="U256" s="176">
        <f t="shared" si="190"/>
        <v>0</v>
      </c>
      <c r="V256" s="175">
        <f>R256*T256*$D$8/100</f>
        <v>0</v>
      </c>
      <c r="W256" s="170">
        <v>0.45</v>
      </c>
      <c r="X256" s="179">
        <v>0.17</v>
      </c>
      <c r="Y256" s="216">
        <f t="shared" si="191"/>
        <v>0.81089999999999995</v>
      </c>
      <c r="Z256" s="216">
        <f t="shared" si="192"/>
        <v>5.5809000000000006</v>
      </c>
      <c r="AA256" s="180">
        <f t="shared" si="193"/>
        <v>10045620</v>
      </c>
      <c r="AB256" s="180"/>
      <c r="AC256" s="180">
        <f t="shared" si="194"/>
        <v>0</v>
      </c>
      <c r="AD256" s="180">
        <f t="shared" si="209"/>
        <v>0</v>
      </c>
      <c r="AE256" s="180">
        <f t="shared" si="195"/>
        <v>10045620</v>
      </c>
      <c r="AF256" s="178">
        <f t="shared" si="202"/>
        <v>803649.6</v>
      </c>
      <c r="AG256" s="178">
        <f t="shared" si="203"/>
        <v>150684.29999999999</v>
      </c>
      <c r="AH256" s="178">
        <f t="shared" si="204"/>
        <v>100456.2</v>
      </c>
      <c r="AI256" s="178"/>
      <c r="AJ256" s="178">
        <f t="shared" si="196"/>
        <v>1054790.0999999999</v>
      </c>
      <c r="AK256" s="192"/>
      <c r="AL256" s="182">
        <f t="shared" ref="AL256:AL280" si="211">AK256*$D$8</f>
        <v>0</v>
      </c>
      <c r="AM256" s="182"/>
      <c r="AN256" s="182"/>
      <c r="AO256" s="193">
        <f t="shared" si="205"/>
        <v>4.7700000000000005</v>
      </c>
      <c r="AP256" s="246">
        <v>0.25</v>
      </c>
      <c r="AQ256" s="194">
        <f t="shared" si="197"/>
        <v>1.1924999999999999</v>
      </c>
      <c r="AR256" s="178">
        <f t="shared" si="198"/>
        <v>2146500</v>
      </c>
      <c r="AS256" s="178"/>
      <c r="AT256" s="178">
        <f t="shared" si="199"/>
        <v>11137330</v>
      </c>
      <c r="AU256" s="469">
        <f t="shared" si="200"/>
        <v>238</v>
      </c>
      <c r="AV256" s="195"/>
      <c r="AW256" s="198" t="s">
        <v>714</v>
      </c>
    </row>
    <row r="257" spans="1:59" s="191" customFormat="1" ht="30.75" customHeight="1" x14ac:dyDescent="0.25">
      <c r="A257" s="900">
        <f t="shared" si="186"/>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VLOOKUP(D257,'[5]Bao cao So GDDT'!$D$14:$S$282,11,FALSE)</f>
        <v>Giảng viên GDNN LT (hạng III)</v>
      </c>
      <c r="O257" s="390" t="s">
        <v>1438</v>
      </c>
      <c r="P257" s="172" t="s">
        <v>692</v>
      </c>
      <c r="Q257" s="173">
        <v>4</v>
      </c>
      <c r="R257" s="174">
        <v>4.32</v>
      </c>
      <c r="S257" s="176">
        <f t="shared" si="210"/>
        <v>0.98119999999999996</v>
      </c>
      <c r="T257" s="377"/>
      <c r="U257" s="176">
        <f t="shared" si="190"/>
        <v>0</v>
      </c>
      <c r="V257" s="175">
        <f>R257*T257*$D$8/100</f>
        <v>0</v>
      </c>
      <c r="W257" s="170">
        <v>0.25</v>
      </c>
      <c r="X257" s="179">
        <v>0.16</v>
      </c>
      <c r="Y257" s="216">
        <f t="shared" si="191"/>
        <v>0.73119999999999996</v>
      </c>
      <c r="Z257" s="216">
        <f t="shared" si="192"/>
        <v>5.3012000000000006</v>
      </c>
      <c r="AA257" s="180">
        <f t="shared" si="193"/>
        <v>9542160</v>
      </c>
      <c r="AB257" s="180"/>
      <c r="AC257" s="180">
        <f t="shared" si="194"/>
        <v>0</v>
      </c>
      <c r="AD257" s="180">
        <f t="shared" si="209"/>
        <v>0</v>
      </c>
      <c r="AE257" s="180">
        <f t="shared" si="195"/>
        <v>9542160</v>
      </c>
      <c r="AF257" s="178">
        <f t="shared" si="202"/>
        <v>763372.8</v>
      </c>
      <c r="AG257" s="178">
        <f t="shared" si="203"/>
        <v>143132.4</v>
      </c>
      <c r="AH257" s="178">
        <f t="shared" si="204"/>
        <v>95421.6</v>
      </c>
      <c r="AI257" s="178"/>
      <c r="AJ257" s="178">
        <f t="shared" si="196"/>
        <v>1001926.8</v>
      </c>
      <c r="AK257" s="181"/>
      <c r="AL257" s="182">
        <f t="shared" si="211"/>
        <v>0</v>
      </c>
      <c r="AM257" s="182"/>
      <c r="AN257" s="182"/>
      <c r="AO257" s="193">
        <f t="shared" si="205"/>
        <v>4.57</v>
      </c>
      <c r="AP257" s="246">
        <v>0.25</v>
      </c>
      <c r="AQ257" s="194">
        <f t="shared" si="197"/>
        <v>1.1425000000000001</v>
      </c>
      <c r="AR257" s="178">
        <f t="shared" si="198"/>
        <v>2056500</v>
      </c>
      <c r="AS257" s="178"/>
      <c r="AT257" s="178">
        <f t="shared" si="199"/>
        <v>10596733</v>
      </c>
      <c r="AU257" s="469">
        <f t="shared" si="200"/>
        <v>239</v>
      </c>
      <c r="AV257" s="195"/>
      <c r="AW257" s="242" t="s">
        <v>714</v>
      </c>
    </row>
    <row r="258" spans="1:59" s="189" customFormat="1" ht="30.75" customHeight="1" x14ac:dyDescent="0.25">
      <c r="A258" s="900">
        <f t="shared" si="186"/>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VLOOKUP(D258,'[5]Bao cao So GDDT'!$D$14:$S$282,11,FALSE)</f>
        <v>Giảng viên GDNN LT (hạng III)</v>
      </c>
      <c r="O258" s="390" t="s">
        <v>1438</v>
      </c>
      <c r="P258" s="172" t="s">
        <v>692</v>
      </c>
      <c r="Q258" s="173">
        <v>4</v>
      </c>
      <c r="R258" s="174">
        <v>3.99</v>
      </c>
      <c r="S258" s="176">
        <f t="shared" si="210"/>
        <v>0.84360000000000002</v>
      </c>
      <c r="T258" s="370"/>
      <c r="U258" s="176">
        <f t="shared" ref="U258:U285" si="212">ROUND(R258*T258/100,4)</f>
        <v>0</v>
      </c>
      <c r="V258" s="175">
        <f>R258*T258*$D$8/100</f>
        <v>0</v>
      </c>
      <c r="W258" s="170">
        <v>0.25</v>
      </c>
      <c r="X258" s="179">
        <v>0.14000000000000001</v>
      </c>
      <c r="Y258" s="216">
        <f t="shared" ref="Y258:Y285" si="213">ROUND((R258+U258+W258)*X258,4)</f>
        <v>0.59360000000000002</v>
      </c>
      <c r="Z258" s="216">
        <f t="shared" ref="Z258:Z285" si="214">R258+U258+W258+Y258</f>
        <v>4.8336000000000006</v>
      </c>
      <c r="AA258" s="180">
        <f t="shared" ref="AA258:AA285" si="215">ROUND(Z258*$D$8,0)</f>
        <v>8700480</v>
      </c>
      <c r="AB258" s="180"/>
      <c r="AC258" s="180">
        <v>0</v>
      </c>
      <c r="AD258" s="180">
        <f t="shared" si="209"/>
        <v>0</v>
      </c>
      <c r="AE258" s="180">
        <f t="shared" ref="AE258:AE285" si="216">ROUND(AA258-AC258+AD258,0)</f>
        <v>8700480</v>
      </c>
      <c r="AF258" s="178">
        <f t="shared" si="202"/>
        <v>696038.40000000002</v>
      </c>
      <c r="AG258" s="178">
        <f t="shared" si="203"/>
        <v>130507.2</v>
      </c>
      <c r="AH258" s="178">
        <f t="shared" si="204"/>
        <v>87004.800000000003</v>
      </c>
      <c r="AI258" s="178"/>
      <c r="AJ258" s="178">
        <f t="shared" ref="AJ258:AJ285" si="217">SUM(AF258:AI258)</f>
        <v>913550.4</v>
      </c>
      <c r="AK258" s="192"/>
      <c r="AL258" s="182">
        <f t="shared" si="211"/>
        <v>0</v>
      </c>
      <c r="AM258" s="182"/>
      <c r="AN258" s="182"/>
      <c r="AO258" s="193">
        <f t="shared" si="205"/>
        <v>4.24</v>
      </c>
      <c r="AP258" s="246">
        <v>0.25</v>
      </c>
      <c r="AQ258" s="194">
        <f t="shared" ref="AQ258:AQ285" si="218">ROUND(AO258*AP258,4)</f>
        <v>1.06</v>
      </c>
      <c r="AR258" s="178">
        <f t="shared" ref="AR258:AR285" si="219">ROUND(AQ258*$D$8,0)</f>
        <v>1908000</v>
      </c>
      <c r="AS258" s="178"/>
      <c r="AT258" s="178">
        <f t="shared" ref="AT258:AT280" si="220">ROUND(AE258-AJ258+AL258+AN258+AR258,0)</f>
        <v>9694930</v>
      </c>
      <c r="AU258" s="469">
        <f t="shared" ref="AU258:AU270" si="221">A258</f>
        <v>240</v>
      </c>
      <c r="AV258" s="195"/>
      <c r="AW258" s="187" t="s">
        <v>714</v>
      </c>
    </row>
    <row r="259" spans="1:59" s="189" customFormat="1" ht="30.75" customHeight="1" x14ac:dyDescent="0.25">
      <c r="A259" s="900">
        <f t="shared" si="186"/>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VLOOKUP(D259,'[5]Bao cao So GDDT'!$D$14:$S$282,11,FALSE)</f>
        <v>Giảng viên GDNN LT (hạng III)</v>
      </c>
      <c r="O259" s="390" t="s">
        <v>1438</v>
      </c>
      <c r="P259" s="170" t="s">
        <v>692</v>
      </c>
      <c r="Q259" s="170">
        <v>2</v>
      </c>
      <c r="R259" s="177">
        <v>3.33</v>
      </c>
      <c r="S259" s="176">
        <f t="shared" si="210"/>
        <v>0.57220000000000004</v>
      </c>
      <c r="T259" s="169"/>
      <c r="U259" s="176">
        <f t="shared" si="212"/>
        <v>0</v>
      </c>
      <c r="V259" s="175"/>
      <c r="W259" s="170">
        <v>0.25</v>
      </c>
      <c r="X259" s="179">
        <v>0.09</v>
      </c>
      <c r="Y259" s="216">
        <f t="shared" si="213"/>
        <v>0.32219999999999999</v>
      </c>
      <c r="Z259" s="216">
        <f t="shared" si="214"/>
        <v>3.9022000000000001</v>
      </c>
      <c r="AA259" s="180">
        <f t="shared" si="215"/>
        <v>7023960</v>
      </c>
      <c r="AB259" s="180"/>
      <c r="AC259" s="180">
        <v>0</v>
      </c>
      <c r="AD259" s="180">
        <f t="shared" si="209"/>
        <v>0</v>
      </c>
      <c r="AE259" s="180">
        <f t="shared" si="216"/>
        <v>7023960</v>
      </c>
      <c r="AF259" s="178">
        <f t="shared" si="202"/>
        <v>561916.80000000005</v>
      </c>
      <c r="AG259" s="178">
        <f t="shared" si="203"/>
        <v>105359.4</v>
      </c>
      <c r="AH259" s="178">
        <f t="shared" si="204"/>
        <v>70239.600000000006</v>
      </c>
      <c r="AI259" s="178"/>
      <c r="AJ259" s="178">
        <f t="shared" si="217"/>
        <v>737515.8</v>
      </c>
      <c r="AK259" s="192"/>
      <c r="AL259" s="182">
        <f t="shared" si="211"/>
        <v>0</v>
      </c>
      <c r="AM259" s="182"/>
      <c r="AN259" s="182"/>
      <c r="AO259" s="183">
        <f t="shared" si="205"/>
        <v>3.58</v>
      </c>
      <c r="AP259" s="246">
        <v>0.25</v>
      </c>
      <c r="AQ259" s="194">
        <f t="shared" si="218"/>
        <v>0.89500000000000002</v>
      </c>
      <c r="AR259" s="178">
        <f t="shared" si="219"/>
        <v>1611000</v>
      </c>
      <c r="AS259" s="178"/>
      <c r="AT259" s="178">
        <f t="shared" si="220"/>
        <v>7897444</v>
      </c>
      <c r="AU259" s="469">
        <f t="shared" si="221"/>
        <v>241</v>
      </c>
      <c r="AV259" s="244"/>
      <c r="AW259" s="196"/>
    </row>
    <row r="260" spans="1:59" s="189" customFormat="1" ht="30.75" customHeight="1" x14ac:dyDescent="0.25">
      <c r="A260" s="900">
        <f t="shared" si="186"/>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VLOOKUP(D260,'[5]Bao cao So GDDT'!$D$14:$S$282,11,FALSE)</f>
        <v>Giảng viên GDNN LT (hạng III)</v>
      </c>
      <c r="O260" s="390" t="s">
        <v>1438</v>
      </c>
      <c r="P260" s="170" t="s">
        <v>692</v>
      </c>
      <c r="Q260" s="170">
        <v>2</v>
      </c>
      <c r="R260" s="177">
        <v>3.33</v>
      </c>
      <c r="S260" s="176">
        <f t="shared" si="210"/>
        <v>0.29970000000000002</v>
      </c>
      <c r="T260" s="169"/>
      <c r="U260" s="176">
        <f t="shared" si="212"/>
        <v>0</v>
      </c>
      <c r="V260" s="175"/>
      <c r="W260" s="170"/>
      <c r="X260" s="179">
        <v>0.09</v>
      </c>
      <c r="Y260" s="216">
        <f t="shared" si="213"/>
        <v>0.29970000000000002</v>
      </c>
      <c r="Z260" s="216">
        <f t="shared" si="214"/>
        <v>3.6297000000000001</v>
      </c>
      <c r="AA260" s="180">
        <f t="shared" si="215"/>
        <v>6533460</v>
      </c>
      <c r="AB260" s="180"/>
      <c r="AC260" s="180">
        <f t="shared" ref="AC260:AC285" si="222">AA260/24*AB260</f>
        <v>0</v>
      </c>
      <c r="AD260" s="180">
        <f t="shared" si="209"/>
        <v>0</v>
      </c>
      <c r="AE260" s="180">
        <f t="shared" si="216"/>
        <v>6533460</v>
      </c>
      <c r="AF260" s="178">
        <f t="shared" si="202"/>
        <v>522676.8</v>
      </c>
      <c r="AG260" s="178">
        <f t="shared" si="203"/>
        <v>98001.9</v>
      </c>
      <c r="AH260" s="178">
        <f t="shared" si="204"/>
        <v>65334.6</v>
      </c>
      <c r="AI260" s="178"/>
      <c r="AJ260" s="178">
        <f t="shared" si="217"/>
        <v>686013.29999999993</v>
      </c>
      <c r="AK260" s="192"/>
      <c r="AL260" s="182">
        <f t="shared" si="211"/>
        <v>0</v>
      </c>
      <c r="AM260" s="182"/>
      <c r="AN260" s="182"/>
      <c r="AO260" s="183">
        <f t="shared" si="205"/>
        <v>3.33</v>
      </c>
      <c r="AP260" s="246">
        <v>0.25</v>
      </c>
      <c r="AQ260" s="194">
        <f t="shared" si="218"/>
        <v>0.83250000000000002</v>
      </c>
      <c r="AR260" s="178">
        <f t="shared" si="219"/>
        <v>1498500</v>
      </c>
      <c r="AS260" s="178"/>
      <c r="AT260" s="178">
        <f t="shared" si="220"/>
        <v>7345947</v>
      </c>
      <c r="AU260" s="469">
        <f t="shared" si="221"/>
        <v>242</v>
      </c>
      <c r="AV260" s="195"/>
      <c r="AW260" s="196" t="e">
        <f>#REF!*10</f>
        <v>#REF!</v>
      </c>
    </row>
    <row r="261" spans="1:59" s="191" customFormat="1" ht="30.75" customHeight="1" x14ac:dyDescent="0.25">
      <c r="A261" s="900">
        <f t="shared" si="186"/>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VLOOKUP(D261,'[5]Bao cao So GDDT'!$D$14:$S$282,11,FALSE)</f>
        <v>Giảng viên GDNN LT (hạng III)</v>
      </c>
      <c r="O261" s="390" t="s">
        <v>1438</v>
      </c>
      <c r="P261" s="172" t="s">
        <v>692</v>
      </c>
      <c r="Q261" s="173">
        <v>4</v>
      </c>
      <c r="R261" s="174">
        <v>3.99</v>
      </c>
      <c r="S261" s="176">
        <f t="shared" si="210"/>
        <v>0.59850000000000003</v>
      </c>
      <c r="T261" s="377"/>
      <c r="U261" s="176">
        <f t="shared" si="212"/>
        <v>0</v>
      </c>
      <c r="V261" s="175">
        <f>R261*T261*$D$8/100</f>
        <v>0</v>
      </c>
      <c r="W261" s="170"/>
      <c r="X261" s="179">
        <v>0.15</v>
      </c>
      <c r="Y261" s="216">
        <f t="shared" si="213"/>
        <v>0.59850000000000003</v>
      </c>
      <c r="Z261" s="216">
        <f t="shared" si="214"/>
        <v>4.5884999999999998</v>
      </c>
      <c r="AA261" s="180">
        <f t="shared" si="215"/>
        <v>8259300</v>
      </c>
      <c r="AB261" s="180"/>
      <c r="AC261" s="180">
        <f t="shared" si="222"/>
        <v>0</v>
      </c>
      <c r="AD261" s="180">
        <f t="shared" si="209"/>
        <v>0</v>
      </c>
      <c r="AE261" s="180">
        <f t="shared" si="216"/>
        <v>8259300</v>
      </c>
      <c r="AF261" s="178">
        <f t="shared" si="202"/>
        <v>660744</v>
      </c>
      <c r="AG261" s="178">
        <f t="shared" si="203"/>
        <v>123889.5</v>
      </c>
      <c r="AH261" s="178">
        <f t="shared" si="204"/>
        <v>82593</v>
      </c>
      <c r="AI261" s="178"/>
      <c r="AJ261" s="178">
        <f t="shared" si="217"/>
        <v>867226.5</v>
      </c>
      <c r="AK261" s="181"/>
      <c r="AL261" s="182">
        <f t="shared" si="211"/>
        <v>0</v>
      </c>
      <c r="AM261" s="182"/>
      <c r="AN261" s="182"/>
      <c r="AO261" s="193">
        <f t="shared" si="205"/>
        <v>3.99</v>
      </c>
      <c r="AP261" s="246">
        <v>0.25</v>
      </c>
      <c r="AQ261" s="194">
        <f t="shared" si="218"/>
        <v>0.99750000000000005</v>
      </c>
      <c r="AR261" s="178">
        <f t="shared" si="219"/>
        <v>1795500</v>
      </c>
      <c r="AS261" s="178"/>
      <c r="AT261" s="178">
        <f t="shared" si="220"/>
        <v>9187574</v>
      </c>
      <c r="AU261" s="469">
        <f t="shared" si="221"/>
        <v>243</v>
      </c>
      <c r="AV261" s="195"/>
      <c r="AW261" s="198" t="s">
        <v>714</v>
      </c>
    </row>
    <row r="262" spans="1:59" s="191" customFormat="1" ht="30.75" customHeight="1" x14ac:dyDescent="0.25">
      <c r="A262" s="900">
        <f t="shared" si="186"/>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VLOOKUP(D262,'[5]Bao cao So GDDT'!$D$14:$S$282,11,FALSE)</f>
        <v>Giảng viên GDNN LT (hạng III)</v>
      </c>
      <c r="O262" s="390" t="s">
        <v>1438</v>
      </c>
      <c r="P262" s="172" t="s">
        <v>692</v>
      </c>
      <c r="Q262" s="173">
        <v>3</v>
      </c>
      <c r="R262" s="174">
        <v>3.66</v>
      </c>
      <c r="S262" s="176">
        <f t="shared" si="210"/>
        <v>0.51239999999999997</v>
      </c>
      <c r="T262" s="377"/>
      <c r="U262" s="176">
        <f t="shared" si="212"/>
        <v>0</v>
      </c>
      <c r="V262" s="175">
        <f>R262*T262*$D$8/100</f>
        <v>0</v>
      </c>
      <c r="W262" s="200"/>
      <c r="X262" s="179">
        <v>0.14000000000000001</v>
      </c>
      <c r="Y262" s="216">
        <f t="shared" si="213"/>
        <v>0.51239999999999997</v>
      </c>
      <c r="Z262" s="216">
        <f t="shared" si="214"/>
        <v>4.1723999999999997</v>
      </c>
      <c r="AA262" s="180">
        <f t="shared" si="215"/>
        <v>7510320</v>
      </c>
      <c r="AB262" s="180"/>
      <c r="AC262" s="180">
        <f t="shared" si="222"/>
        <v>0</v>
      </c>
      <c r="AD262" s="180">
        <f t="shared" si="209"/>
        <v>0</v>
      </c>
      <c r="AE262" s="180">
        <f t="shared" si="216"/>
        <v>7510320</v>
      </c>
      <c r="AF262" s="178">
        <f t="shared" si="202"/>
        <v>600825.59999999998</v>
      </c>
      <c r="AG262" s="178">
        <f t="shared" si="203"/>
        <v>112654.8</v>
      </c>
      <c r="AH262" s="178">
        <f t="shared" si="204"/>
        <v>75103.199999999997</v>
      </c>
      <c r="AI262" s="178"/>
      <c r="AJ262" s="178">
        <f t="shared" si="217"/>
        <v>788583.6</v>
      </c>
      <c r="AK262" s="181"/>
      <c r="AL262" s="182">
        <f t="shared" si="211"/>
        <v>0</v>
      </c>
      <c r="AM262" s="182"/>
      <c r="AN262" s="182"/>
      <c r="AO262" s="193">
        <f t="shared" si="205"/>
        <v>3.66</v>
      </c>
      <c r="AP262" s="246">
        <v>0.25</v>
      </c>
      <c r="AQ262" s="194">
        <f t="shared" si="218"/>
        <v>0.91500000000000004</v>
      </c>
      <c r="AR262" s="178">
        <f t="shared" si="219"/>
        <v>1647000</v>
      </c>
      <c r="AS262" s="178"/>
      <c r="AT262" s="178">
        <f t="shared" si="220"/>
        <v>8368736</v>
      </c>
      <c r="AU262" s="469">
        <f t="shared" si="221"/>
        <v>244</v>
      </c>
      <c r="AV262" s="186"/>
      <c r="AW262" s="198" t="s">
        <v>714</v>
      </c>
    </row>
    <row r="263" spans="1:59" s="189" customFormat="1" ht="30.75" customHeight="1" x14ac:dyDescent="0.25">
      <c r="A263" s="900">
        <f t="shared" si="186"/>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VLOOKUP(D263,'[5]Bao cao So GDDT'!$D$14:$S$282,11,FALSE)</f>
        <v>Giảng viên GDNN LT (hạng III)</v>
      </c>
      <c r="O263" s="390" t="s">
        <v>1438</v>
      </c>
      <c r="P263" s="170" t="s">
        <v>692</v>
      </c>
      <c r="Q263" s="170">
        <v>3</v>
      </c>
      <c r="R263" s="177">
        <v>3.66</v>
      </c>
      <c r="S263" s="176">
        <f t="shared" si="210"/>
        <v>0.4758</v>
      </c>
      <c r="T263" s="220"/>
      <c r="U263" s="176">
        <f t="shared" si="212"/>
        <v>0</v>
      </c>
      <c r="V263" s="175">
        <f>R263*T263*$D$8/100</f>
        <v>0</v>
      </c>
      <c r="W263" s="170"/>
      <c r="X263" s="179">
        <v>0.13</v>
      </c>
      <c r="Y263" s="216">
        <f t="shared" si="213"/>
        <v>0.4758</v>
      </c>
      <c r="Z263" s="216">
        <f t="shared" si="214"/>
        <v>4.1357999999999997</v>
      </c>
      <c r="AA263" s="180">
        <f t="shared" si="215"/>
        <v>7444440</v>
      </c>
      <c r="AB263" s="180"/>
      <c r="AC263" s="180">
        <f t="shared" si="222"/>
        <v>0</v>
      </c>
      <c r="AD263" s="180">
        <f t="shared" si="209"/>
        <v>0</v>
      </c>
      <c r="AE263" s="180">
        <f t="shared" si="216"/>
        <v>7444440</v>
      </c>
      <c r="AF263" s="178">
        <f t="shared" si="202"/>
        <v>595555.20000000007</v>
      </c>
      <c r="AG263" s="178">
        <f t="shared" si="203"/>
        <v>111666.59999999999</v>
      </c>
      <c r="AH263" s="178">
        <f t="shared" si="204"/>
        <v>74444.400000000009</v>
      </c>
      <c r="AI263" s="178"/>
      <c r="AJ263" s="178">
        <f t="shared" si="217"/>
        <v>781666.20000000007</v>
      </c>
      <c r="AK263" s="192"/>
      <c r="AL263" s="182">
        <f t="shared" si="211"/>
        <v>0</v>
      </c>
      <c r="AM263" s="182"/>
      <c r="AN263" s="182"/>
      <c r="AO263" s="193">
        <f t="shared" si="205"/>
        <v>3.66</v>
      </c>
      <c r="AP263" s="246">
        <v>0.25</v>
      </c>
      <c r="AQ263" s="194">
        <f t="shared" si="218"/>
        <v>0.91500000000000004</v>
      </c>
      <c r="AR263" s="178">
        <f t="shared" si="219"/>
        <v>1647000</v>
      </c>
      <c r="AS263" s="178"/>
      <c r="AT263" s="178">
        <f t="shared" si="220"/>
        <v>8309774</v>
      </c>
      <c r="AU263" s="469">
        <f t="shared" si="221"/>
        <v>245</v>
      </c>
      <c r="AV263" s="186"/>
      <c r="AW263" s="198" t="s">
        <v>714</v>
      </c>
    </row>
    <row r="264" spans="1:59" s="189" customFormat="1" ht="30.75" customHeight="1" x14ac:dyDescent="0.25">
      <c r="A264" s="900">
        <f t="shared" si="186"/>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VLOOKUP(D264,'[5]Bao cao So GDDT'!$D$14:$S$282,11,FALSE)</f>
        <v>Giảng viên GDNN LT (hạng III)</v>
      </c>
      <c r="O264" s="390" t="s">
        <v>1438</v>
      </c>
      <c r="P264" s="170" t="s">
        <v>692</v>
      </c>
      <c r="Q264" s="170">
        <v>3</v>
      </c>
      <c r="R264" s="177">
        <v>3.99</v>
      </c>
      <c r="S264" s="176">
        <f t="shared" si="210"/>
        <v>0.51870000000000005</v>
      </c>
      <c r="T264" s="220"/>
      <c r="U264" s="176">
        <f t="shared" si="212"/>
        <v>0</v>
      </c>
      <c r="V264" s="175">
        <f>R264*T264*$D$8/100</f>
        <v>0</v>
      </c>
      <c r="W264" s="170"/>
      <c r="X264" s="179">
        <v>0.13</v>
      </c>
      <c r="Y264" s="216">
        <f t="shared" si="213"/>
        <v>0.51870000000000005</v>
      </c>
      <c r="Z264" s="216">
        <f t="shared" si="214"/>
        <v>4.5087000000000002</v>
      </c>
      <c r="AA264" s="180">
        <f t="shared" si="215"/>
        <v>8115660</v>
      </c>
      <c r="AB264" s="180"/>
      <c r="AC264" s="180">
        <f t="shared" si="222"/>
        <v>0</v>
      </c>
      <c r="AD264" s="180">
        <f t="shared" si="209"/>
        <v>0</v>
      </c>
      <c r="AE264" s="180">
        <f t="shared" si="216"/>
        <v>8115660</v>
      </c>
      <c r="AF264" s="178">
        <f t="shared" si="202"/>
        <v>649252.80000000005</v>
      </c>
      <c r="AG264" s="178">
        <f t="shared" si="203"/>
        <v>121734.9</v>
      </c>
      <c r="AH264" s="178">
        <f t="shared" si="204"/>
        <v>81156.600000000006</v>
      </c>
      <c r="AI264" s="178"/>
      <c r="AJ264" s="178">
        <f t="shared" si="217"/>
        <v>852144.3</v>
      </c>
      <c r="AK264" s="192"/>
      <c r="AL264" s="182">
        <f t="shared" si="211"/>
        <v>0</v>
      </c>
      <c r="AM264" s="182"/>
      <c r="AN264" s="182"/>
      <c r="AO264" s="193">
        <f t="shared" si="205"/>
        <v>3.99</v>
      </c>
      <c r="AP264" s="246">
        <v>0.25</v>
      </c>
      <c r="AQ264" s="194">
        <f t="shared" si="218"/>
        <v>0.99750000000000005</v>
      </c>
      <c r="AR264" s="178">
        <f t="shared" si="219"/>
        <v>1795500</v>
      </c>
      <c r="AS264" s="178"/>
      <c r="AT264" s="178">
        <f t="shared" si="220"/>
        <v>9059016</v>
      </c>
      <c r="AU264" s="469">
        <f t="shared" si="221"/>
        <v>246</v>
      </c>
      <c r="AV264" s="186"/>
      <c r="AW264" s="198" t="s">
        <v>714</v>
      </c>
    </row>
    <row r="265" spans="1:59" s="189" customFormat="1" ht="30.75" customHeight="1" x14ac:dyDescent="0.25">
      <c r="A265" s="900">
        <f t="shared" si="186"/>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VLOOKUP(D265,'[5]Bao cao So GDDT'!$D$14:$S$282,11,FALSE)</f>
        <v>Giảng viên GDNN LT (hạng III)</v>
      </c>
      <c r="O265" s="390" t="s">
        <v>1438</v>
      </c>
      <c r="P265" s="251"/>
      <c r="Q265" s="251"/>
      <c r="R265" s="170">
        <v>2.67</v>
      </c>
      <c r="S265" s="176"/>
      <c r="T265" s="220"/>
      <c r="U265" s="176">
        <f t="shared" si="212"/>
        <v>0</v>
      </c>
      <c r="V265" s="175"/>
      <c r="W265" s="170"/>
      <c r="X265" s="179">
        <f>VLOOKUP(D265,PCTN!D276:W543,20,FALSE)</f>
        <v>0</v>
      </c>
      <c r="Y265" s="216">
        <f t="shared" si="213"/>
        <v>0</v>
      </c>
      <c r="Z265" s="216">
        <f t="shared" si="214"/>
        <v>2.67</v>
      </c>
      <c r="AA265" s="180">
        <f t="shared" si="215"/>
        <v>4806000</v>
      </c>
      <c r="AB265" s="180"/>
      <c r="AC265" s="180">
        <f t="shared" si="222"/>
        <v>0</v>
      </c>
      <c r="AD265" s="180">
        <f t="shared" si="209"/>
        <v>0</v>
      </c>
      <c r="AE265" s="180">
        <f t="shared" si="216"/>
        <v>4806000</v>
      </c>
      <c r="AF265" s="178">
        <f t="shared" si="202"/>
        <v>384480</v>
      </c>
      <c r="AG265" s="178">
        <f t="shared" si="203"/>
        <v>72090</v>
      </c>
      <c r="AH265" s="178">
        <f t="shared" si="204"/>
        <v>48060</v>
      </c>
      <c r="AI265" s="178"/>
      <c r="AJ265" s="178">
        <f t="shared" si="217"/>
        <v>504630</v>
      </c>
      <c r="AK265" s="192"/>
      <c r="AL265" s="182">
        <f t="shared" si="211"/>
        <v>0</v>
      </c>
      <c r="AM265" s="182"/>
      <c r="AN265" s="182"/>
      <c r="AO265" s="183">
        <f t="shared" si="205"/>
        <v>2.67</v>
      </c>
      <c r="AP265" s="246">
        <v>0.25</v>
      </c>
      <c r="AQ265" s="185">
        <f t="shared" si="218"/>
        <v>0.66749999999999998</v>
      </c>
      <c r="AR265" s="178">
        <f t="shared" si="219"/>
        <v>1201500</v>
      </c>
      <c r="AS265" s="178"/>
      <c r="AT265" s="178">
        <f t="shared" si="220"/>
        <v>5502870</v>
      </c>
      <c r="AU265" s="469">
        <f t="shared" si="221"/>
        <v>247</v>
      </c>
      <c r="AV265" s="195"/>
      <c r="AW265" s="486"/>
      <c r="AX265" s="29"/>
      <c r="AY265" s="29"/>
      <c r="AZ265" s="29"/>
      <c r="BA265" s="29"/>
      <c r="BB265" s="29"/>
      <c r="BC265" s="29"/>
      <c r="BD265" s="29"/>
      <c r="BE265" s="29"/>
      <c r="BF265" s="29"/>
      <c r="BG265" s="29"/>
    </row>
    <row r="266" spans="1:59" s="189" customFormat="1" ht="30.75" customHeight="1" x14ac:dyDescent="0.25">
      <c r="A266" s="900">
        <f t="shared" si="186"/>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VLOOKUP(D266,'[5]Bao cao So GDDT'!$D$14:$S$282,11,FALSE)</f>
        <v>Giảng viên GDNN LT (hạng III)</v>
      </c>
      <c r="O266" s="390" t="s">
        <v>1438</v>
      </c>
      <c r="P266" s="170" t="s">
        <v>692</v>
      </c>
      <c r="Q266" s="170">
        <v>3</v>
      </c>
      <c r="R266" s="177">
        <v>3.66</v>
      </c>
      <c r="S266" s="176">
        <f>U266+W266+Y266</f>
        <v>0.4758</v>
      </c>
      <c r="T266" s="220"/>
      <c r="U266" s="176">
        <f t="shared" si="212"/>
        <v>0</v>
      </c>
      <c r="V266" s="175">
        <f>R266*T266*$D$8/100</f>
        <v>0</v>
      </c>
      <c r="W266" s="170"/>
      <c r="X266" s="179">
        <v>0.13</v>
      </c>
      <c r="Y266" s="216">
        <f t="shared" si="213"/>
        <v>0.4758</v>
      </c>
      <c r="Z266" s="216">
        <f t="shared" si="214"/>
        <v>4.1357999999999997</v>
      </c>
      <c r="AA266" s="180">
        <f t="shared" si="215"/>
        <v>7444440</v>
      </c>
      <c r="AB266" s="180"/>
      <c r="AC266" s="180">
        <f t="shared" si="222"/>
        <v>0</v>
      </c>
      <c r="AD266" s="180">
        <f t="shared" si="209"/>
        <v>0</v>
      </c>
      <c r="AE266" s="180">
        <f t="shared" si="216"/>
        <v>7444440</v>
      </c>
      <c r="AF266" s="178">
        <f t="shared" si="202"/>
        <v>595555.20000000007</v>
      </c>
      <c r="AG266" s="178">
        <f t="shared" si="203"/>
        <v>111666.59999999999</v>
      </c>
      <c r="AH266" s="178">
        <f t="shared" si="204"/>
        <v>74444.400000000009</v>
      </c>
      <c r="AI266" s="178"/>
      <c r="AJ266" s="178">
        <f t="shared" si="217"/>
        <v>781666.20000000007</v>
      </c>
      <c r="AK266" s="192"/>
      <c r="AL266" s="182">
        <f t="shared" si="211"/>
        <v>0</v>
      </c>
      <c r="AM266" s="182"/>
      <c r="AN266" s="182"/>
      <c r="AO266" s="193">
        <f t="shared" si="205"/>
        <v>3.66</v>
      </c>
      <c r="AP266" s="246">
        <v>0.25</v>
      </c>
      <c r="AQ266" s="194">
        <f t="shared" si="218"/>
        <v>0.91500000000000004</v>
      </c>
      <c r="AR266" s="178">
        <f t="shared" si="219"/>
        <v>1647000</v>
      </c>
      <c r="AS266" s="178"/>
      <c r="AT266" s="178">
        <f t="shared" si="220"/>
        <v>8309774</v>
      </c>
      <c r="AU266" s="469">
        <f t="shared" si="221"/>
        <v>248</v>
      </c>
      <c r="AV266" s="186"/>
      <c r="AW266" s="256" t="s">
        <v>714</v>
      </c>
    </row>
    <row r="267" spans="1:59" s="189" customFormat="1" ht="30.75" customHeight="1" x14ac:dyDescent="0.25">
      <c r="A267" s="900">
        <f t="shared" si="186"/>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VLOOKUP(D267,'[5]Bao cao So GDDT'!$D$14:$S$282,11,FALSE)</f>
        <v>Giảng viên GDNN LT (hạng III)</v>
      </c>
      <c r="O267" s="390" t="s">
        <v>1438</v>
      </c>
      <c r="P267" s="222" t="s">
        <v>692</v>
      </c>
      <c r="Q267" s="172">
        <v>3</v>
      </c>
      <c r="R267" s="430">
        <v>3.66</v>
      </c>
      <c r="S267" s="176">
        <f>U267+W267+Y267</f>
        <v>0.4758</v>
      </c>
      <c r="T267" s="220"/>
      <c r="U267" s="176">
        <f t="shared" si="212"/>
        <v>0</v>
      </c>
      <c r="V267" s="175">
        <f>R267*T267*$D$8/100</f>
        <v>0</v>
      </c>
      <c r="W267" s="170"/>
      <c r="X267" s="179">
        <v>0.13</v>
      </c>
      <c r="Y267" s="216">
        <f t="shared" si="213"/>
        <v>0.4758</v>
      </c>
      <c r="Z267" s="216">
        <f t="shared" si="214"/>
        <v>4.1357999999999997</v>
      </c>
      <c r="AA267" s="180">
        <f t="shared" si="215"/>
        <v>7444440</v>
      </c>
      <c r="AB267" s="180"/>
      <c r="AC267" s="180">
        <f t="shared" si="222"/>
        <v>0</v>
      </c>
      <c r="AD267" s="180">
        <v>0</v>
      </c>
      <c r="AE267" s="180">
        <f t="shared" si="216"/>
        <v>7444440</v>
      </c>
      <c r="AF267" s="178">
        <f t="shared" si="202"/>
        <v>595555.20000000007</v>
      </c>
      <c r="AG267" s="178">
        <f t="shared" si="203"/>
        <v>111666.59999999999</v>
      </c>
      <c r="AH267" s="178">
        <f t="shared" si="204"/>
        <v>74444.400000000009</v>
      </c>
      <c r="AI267" s="178"/>
      <c r="AJ267" s="178">
        <f t="shared" si="217"/>
        <v>781666.20000000007</v>
      </c>
      <c r="AK267" s="192"/>
      <c r="AL267" s="182">
        <f t="shared" si="211"/>
        <v>0</v>
      </c>
      <c r="AM267" s="182"/>
      <c r="AN267" s="182"/>
      <c r="AO267" s="193">
        <f t="shared" si="205"/>
        <v>3.66</v>
      </c>
      <c r="AP267" s="246">
        <v>0.25</v>
      </c>
      <c r="AQ267" s="194">
        <f t="shared" si="218"/>
        <v>0.91500000000000004</v>
      </c>
      <c r="AR267" s="178">
        <f t="shared" si="219"/>
        <v>1647000</v>
      </c>
      <c r="AS267" s="178"/>
      <c r="AT267" s="178">
        <f t="shared" si="220"/>
        <v>8309774</v>
      </c>
      <c r="AU267" s="469">
        <f t="shared" si="221"/>
        <v>249</v>
      </c>
      <c r="AV267" s="195"/>
      <c r="AW267" s="198" t="s">
        <v>714</v>
      </c>
    </row>
    <row r="268" spans="1:59" s="189" customFormat="1" ht="30.75" customHeight="1" x14ac:dyDescent="0.25">
      <c r="A268" s="900">
        <f t="shared" si="186"/>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VLOOKUP(D268,'[5]Bao cao So GDDT'!$D$14:$S$282,11,FALSE)</f>
        <v>Giảng viên GDNN LT (hạng III)</v>
      </c>
      <c r="O268" s="390" t="s">
        <v>1438</v>
      </c>
      <c r="P268" s="222" t="s">
        <v>692</v>
      </c>
      <c r="Q268" s="172">
        <v>2</v>
      </c>
      <c r="R268" s="430">
        <v>3.66</v>
      </c>
      <c r="S268" s="176">
        <f>U268+W268+Y268</f>
        <v>0.40260000000000001</v>
      </c>
      <c r="T268" s="220"/>
      <c r="U268" s="176">
        <f t="shared" si="212"/>
        <v>0</v>
      </c>
      <c r="V268" s="175">
        <f>R268*T268*$D$8/100</f>
        <v>0</v>
      </c>
      <c r="W268" s="170"/>
      <c r="X268" s="179">
        <v>0.11</v>
      </c>
      <c r="Y268" s="216">
        <f t="shared" si="213"/>
        <v>0.40260000000000001</v>
      </c>
      <c r="Z268" s="216">
        <f t="shared" si="214"/>
        <v>4.0625999999999998</v>
      </c>
      <c r="AA268" s="180">
        <f t="shared" si="215"/>
        <v>7312680</v>
      </c>
      <c r="AB268" s="180"/>
      <c r="AC268" s="180">
        <f t="shared" si="222"/>
        <v>0</v>
      </c>
      <c r="AD268" s="180">
        <f t="shared" ref="AD268:AD282" si="223">AA268/24*AB268*75%</f>
        <v>0</v>
      </c>
      <c r="AE268" s="180">
        <f t="shared" si="216"/>
        <v>7312680</v>
      </c>
      <c r="AF268" s="178">
        <f t="shared" si="202"/>
        <v>585014.4</v>
      </c>
      <c r="AG268" s="178">
        <f t="shared" si="203"/>
        <v>109690.2</v>
      </c>
      <c r="AH268" s="178">
        <f t="shared" si="204"/>
        <v>73126.8</v>
      </c>
      <c r="AI268" s="178"/>
      <c r="AJ268" s="178">
        <f t="shared" si="217"/>
        <v>767831.4</v>
      </c>
      <c r="AK268" s="192"/>
      <c r="AL268" s="182">
        <f t="shared" si="211"/>
        <v>0</v>
      </c>
      <c r="AM268" s="182"/>
      <c r="AN268" s="182"/>
      <c r="AO268" s="193">
        <f t="shared" si="205"/>
        <v>3.66</v>
      </c>
      <c r="AP268" s="246">
        <v>0.25</v>
      </c>
      <c r="AQ268" s="194">
        <f t="shared" si="218"/>
        <v>0.91500000000000004</v>
      </c>
      <c r="AR268" s="178">
        <f t="shared" si="219"/>
        <v>1647000</v>
      </c>
      <c r="AS268" s="178"/>
      <c r="AT268" s="178">
        <f t="shared" si="220"/>
        <v>8191849</v>
      </c>
      <c r="AU268" s="469">
        <f t="shared" si="221"/>
        <v>250</v>
      </c>
      <c r="AV268" s="195"/>
      <c r="AW268" s="198" t="s">
        <v>714</v>
      </c>
    </row>
    <row r="269" spans="1:59" s="189" customFormat="1" ht="30.75" customHeight="1" x14ac:dyDescent="0.25">
      <c r="A269" s="900">
        <f t="shared" si="186"/>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4" t="s">
        <v>743</v>
      </c>
      <c r="M269" s="544" t="s">
        <v>1009</v>
      </c>
      <c r="N269" s="263" t="str">
        <f>VLOOKUP(D269,'[5]Bao cao So GDDT'!$D$14:$S$282,11,FALSE)</f>
        <v>Giảng viên GDNN LT (hạng III)</v>
      </c>
      <c r="O269" s="390" t="s">
        <v>1438</v>
      </c>
      <c r="P269" s="170" t="s">
        <v>692</v>
      </c>
      <c r="Q269" s="170">
        <v>2</v>
      </c>
      <c r="R269" s="177">
        <v>3.33</v>
      </c>
      <c r="S269" s="176">
        <f>U269+W269+Y269</f>
        <v>0.33300000000000002</v>
      </c>
      <c r="T269" s="169"/>
      <c r="U269" s="176">
        <f t="shared" si="212"/>
        <v>0</v>
      </c>
      <c r="V269" s="175">
        <f>R269*T269*$D$8/100</f>
        <v>0</v>
      </c>
      <c r="W269" s="170"/>
      <c r="X269" s="179">
        <v>0.1</v>
      </c>
      <c r="Y269" s="216">
        <f t="shared" si="213"/>
        <v>0.33300000000000002</v>
      </c>
      <c r="Z269" s="216">
        <f t="shared" si="214"/>
        <v>3.6630000000000003</v>
      </c>
      <c r="AA269" s="180">
        <f t="shared" si="215"/>
        <v>6593400</v>
      </c>
      <c r="AB269" s="180"/>
      <c r="AC269" s="180">
        <f t="shared" si="222"/>
        <v>0</v>
      </c>
      <c r="AD269" s="180">
        <f t="shared" si="223"/>
        <v>0</v>
      </c>
      <c r="AE269" s="180">
        <f t="shared" si="216"/>
        <v>6593400</v>
      </c>
      <c r="AF269" s="178">
        <f t="shared" si="202"/>
        <v>527472</v>
      </c>
      <c r="AG269" s="178">
        <f t="shared" si="203"/>
        <v>98901</v>
      </c>
      <c r="AH269" s="178">
        <f t="shared" si="204"/>
        <v>65934</v>
      </c>
      <c r="AI269" s="178"/>
      <c r="AJ269" s="178">
        <f t="shared" si="217"/>
        <v>692307</v>
      </c>
      <c r="AK269" s="192"/>
      <c r="AL269" s="182">
        <f t="shared" si="211"/>
        <v>0</v>
      </c>
      <c r="AM269" s="182"/>
      <c r="AN269" s="182"/>
      <c r="AO269" s="183">
        <f t="shared" si="205"/>
        <v>3.33</v>
      </c>
      <c r="AP269" s="246">
        <v>0.25</v>
      </c>
      <c r="AQ269" s="194">
        <f t="shared" si="218"/>
        <v>0.83250000000000002</v>
      </c>
      <c r="AR269" s="178">
        <f t="shared" si="219"/>
        <v>1498500</v>
      </c>
      <c r="AS269" s="178"/>
      <c r="AT269" s="178">
        <f t="shared" si="220"/>
        <v>7399593</v>
      </c>
      <c r="AU269" s="469">
        <f t="shared" si="221"/>
        <v>251</v>
      </c>
      <c r="AV269" s="186"/>
      <c r="AW269" s="198" t="s">
        <v>714</v>
      </c>
    </row>
    <row r="270" spans="1:59" s="189" customFormat="1" ht="30.75" customHeight="1" x14ac:dyDescent="0.25">
      <c r="A270" s="1035">
        <f t="shared" si="186"/>
        <v>252</v>
      </c>
      <c r="B270" s="683" t="str">
        <f>VLOOKUP(D270,[1]LuongBC_T01!$B$9:$C$292,2,FALSE)</f>
        <v>0016100006697008</v>
      </c>
      <c r="C270" s="704" t="s">
        <v>1014</v>
      </c>
      <c r="D270" s="1037" t="s">
        <v>563</v>
      </c>
      <c r="E270" s="685" t="s">
        <v>1375</v>
      </c>
      <c r="F270" s="1038"/>
      <c r="G270" s="1038"/>
      <c r="H270" s="1038"/>
      <c r="I270" s="1038"/>
      <c r="J270" s="1038"/>
      <c r="K270" s="686" t="str">
        <f>VLOOKUP(D270,[2]T3!$B$2:$D$328,3,FALSE)</f>
        <v>079082002097</v>
      </c>
      <c r="L270" s="1048" t="s">
        <v>745</v>
      </c>
      <c r="M270" s="1048" t="s">
        <v>1014</v>
      </c>
      <c r="N270" s="685" t="str">
        <f>VLOOKUP(D270,'[5]Bao cao So GDDT'!$D$14:$S$282,11,FALSE)</f>
        <v>Giảng viên GDNN LT (hạng III)</v>
      </c>
      <c r="O270" s="687" t="s">
        <v>1438</v>
      </c>
      <c r="P270" s="686" t="s">
        <v>692</v>
      </c>
      <c r="Q270" s="686">
        <v>2</v>
      </c>
      <c r="R270" s="1041">
        <v>3.66</v>
      </c>
      <c r="S270" s="691">
        <f>U270+W270+Y270</f>
        <v>0.36599999999999999</v>
      </c>
      <c r="T270" s="684"/>
      <c r="U270" s="691">
        <f t="shared" si="212"/>
        <v>0</v>
      </c>
      <c r="V270" s="693">
        <f>R270*T270*$D$8/100</f>
        <v>0</v>
      </c>
      <c r="W270" s="686"/>
      <c r="X270" s="694">
        <v>0.1</v>
      </c>
      <c r="Y270" s="695">
        <f t="shared" si="213"/>
        <v>0.36599999999999999</v>
      </c>
      <c r="Z270" s="695">
        <f t="shared" si="214"/>
        <v>4.0259999999999998</v>
      </c>
      <c r="AA270" s="696">
        <f t="shared" si="215"/>
        <v>7246800</v>
      </c>
      <c r="AB270" s="696"/>
      <c r="AC270" s="696">
        <f t="shared" si="222"/>
        <v>0</v>
      </c>
      <c r="AD270" s="696">
        <f t="shared" si="223"/>
        <v>0</v>
      </c>
      <c r="AE270" s="696">
        <f t="shared" si="216"/>
        <v>7246800</v>
      </c>
      <c r="AF270" s="697">
        <f t="shared" si="202"/>
        <v>579744</v>
      </c>
      <c r="AG270" s="697">
        <f t="shared" si="203"/>
        <v>108702</v>
      </c>
      <c r="AH270" s="697">
        <f t="shared" si="204"/>
        <v>72468</v>
      </c>
      <c r="AI270" s="697"/>
      <c r="AJ270" s="697">
        <f t="shared" si="217"/>
        <v>760914</v>
      </c>
      <c r="AK270" s="702"/>
      <c r="AL270" s="698">
        <f t="shared" si="211"/>
        <v>0</v>
      </c>
      <c r="AM270" s="698"/>
      <c r="AN270" s="698"/>
      <c r="AO270" s="765">
        <f t="shared" si="205"/>
        <v>3.66</v>
      </c>
      <c r="AP270" s="703">
        <v>0.25</v>
      </c>
      <c r="AQ270" s="705">
        <f t="shared" si="218"/>
        <v>0.91500000000000004</v>
      </c>
      <c r="AR270" s="697">
        <f t="shared" si="219"/>
        <v>1647000</v>
      </c>
      <c r="AS270" s="697"/>
      <c r="AT270" s="697">
        <f t="shared" si="220"/>
        <v>8132886</v>
      </c>
      <c r="AU270" s="699">
        <f t="shared" si="221"/>
        <v>252</v>
      </c>
      <c r="AV270" s="1034"/>
      <c r="AW270" s="198" t="s">
        <v>714</v>
      </c>
      <c r="AX270" s="29"/>
      <c r="AY270" s="29"/>
      <c r="AZ270" s="29"/>
      <c r="BA270" s="29"/>
      <c r="BB270" s="29"/>
      <c r="BC270" s="29"/>
      <c r="BD270" s="29"/>
      <c r="BE270" s="29"/>
      <c r="BF270" s="29"/>
      <c r="BG270" s="29"/>
    </row>
    <row r="271" spans="1:59" s="189" customFormat="1" ht="37.5" customHeight="1" x14ac:dyDescent="0.25">
      <c r="A271" s="900">
        <f t="shared" si="186"/>
        <v>253</v>
      </c>
      <c r="B271" s="168" t="str">
        <f>VLOOKUP(D271,[1]LuongBC_T01!$B$9:$C$292,2,FALSE)</f>
        <v>0016100018936008</v>
      </c>
      <c r="C271" s="566" t="s">
        <v>1415</v>
      </c>
      <c r="D271" s="545" t="s">
        <v>1406</v>
      </c>
      <c r="E271" s="263" t="s">
        <v>1377</v>
      </c>
      <c r="F271" s="565"/>
      <c r="G271" s="565"/>
      <c r="H271" s="565"/>
      <c r="I271" s="565"/>
      <c r="J271" s="565"/>
      <c r="K271" s="566"/>
      <c r="L271" s="565"/>
      <c r="M271" s="546"/>
      <c r="N271" s="263" t="str">
        <f>VLOOKUP(D271,'[5]Bao cao So GDDT'!$D$14:$S$282,11,FALSE)</f>
        <v>Giảng viên GDNN LT (hạng III)</v>
      </c>
      <c r="O271" s="263" t="s">
        <v>1438</v>
      </c>
      <c r="P271" s="567"/>
      <c r="Q271" s="567"/>
      <c r="R271" s="552">
        <v>3.66</v>
      </c>
      <c r="S271" s="547"/>
      <c r="T271" s="565"/>
      <c r="U271" s="547">
        <f t="shared" si="212"/>
        <v>0</v>
      </c>
      <c r="V271" s="548"/>
      <c r="W271" s="546"/>
      <c r="X271" s="179">
        <v>0.12</v>
      </c>
      <c r="Y271" s="549">
        <f t="shared" si="213"/>
        <v>0.43919999999999998</v>
      </c>
      <c r="Z271" s="549">
        <f t="shared" si="214"/>
        <v>4.0991999999999997</v>
      </c>
      <c r="AA271" s="550">
        <f t="shared" si="215"/>
        <v>7378560</v>
      </c>
      <c r="AB271" s="550"/>
      <c r="AC271" s="550">
        <f t="shared" si="222"/>
        <v>0</v>
      </c>
      <c r="AD271" s="550">
        <f t="shared" si="223"/>
        <v>0</v>
      </c>
      <c r="AE271" s="550">
        <f t="shared" si="216"/>
        <v>7378560</v>
      </c>
      <c r="AF271" s="551">
        <f t="shared" si="202"/>
        <v>590284.80000000005</v>
      </c>
      <c r="AG271" s="551">
        <f t="shared" si="203"/>
        <v>110678.39999999999</v>
      </c>
      <c r="AH271" s="551">
        <f t="shared" si="204"/>
        <v>73785.600000000006</v>
      </c>
      <c r="AI271" s="551"/>
      <c r="AJ271" s="551">
        <f t="shared" si="217"/>
        <v>774748.8</v>
      </c>
      <c r="AK271" s="568"/>
      <c r="AL271" s="182">
        <f t="shared" si="211"/>
        <v>0</v>
      </c>
      <c r="AM271" s="569"/>
      <c r="AN271" s="569"/>
      <c r="AO271" s="570">
        <f t="shared" si="205"/>
        <v>3.66</v>
      </c>
      <c r="AP271" s="641">
        <v>0.25</v>
      </c>
      <c r="AQ271" s="185">
        <f t="shared" si="218"/>
        <v>0.91500000000000004</v>
      </c>
      <c r="AR271" s="178">
        <f t="shared" si="219"/>
        <v>1647000</v>
      </c>
      <c r="AS271" s="551"/>
      <c r="AT271" s="178">
        <f t="shared" si="220"/>
        <v>8250811</v>
      </c>
      <c r="AU271" s="563">
        <f>A271</f>
        <v>253</v>
      </c>
      <c r="AV271" s="195"/>
      <c r="AW271" s="486"/>
    </row>
    <row r="272" spans="1:59" s="189" customFormat="1" ht="37.5" customHeight="1" x14ac:dyDescent="0.25">
      <c r="A272" s="900">
        <f t="shared" si="186"/>
        <v>254</v>
      </c>
      <c r="B272" s="168"/>
      <c r="C272" s="168"/>
      <c r="D272" s="169" t="s">
        <v>1597</v>
      </c>
      <c r="E272" s="263" t="s">
        <v>1377</v>
      </c>
      <c r="F272" s="220"/>
      <c r="G272" s="220"/>
      <c r="H272" s="220"/>
      <c r="I272" s="220"/>
      <c r="J272" s="220"/>
      <c r="K272" s="168"/>
      <c r="L272" s="491"/>
      <c r="M272" s="170"/>
      <c r="N272" s="263"/>
      <c r="O272" s="263" t="s">
        <v>1438</v>
      </c>
      <c r="P272" s="170"/>
      <c r="Q272" s="170"/>
      <c r="R272" s="177">
        <v>3.33</v>
      </c>
      <c r="S272" s="176"/>
      <c r="T272" s="220"/>
      <c r="U272" s="547">
        <f t="shared" si="212"/>
        <v>0</v>
      </c>
      <c r="V272" s="175"/>
      <c r="W272" s="170"/>
      <c r="X272" s="179">
        <v>0.09</v>
      </c>
      <c r="Y272" s="216">
        <f>ROUND((R272+U272+W272)*X272,4)</f>
        <v>0.29970000000000002</v>
      </c>
      <c r="Z272" s="216">
        <f>R272+U272+W272+Y272</f>
        <v>3.6297000000000001</v>
      </c>
      <c r="AA272" s="180">
        <f>ROUND(Z272*$D$8,0)</f>
        <v>6533460</v>
      </c>
      <c r="AB272" s="180"/>
      <c r="AC272" s="180">
        <f>AA272/24*AB272</f>
        <v>0</v>
      </c>
      <c r="AD272" s="180">
        <v>0</v>
      </c>
      <c r="AE272" s="180">
        <f>ROUND(AA272-AC272+AD272,0)</f>
        <v>6533460</v>
      </c>
      <c r="AF272" s="178">
        <f>AA272*8%</f>
        <v>522676.8</v>
      </c>
      <c r="AG272" s="178">
        <f>AA272*1.5%</f>
        <v>98001.9</v>
      </c>
      <c r="AH272" s="178">
        <f>AA272*1%</f>
        <v>65334.6</v>
      </c>
      <c r="AI272" s="178"/>
      <c r="AJ272" s="178">
        <f>SUM(AF272:AI272)</f>
        <v>686013.29999999993</v>
      </c>
      <c r="AK272" s="192"/>
      <c r="AL272" s="182">
        <f t="shared" si="211"/>
        <v>0</v>
      </c>
      <c r="AM272" s="182"/>
      <c r="AN272" s="182"/>
      <c r="AO272" s="183">
        <f>R272+U272+W272</f>
        <v>3.33</v>
      </c>
      <c r="AP272" s="246">
        <v>0.25</v>
      </c>
      <c r="AQ272" s="185">
        <f>ROUND(AO272*AP272,4)</f>
        <v>0.83250000000000002</v>
      </c>
      <c r="AR272" s="178">
        <f>ROUND(AQ272*$D$8,0)</f>
        <v>1498500</v>
      </c>
      <c r="AS272" s="178"/>
      <c r="AT272" s="178">
        <f>ROUND(AE272-AJ272+AL272+AN272+AR272,0)</f>
        <v>7345947</v>
      </c>
      <c r="AU272" s="469">
        <f>A272</f>
        <v>254</v>
      </c>
      <c r="AV272" s="195"/>
      <c r="AW272" s="195" t="s">
        <v>1593</v>
      </c>
    </row>
    <row r="273" spans="1:59" s="189" customFormat="1" ht="30.75" customHeight="1" x14ac:dyDescent="0.25">
      <c r="A273" s="900">
        <f t="shared" si="186"/>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VLOOKUP(D273,'[5]Bao cao So GDDT'!$D$14:$S$282,11,FALSE)</f>
        <v>Giảng viên GDNN LT (hạng III)</v>
      </c>
      <c r="O273" s="390" t="s">
        <v>1438</v>
      </c>
      <c r="P273" s="251"/>
      <c r="Q273" s="251"/>
      <c r="R273" s="170">
        <v>2.67</v>
      </c>
      <c r="S273" s="176"/>
      <c r="T273" s="220"/>
      <c r="U273" s="176">
        <f t="shared" si="212"/>
        <v>0</v>
      </c>
      <c r="V273" s="175"/>
      <c r="W273" s="170"/>
      <c r="X273" s="179">
        <f>VLOOKUP(D273,PCTN!D275:W542,20,FALSE)</f>
        <v>0</v>
      </c>
      <c r="Y273" s="216">
        <f t="shared" si="213"/>
        <v>0</v>
      </c>
      <c r="Z273" s="216">
        <f t="shared" si="214"/>
        <v>2.67</v>
      </c>
      <c r="AA273" s="180">
        <f t="shared" si="215"/>
        <v>4806000</v>
      </c>
      <c r="AB273" s="180"/>
      <c r="AC273" s="180">
        <f t="shared" si="222"/>
        <v>0</v>
      </c>
      <c r="AD273" s="180">
        <f t="shared" si="223"/>
        <v>0</v>
      </c>
      <c r="AE273" s="180">
        <f t="shared" si="216"/>
        <v>4806000</v>
      </c>
      <c r="AF273" s="178">
        <f t="shared" ref="AF273:AF285" si="224">AA273*8%</f>
        <v>384480</v>
      </c>
      <c r="AG273" s="178">
        <f t="shared" ref="AG273:AG285" si="225">AA273*1.5%</f>
        <v>72090</v>
      </c>
      <c r="AH273" s="178">
        <f t="shared" ref="AH273:AH285" si="226">AA273*1%</f>
        <v>48060</v>
      </c>
      <c r="AI273" s="178"/>
      <c r="AJ273" s="178">
        <f t="shared" si="217"/>
        <v>504630</v>
      </c>
      <c r="AK273" s="192"/>
      <c r="AL273" s="182">
        <f t="shared" si="211"/>
        <v>0</v>
      </c>
      <c r="AM273" s="182"/>
      <c r="AN273" s="182"/>
      <c r="AO273" s="183">
        <f t="shared" si="205"/>
        <v>2.67</v>
      </c>
      <c r="AP273" s="246">
        <v>0.25</v>
      </c>
      <c r="AQ273" s="185">
        <f t="shared" si="218"/>
        <v>0.66749999999999998</v>
      </c>
      <c r="AR273" s="178">
        <f t="shared" si="219"/>
        <v>1201500</v>
      </c>
      <c r="AS273" s="178"/>
      <c r="AT273" s="178">
        <f t="shared" si="220"/>
        <v>5502870</v>
      </c>
      <c r="AU273" s="469">
        <f t="shared" ref="AU273:AU285" si="227">A273</f>
        <v>255</v>
      </c>
      <c r="AV273" s="195"/>
      <c r="AW273" s="486"/>
      <c r="AX273" s="29"/>
      <c r="AY273" s="29"/>
      <c r="AZ273" s="29"/>
      <c r="BA273" s="29"/>
      <c r="BB273" s="29"/>
      <c r="BC273" s="29"/>
      <c r="BD273" s="29"/>
      <c r="BE273" s="29"/>
      <c r="BF273" s="29"/>
      <c r="BG273" s="29"/>
    </row>
    <row r="274" spans="1:59" s="189" customFormat="1" ht="30.75" customHeight="1" x14ac:dyDescent="0.25">
      <c r="A274" s="900">
        <f t="shared" si="186"/>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VLOOKUP(D274,'[5]Bao cao So GDDT'!$D$14:$S$282,11,FALSE)</f>
        <v>Giảng viên GDNN LT (hạng III)</v>
      </c>
      <c r="O274" s="263" t="s">
        <v>807</v>
      </c>
      <c r="P274" s="251"/>
      <c r="Q274" s="251"/>
      <c r="R274" s="177">
        <v>3</v>
      </c>
      <c r="S274" s="176"/>
      <c r="T274" s="220"/>
      <c r="U274" s="176">
        <f t="shared" si="212"/>
        <v>0</v>
      </c>
      <c r="V274" s="175"/>
      <c r="W274" s="170"/>
      <c r="X274" s="179">
        <f>VLOOKUP(D274,PCTN!D268:W535,20,FALSE)</f>
        <v>0</v>
      </c>
      <c r="Y274" s="216">
        <f t="shared" si="213"/>
        <v>0</v>
      </c>
      <c r="Z274" s="216">
        <f t="shared" si="214"/>
        <v>3</v>
      </c>
      <c r="AA274" s="180">
        <f t="shared" si="215"/>
        <v>5400000</v>
      </c>
      <c r="AB274" s="180"/>
      <c r="AC274" s="180">
        <f t="shared" si="222"/>
        <v>0</v>
      </c>
      <c r="AD274" s="180">
        <f t="shared" si="223"/>
        <v>0</v>
      </c>
      <c r="AE274" s="180">
        <f t="shared" si="216"/>
        <v>5400000</v>
      </c>
      <c r="AF274" s="178">
        <f t="shared" si="224"/>
        <v>432000</v>
      </c>
      <c r="AG274" s="178">
        <f t="shared" si="225"/>
        <v>81000</v>
      </c>
      <c r="AH274" s="178">
        <f t="shared" si="226"/>
        <v>54000</v>
      </c>
      <c r="AI274" s="178"/>
      <c r="AJ274" s="178">
        <f t="shared" si="217"/>
        <v>567000</v>
      </c>
      <c r="AK274" s="192"/>
      <c r="AL274" s="182">
        <f t="shared" si="211"/>
        <v>0</v>
      </c>
      <c r="AM274" s="182"/>
      <c r="AN274" s="182"/>
      <c r="AO274" s="183">
        <f t="shared" si="205"/>
        <v>3</v>
      </c>
      <c r="AP274" s="246">
        <v>0.25</v>
      </c>
      <c r="AQ274" s="185">
        <f t="shared" si="218"/>
        <v>0.75</v>
      </c>
      <c r="AR274" s="178">
        <f t="shared" si="219"/>
        <v>1350000</v>
      </c>
      <c r="AS274" s="178"/>
      <c r="AT274" s="178">
        <f t="shared" si="220"/>
        <v>6183000</v>
      </c>
      <c r="AU274" s="469">
        <f t="shared" si="227"/>
        <v>256</v>
      </c>
      <c r="AV274" s="195"/>
      <c r="AW274" s="486"/>
    </row>
    <row r="275" spans="1:59" s="189" customFormat="1" ht="37.5" customHeight="1" x14ac:dyDescent="0.25">
      <c r="A275" s="900">
        <f t="shared" si="186"/>
        <v>257</v>
      </c>
      <c r="B275" s="168" t="s">
        <v>1511</v>
      </c>
      <c r="C275" s="722" t="s">
        <v>1561</v>
      </c>
      <c r="D275" s="545" t="s">
        <v>1495</v>
      </c>
      <c r="E275" s="564" t="s">
        <v>1377</v>
      </c>
      <c r="F275" s="565"/>
      <c r="G275" s="565"/>
      <c r="H275" s="565"/>
      <c r="I275" s="565"/>
      <c r="J275" s="565"/>
      <c r="K275" s="566"/>
      <c r="L275" s="723" t="s">
        <v>1510</v>
      </c>
      <c r="M275" s="546"/>
      <c r="N275" s="263" t="str">
        <f>VLOOKUP(D275,'[5]Bao cao So GDDT'!$D$14:$S$282,11,FALSE)</f>
        <v>Giảng viên GDNN LT (hạng III)</v>
      </c>
      <c r="O275" s="663" t="s">
        <v>1438</v>
      </c>
      <c r="P275" s="567"/>
      <c r="Q275" s="567"/>
      <c r="R275" s="552">
        <v>3.33</v>
      </c>
      <c r="S275" s="547"/>
      <c r="T275" s="565"/>
      <c r="U275" s="547">
        <f>ROUND(R275*T275/100,4)</f>
        <v>0</v>
      </c>
      <c r="V275" s="548"/>
      <c r="W275" s="546"/>
      <c r="X275" s="179">
        <v>0.11</v>
      </c>
      <c r="Y275" s="216">
        <f>ROUND((R275+U275+W275)*X275,4)</f>
        <v>0.36630000000000001</v>
      </c>
      <c r="Z275" s="216">
        <f>R275+U275+W275+Y275</f>
        <v>3.6962999999999999</v>
      </c>
      <c r="AA275" s="180">
        <f>ROUND(Z275*$D$8,0)</f>
        <v>6653340</v>
      </c>
      <c r="AB275" s="550"/>
      <c r="AC275" s="180">
        <f>AA275/24*AB275</f>
        <v>0</v>
      </c>
      <c r="AD275" s="180">
        <f>AA275/24*AB275*75%</f>
        <v>0</v>
      </c>
      <c r="AE275" s="180">
        <f>ROUND(AA275-AC275+AD275,0)</f>
        <v>6653340</v>
      </c>
      <c r="AF275" s="178">
        <f>AA275*8%</f>
        <v>532267.19999999995</v>
      </c>
      <c r="AG275" s="178">
        <f>AA275*1.5%</f>
        <v>99800.099999999991</v>
      </c>
      <c r="AH275" s="178">
        <f>AA275*1%</f>
        <v>66533.399999999994</v>
      </c>
      <c r="AI275" s="551"/>
      <c r="AJ275" s="178">
        <f>SUM(AF275:AI275)</f>
        <v>698600.7</v>
      </c>
      <c r="AK275" s="568"/>
      <c r="AL275" s="182">
        <f t="shared" si="211"/>
        <v>0</v>
      </c>
      <c r="AM275" s="569"/>
      <c r="AN275" s="569"/>
      <c r="AO275" s="570">
        <f>R275+U275+W275</f>
        <v>3.33</v>
      </c>
      <c r="AP275" s="641">
        <v>0.25</v>
      </c>
      <c r="AQ275" s="185">
        <f>ROUND(AO275*AP275,4)</f>
        <v>0.83250000000000002</v>
      </c>
      <c r="AR275" s="178">
        <f>ROUND(AQ275*$D$8,0)</f>
        <v>1498500</v>
      </c>
      <c r="AS275" s="551"/>
      <c r="AT275" s="178">
        <f>ROUND(AE275-AJ275+AL275+AN275+AR275,0)</f>
        <v>7453239</v>
      </c>
      <c r="AU275" s="469">
        <f t="shared" si="227"/>
        <v>257</v>
      </c>
      <c r="AV275" s="724"/>
      <c r="AW275" s="724" t="s">
        <v>1496</v>
      </c>
    </row>
    <row r="276" spans="1:59" s="189" customFormat="1" ht="37.5" customHeight="1" x14ac:dyDescent="0.25">
      <c r="A276" s="900">
        <f t="shared" si="186"/>
        <v>258</v>
      </c>
      <c r="B276" s="168" t="s">
        <v>1500</v>
      </c>
      <c r="C276" s="872" t="s">
        <v>1559</v>
      </c>
      <c r="D276" s="169" t="s">
        <v>1480</v>
      </c>
      <c r="E276" s="263" t="s">
        <v>1377</v>
      </c>
      <c r="F276" s="220"/>
      <c r="G276" s="220"/>
      <c r="H276" s="220"/>
      <c r="I276" s="220"/>
      <c r="J276" s="220"/>
      <c r="K276" s="168">
        <v>233140411</v>
      </c>
      <c r="L276" s="491" t="s">
        <v>1488</v>
      </c>
      <c r="M276" s="170"/>
      <c r="N276" s="835" t="str">
        <f>VLOOKUP(D276,'[5]Bao cao So GDDT'!$D$14:$S$282,11,FALSE)</f>
        <v>Giảng viên GDNN LT (hạng III)</v>
      </c>
      <c r="O276" s="663"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211"/>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27"/>
        <v>258</v>
      </c>
      <c r="AV276" s="195"/>
      <c r="AW276" s="195" t="s">
        <v>1574</v>
      </c>
      <c r="AX276" s="29"/>
      <c r="AY276" s="29"/>
      <c r="AZ276" s="29"/>
      <c r="BA276" s="29"/>
      <c r="BB276" s="29"/>
      <c r="BC276" s="29"/>
      <c r="BD276" s="29"/>
      <c r="BE276" s="29"/>
      <c r="BF276" s="29"/>
      <c r="BG276" s="29"/>
    </row>
    <row r="277" spans="1:59" s="189" customFormat="1" ht="37.5" customHeight="1" x14ac:dyDescent="0.25">
      <c r="A277" s="900">
        <f t="shared" si="186"/>
        <v>259</v>
      </c>
      <c r="B277" s="168" t="s">
        <v>1506</v>
      </c>
      <c r="C277" s="872" t="s">
        <v>1566</v>
      </c>
      <c r="D277" s="169" t="s">
        <v>1442</v>
      </c>
      <c r="E277" s="263" t="s">
        <v>1377</v>
      </c>
      <c r="F277" s="220"/>
      <c r="G277" s="220"/>
      <c r="H277" s="220"/>
      <c r="I277" s="220"/>
      <c r="J277" s="220"/>
      <c r="K277" s="168"/>
      <c r="L277" s="491" t="s">
        <v>1446</v>
      </c>
      <c r="M277" s="170"/>
      <c r="N277" s="263" t="str">
        <f>VLOOKUP(D277,'[5]Bao cao So GDDT'!$D$14:$S$282,11,FALSE)</f>
        <v>Giảng viên GDNN LT (hạng III)</v>
      </c>
      <c r="O277" s="663"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211"/>
        <v>0</v>
      </c>
      <c r="AM277" s="182"/>
      <c r="AN277" s="182"/>
      <c r="AO277" s="183">
        <f>R277+U277+W277</f>
        <v>2.34</v>
      </c>
      <c r="AP277" s="641">
        <v>0.25</v>
      </c>
      <c r="AQ277" s="185">
        <f>ROUND(AO277*AP277,4)</f>
        <v>0.58499999999999996</v>
      </c>
      <c r="AR277" s="178">
        <f>ROUND(AQ277*$D$8,0)</f>
        <v>1053000</v>
      </c>
      <c r="AS277" s="178"/>
      <c r="AT277" s="178">
        <f>ROUND(AE277-AJ277+AL277+AN277+AR277,0)</f>
        <v>4822740</v>
      </c>
      <c r="AU277" s="469">
        <f t="shared" si="227"/>
        <v>259</v>
      </c>
      <c r="AV277" s="195"/>
      <c r="AW277" s="660"/>
      <c r="AX277" s="29"/>
      <c r="AY277" s="29"/>
      <c r="AZ277" s="29"/>
      <c r="BA277" s="29"/>
      <c r="BB277" s="29"/>
      <c r="BC277" s="29"/>
      <c r="BD277" s="29"/>
      <c r="BE277" s="29"/>
      <c r="BF277" s="29"/>
      <c r="BG277" s="29"/>
    </row>
    <row r="278" spans="1:59" s="189" customFormat="1" ht="37.5" customHeight="1" x14ac:dyDescent="0.25">
      <c r="A278" s="900">
        <f t="shared" si="186"/>
        <v>260</v>
      </c>
      <c r="B278" s="168" t="s">
        <v>1509</v>
      </c>
      <c r="C278" s="872" t="s">
        <v>1560</v>
      </c>
      <c r="D278" s="169" t="s">
        <v>1443</v>
      </c>
      <c r="E278" s="263" t="s">
        <v>1377</v>
      </c>
      <c r="F278" s="220"/>
      <c r="G278" s="220"/>
      <c r="H278" s="220"/>
      <c r="I278" s="220"/>
      <c r="J278" s="220"/>
      <c r="K278" s="168"/>
      <c r="L278" s="491" t="s">
        <v>1445</v>
      </c>
      <c r="M278" s="170"/>
      <c r="N278" s="263" t="str">
        <f>VLOOKUP(D278,'[5]Bao cao So GDDT'!$D$14:$S$282,11,FALSE)</f>
        <v>Giảng viên GDNN LT (hạng III)</v>
      </c>
      <c r="O278" s="663"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211"/>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60"/>
      <c r="AX278" s="29"/>
      <c r="AY278" s="29"/>
      <c r="AZ278" s="29"/>
      <c r="BA278" s="29"/>
      <c r="BB278" s="29"/>
      <c r="BC278" s="29"/>
      <c r="BD278" s="29"/>
      <c r="BE278" s="29"/>
      <c r="BF278" s="29"/>
      <c r="BG278" s="29"/>
    </row>
    <row r="279" spans="1:59" s="189" customFormat="1" ht="37.5" customHeight="1" x14ac:dyDescent="0.25">
      <c r="A279" s="900">
        <f t="shared" si="186"/>
        <v>261</v>
      </c>
      <c r="B279" s="168" t="s">
        <v>1503</v>
      </c>
      <c r="C279" s="661">
        <v>10300000937</v>
      </c>
      <c r="D279" s="169" t="s">
        <v>1483</v>
      </c>
      <c r="E279" s="263" t="s">
        <v>1377</v>
      </c>
      <c r="F279" s="220"/>
      <c r="G279" s="220"/>
      <c r="H279" s="220"/>
      <c r="I279" s="220"/>
      <c r="J279" s="220"/>
      <c r="K279" s="168">
        <v>261375031</v>
      </c>
      <c r="L279" s="491" t="s">
        <v>1492</v>
      </c>
      <c r="M279" s="170"/>
      <c r="N279" s="263" t="str">
        <f>VLOOKUP(D279,'[5]Bao cao So GDDT'!$D$14:$S$282,11,FALSE)</f>
        <v>Giảng viên GDNN LT (hạng III)</v>
      </c>
      <c r="O279" s="663"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211"/>
        <v>0</v>
      </c>
      <c r="AM279" s="182"/>
      <c r="AN279" s="182"/>
      <c r="AO279" s="183">
        <f>R279+U279+W279</f>
        <v>2.34</v>
      </c>
      <c r="AP279" s="641">
        <v>0.25</v>
      </c>
      <c r="AQ279" s="185">
        <f>ROUND(AO279*AP279,4)</f>
        <v>0.58499999999999996</v>
      </c>
      <c r="AR279" s="178">
        <f>ROUND(AQ279*$D$8,0)</f>
        <v>1053000</v>
      </c>
      <c r="AS279" s="178"/>
      <c r="AT279" s="178">
        <f>ROUND(AE279-AJ279+AL279+AN279+AR279,0)</f>
        <v>4822740</v>
      </c>
      <c r="AU279" s="539">
        <f>A279</f>
        <v>261</v>
      </c>
      <c r="AV279" s="195"/>
      <c r="AW279" s="195" t="s">
        <v>1484</v>
      </c>
      <c r="AX279" s="29"/>
      <c r="AY279" s="29"/>
      <c r="AZ279" s="29"/>
      <c r="BA279" s="29"/>
      <c r="BB279" s="29"/>
      <c r="BC279" s="29"/>
      <c r="BD279" s="29"/>
      <c r="BE279" s="29"/>
      <c r="BF279" s="29"/>
      <c r="BG279" s="29"/>
    </row>
    <row r="280" spans="1:59" s="189" customFormat="1" ht="30.75" customHeight="1" x14ac:dyDescent="0.25">
      <c r="A280" s="900">
        <f t="shared" si="186"/>
        <v>262</v>
      </c>
      <c r="B280" s="168" t="str">
        <f>VLOOKUP(D280,[1]LuongBC_T01!$B$9:$C$292,2,FALSE)</f>
        <v>0016100006587008</v>
      </c>
      <c r="C280" s="199" t="s">
        <v>917</v>
      </c>
      <c r="D280" s="230" t="s">
        <v>766</v>
      </c>
      <c r="E280" s="263" t="s">
        <v>1387</v>
      </c>
      <c r="F280" s="231"/>
      <c r="G280" s="231"/>
      <c r="H280" s="231"/>
      <c r="I280" s="231"/>
      <c r="J280" s="231"/>
      <c r="K280" s="170" t="str">
        <f>VLOOKUP(D280,[2]T3!$B$2:$D$328,3,FALSE)</f>
        <v>020750459</v>
      </c>
      <c r="L280" s="226" t="s">
        <v>793</v>
      </c>
      <c r="M280" s="226" t="s">
        <v>917</v>
      </c>
      <c r="N280" s="263" t="str">
        <f>VLOOKUP(D280,'[5]Bao cao So GDDT'!$D$14:$S$282,11,FALSE)</f>
        <v>Giảng viên GDNN LT (hạng III)</v>
      </c>
      <c r="O280" s="390" t="s">
        <v>1438</v>
      </c>
      <c r="P280" s="170" t="s">
        <v>692</v>
      </c>
      <c r="Q280" s="170">
        <v>3</v>
      </c>
      <c r="R280" s="177">
        <v>3.66</v>
      </c>
      <c r="S280" s="176">
        <f>U280+W280+Y280</f>
        <v>0.71089999999999998</v>
      </c>
      <c r="T280" s="169"/>
      <c r="U280" s="176">
        <f t="shared" si="212"/>
        <v>0</v>
      </c>
      <c r="V280" s="175"/>
      <c r="W280" s="170">
        <v>0.35</v>
      </c>
      <c r="X280" s="179">
        <v>0.09</v>
      </c>
      <c r="Y280" s="216">
        <f t="shared" si="213"/>
        <v>0.3609</v>
      </c>
      <c r="Z280" s="216">
        <f t="shared" si="214"/>
        <v>4.3708999999999998</v>
      </c>
      <c r="AA280" s="180">
        <f t="shared" si="215"/>
        <v>7867620</v>
      </c>
      <c r="AB280" s="180"/>
      <c r="AC280" s="180">
        <f t="shared" si="222"/>
        <v>0</v>
      </c>
      <c r="AD280" s="180">
        <f t="shared" si="223"/>
        <v>0</v>
      </c>
      <c r="AE280" s="180">
        <f t="shared" si="216"/>
        <v>7867620</v>
      </c>
      <c r="AF280" s="178">
        <f t="shared" si="224"/>
        <v>629409.6</v>
      </c>
      <c r="AG280" s="178">
        <f t="shared" si="225"/>
        <v>118014.29999999999</v>
      </c>
      <c r="AH280" s="178">
        <f t="shared" si="226"/>
        <v>78676.2</v>
      </c>
      <c r="AI280" s="178"/>
      <c r="AJ280" s="178">
        <f t="shared" si="217"/>
        <v>826100.09999999986</v>
      </c>
      <c r="AK280" s="192"/>
      <c r="AL280" s="182">
        <f t="shared" si="211"/>
        <v>0</v>
      </c>
      <c r="AM280" s="182"/>
      <c r="AN280" s="182"/>
      <c r="AO280" s="183">
        <f t="shared" si="205"/>
        <v>4.01</v>
      </c>
      <c r="AP280" s="246">
        <v>0.25</v>
      </c>
      <c r="AQ280" s="194">
        <f t="shared" si="218"/>
        <v>1.0024999999999999</v>
      </c>
      <c r="AR280" s="178">
        <f t="shared" si="219"/>
        <v>1804500</v>
      </c>
      <c r="AS280" s="178"/>
      <c r="AT280" s="178">
        <f t="shared" si="220"/>
        <v>8846020</v>
      </c>
      <c r="AU280" s="469">
        <f t="shared" si="227"/>
        <v>262</v>
      </c>
      <c r="AV280" s="195"/>
      <c r="AW280" s="196"/>
    </row>
    <row r="281" spans="1:59" s="189" customFormat="1" ht="30.75" customHeight="1" x14ac:dyDescent="0.25">
      <c r="A281" s="900">
        <f t="shared" si="186"/>
        <v>263</v>
      </c>
      <c r="B281" s="168" t="str">
        <f>VLOOKUP(D281,[1]LuongBC_T01!$B$9:$C$292,2,FALSE)</f>
        <v>0016100006558008</v>
      </c>
      <c r="C281" s="170" t="s">
        <v>1321</v>
      </c>
      <c r="D281" s="169" t="s">
        <v>1097</v>
      </c>
      <c r="E281" s="263" t="s">
        <v>1386</v>
      </c>
      <c r="F281" s="220"/>
      <c r="G281" s="220"/>
      <c r="H281" s="220"/>
      <c r="I281" s="220"/>
      <c r="J281" s="220"/>
      <c r="K281" s="170" t="str">
        <f>VLOOKUP(D281,[2]T3!$B$2:$D$328,3,FALSE)</f>
        <v>142482490</v>
      </c>
      <c r="L281" s="220"/>
      <c r="M281" s="170"/>
      <c r="N281" s="263" t="str">
        <f>VLOOKUP(D281,'[5]Bao cao So GDDT'!$D$14:$S$282,11,FALSE)</f>
        <v>Giảng viên GDNN LT (hạng III)</v>
      </c>
      <c r="O281" s="390" t="s">
        <v>1438</v>
      </c>
      <c r="P281" s="170"/>
      <c r="Q281" s="170">
        <v>2</v>
      </c>
      <c r="R281" s="177">
        <v>3.33</v>
      </c>
      <c r="S281" s="176">
        <f>U281+W281+Y281</f>
        <v>0.57079999999999997</v>
      </c>
      <c r="T281" s="220"/>
      <c r="U281" s="176">
        <f t="shared" si="212"/>
        <v>0</v>
      </c>
      <c r="V281" s="175">
        <f>R281*T281*$D$8/100</f>
        <v>0</v>
      </c>
      <c r="W281" s="177">
        <v>0.35</v>
      </c>
      <c r="X281" s="179">
        <v>0.06</v>
      </c>
      <c r="Y281" s="216">
        <f t="shared" si="213"/>
        <v>0.2208</v>
      </c>
      <c r="Z281" s="216">
        <f t="shared" si="214"/>
        <v>3.9008000000000003</v>
      </c>
      <c r="AA281" s="180">
        <f t="shared" si="215"/>
        <v>7021440</v>
      </c>
      <c r="AB281" s="180"/>
      <c r="AC281" s="180">
        <f t="shared" si="222"/>
        <v>0</v>
      </c>
      <c r="AD281" s="180">
        <f t="shared" si="223"/>
        <v>0</v>
      </c>
      <c r="AE281" s="180">
        <f t="shared" si="216"/>
        <v>7021440</v>
      </c>
      <c r="AF281" s="178">
        <f t="shared" si="224"/>
        <v>561715.20000000007</v>
      </c>
      <c r="AG281" s="178">
        <f t="shared" si="225"/>
        <v>105321.59999999999</v>
      </c>
      <c r="AH281" s="178">
        <f t="shared" si="226"/>
        <v>70214.400000000009</v>
      </c>
      <c r="AI281" s="178"/>
      <c r="AJ281" s="178">
        <f t="shared" si="217"/>
        <v>737251.20000000007</v>
      </c>
      <c r="AK281" s="192"/>
      <c r="AL281" s="182">
        <f>AK281*$D$8</f>
        <v>0</v>
      </c>
      <c r="AM281" s="182"/>
      <c r="AN281" s="182"/>
      <c r="AO281" s="183">
        <f t="shared" si="205"/>
        <v>3.68</v>
      </c>
      <c r="AP281" s="246">
        <v>0.25</v>
      </c>
      <c r="AQ281" s="185">
        <f t="shared" si="218"/>
        <v>0.92</v>
      </c>
      <c r="AR281" s="178">
        <f t="shared" si="219"/>
        <v>1656000</v>
      </c>
      <c r="AS281" s="178"/>
      <c r="AT281" s="178">
        <f>ROUND(AE281-AJ281+AL281+AN281+AR281,0)-1</f>
        <v>7940188</v>
      </c>
      <c r="AU281" s="469">
        <f t="shared" si="227"/>
        <v>263</v>
      </c>
      <c r="AV281" s="195"/>
      <c r="AW281" s="198"/>
    </row>
    <row r="282" spans="1:59" s="189" customFormat="1" ht="30.75" customHeight="1" x14ac:dyDescent="0.25">
      <c r="A282" s="900">
        <f>A281+1</f>
        <v>264</v>
      </c>
      <c r="B282" s="168" t="str">
        <f>VLOOKUP(D282,[1]LuongBC_T01!$B$9:$C$292,2,FALSE)</f>
        <v>0016100006534001</v>
      </c>
      <c r="C282" s="199" t="s">
        <v>993</v>
      </c>
      <c r="D282" s="169" t="s">
        <v>1227</v>
      </c>
      <c r="E282" s="263" t="s">
        <v>1381</v>
      </c>
      <c r="F282" s="169" t="s">
        <v>549</v>
      </c>
      <c r="G282" s="200"/>
      <c r="H282" s="200" t="s">
        <v>283</v>
      </c>
      <c r="I282" s="200" t="s">
        <v>283</v>
      </c>
      <c r="J282" s="200" t="s">
        <v>586</v>
      </c>
      <c r="K282" s="170" t="str">
        <f>VLOOKUP(D282,[2]T3!$B$2:$D$328,3,FALSE)</f>
        <v>025211873</v>
      </c>
      <c r="L282" s="201" t="s">
        <v>608</v>
      </c>
      <c r="M282" s="201" t="s">
        <v>993</v>
      </c>
      <c r="N282" s="263" t="str">
        <f>VLOOKUP(D282,'[5]Bao cao So GDDT'!$D$14:$S$282,11,FALSE)</f>
        <v>Giảng viên GDNN LT (hạng III)</v>
      </c>
      <c r="O282" s="390" t="s">
        <v>1438</v>
      </c>
      <c r="P282" s="170" t="s">
        <v>692</v>
      </c>
      <c r="Q282" s="170">
        <v>3</v>
      </c>
      <c r="R282" s="177">
        <v>3.66</v>
      </c>
      <c r="S282" s="176">
        <f>U282+W282+Y282</f>
        <v>0.4758</v>
      </c>
      <c r="T282" s="220"/>
      <c r="U282" s="176">
        <f t="shared" si="212"/>
        <v>0</v>
      </c>
      <c r="V282" s="175">
        <f>R282*T282*$D$8/100</f>
        <v>0</v>
      </c>
      <c r="W282" s="170"/>
      <c r="X282" s="179">
        <v>0.13</v>
      </c>
      <c r="Y282" s="216">
        <f t="shared" si="213"/>
        <v>0.4758</v>
      </c>
      <c r="Z282" s="216">
        <f t="shared" si="214"/>
        <v>4.1357999999999997</v>
      </c>
      <c r="AA282" s="180">
        <f t="shared" si="215"/>
        <v>7444440</v>
      </c>
      <c r="AB282" s="180"/>
      <c r="AC282" s="180">
        <f t="shared" si="222"/>
        <v>0</v>
      </c>
      <c r="AD282" s="180">
        <f t="shared" si="223"/>
        <v>0</v>
      </c>
      <c r="AE282" s="180">
        <f t="shared" si="216"/>
        <v>7444440</v>
      </c>
      <c r="AF282" s="178">
        <f t="shared" si="224"/>
        <v>595555.20000000007</v>
      </c>
      <c r="AG282" s="178">
        <f t="shared" si="225"/>
        <v>111666.59999999999</v>
      </c>
      <c r="AH282" s="178">
        <f t="shared" si="226"/>
        <v>74444.400000000009</v>
      </c>
      <c r="AI282" s="178"/>
      <c r="AJ282" s="178">
        <f t="shared" si="217"/>
        <v>781666.20000000007</v>
      </c>
      <c r="AK282" s="192"/>
      <c r="AL282" s="182">
        <f>AK282*$D$8</f>
        <v>0</v>
      </c>
      <c r="AM282" s="182"/>
      <c r="AN282" s="182"/>
      <c r="AO282" s="193">
        <f t="shared" si="205"/>
        <v>3.66</v>
      </c>
      <c r="AP282" s="246">
        <v>0.25</v>
      </c>
      <c r="AQ282" s="194">
        <f t="shared" si="218"/>
        <v>0.91500000000000004</v>
      </c>
      <c r="AR282" s="178">
        <f t="shared" si="219"/>
        <v>1647000</v>
      </c>
      <c r="AS282" s="178"/>
      <c r="AT282" s="178">
        <f>ROUND(AE282-AJ282+AL282+AN282+AR282,0)</f>
        <v>8309774</v>
      </c>
      <c r="AU282" s="469">
        <f t="shared" si="227"/>
        <v>264</v>
      </c>
      <c r="AV282" s="186"/>
      <c r="AW282" s="198" t="s">
        <v>703</v>
      </c>
    </row>
    <row r="283" spans="1:59" s="189" customFormat="1" ht="30.75" customHeight="1" x14ac:dyDescent="0.25">
      <c r="A283" s="900">
        <f>A282+1</f>
        <v>265</v>
      </c>
      <c r="B283" s="168" t="str">
        <f>VLOOKUP(D283,[1]LuongBC_T01!$B$9:$C$292,2,FALSE)</f>
        <v>0016100006556005</v>
      </c>
      <c r="C283" s="199" t="s">
        <v>957</v>
      </c>
      <c r="D283" s="169" t="s">
        <v>294</v>
      </c>
      <c r="E283" s="263" t="s">
        <v>1381</v>
      </c>
      <c r="F283" s="169" t="s">
        <v>549</v>
      </c>
      <c r="G283" s="200"/>
      <c r="H283" s="200" t="s">
        <v>283</v>
      </c>
      <c r="I283" s="200" t="s">
        <v>283</v>
      </c>
      <c r="J283" s="220" t="s">
        <v>545</v>
      </c>
      <c r="K283" s="170" t="str">
        <f>VLOOKUP(D283,[2]T3!$B$2:$D$328,3,FALSE)</f>
        <v>024573030</v>
      </c>
      <c r="L283" s="171" t="s">
        <v>295</v>
      </c>
      <c r="M283" s="171" t="s">
        <v>957</v>
      </c>
      <c r="N283" s="263" t="str">
        <f>VLOOKUP(D283,'[5]Bao cao So GDDT'!$D$14:$S$282,11,FALSE)</f>
        <v>Giảng viên GDNN LT (hạng III)</v>
      </c>
      <c r="O283" s="390" t="s">
        <v>1438</v>
      </c>
      <c r="P283" s="172" t="s">
        <v>692</v>
      </c>
      <c r="Q283" s="173">
        <v>5</v>
      </c>
      <c r="R283" s="174">
        <v>4.32</v>
      </c>
      <c r="S283" s="176">
        <f>U283+W283+Y283</f>
        <v>0.73440000000000005</v>
      </c>
      <c r="T283" s="377"/>
      <c r="U283" s="176">
        <f t="shared" si="212"/>
        <v>0</v>
      </c>
      <c r="V283" s="175">
        <f>R283*T283*$D$8/100</f>
        <v>0</v>
      </c>
      <c r="W283" s="170"/>
      <c r="X283" s="179">
        <v>0.17</v>
      </c>
      <c r="Y283" s="216">
        <f t="shared" si="213"/>
        <v>0.73440000000000005</v>
      </c>
      <c r="Z283" s="216">
        <f t="shared" si="214"/>
        <v>5.0544000000000002</v>
      </c>
      <c r="AA283" s="180">
        <f t="shared" si="215"/>
        <v>9097920</v>
      </c>
      <c r="AB283" s="180"/>
      <c r="AC283" s="180">
        <f t="shared" si="222"/>
        <v>0</v>
      </c>
      <c r="AD283" s="180">
        <v>0</v>
      </c>
      <c r="AE283" s="180">
        <f t="shared" si="216"/>
        <v>9097920</v>
      </c>
      <c r="AF283" s="178">
        <f t="shared" si="224"/>
        <v>727833.59999999998</v>
      </c>
      <c r="AG283" s="178">
        <f t="shared" si="225"/>
        <v>136468.79999999999</v>
      </c>
      <c r="AH283" s="178">
        <f t="shared" si="226"/>
        <v>90979.199999999997</v>
      </c>
      <c r="AI283" s="178"/>
      <c r="AJ283" s="178">
        <f t="shared" si="217"/>
        <v>955281.59999999986</v>
      </c>
      <c r="AK283" s="181"/>
      <c r="AL283" s="182">
        <f>AK283*$D$8</f>
        <v>0</v>
      </c>
      <c r="AM283" s="182"/>
      <c r="AN283" s="182"/>
      <c r="AO283" s="193">
        <f t="shared" si="205"/>
        <v>4.32</v>
      </c>
      <c r="AP283" s="246">
        <v>0.25</v>
      </c>
      <c r="AQ283" s="194">
        <f t="shared" si="218"/>
        <v>1.08</v>
      </c>
      <c r="AR283" s="178">
        <f t="shared" si="219"/>
        <v>1944000</v>
      </c>
      <c r="AS283" s="178"/>
      <c r="AT283" s="178">
        <f>ROUND(AE283-AJ283+AL283+AN283+AR283,0)</f>
        <v>10086638</v>
      </c>
      <c r="AU283" s="469">
        <f t="shared" si="227"/>
        <v>265</v>
      </c>
      <c r="AV283" s="195"/>
      <c r="AW283" s="187" t="s">
        <v>703</v>
      </c>
    </row>
    <row r="284" spans="1:59" s="189" customFormat="1" ht="37.5" customHeight="1" x14ac:dyDescent="0.25">
      <c r="A284" s="900">
        <f>A283+1</f>
        <v>266</v>
      </c>
      <c r="B284" s="168" t="s">
        <v>1502</v>
      </c>
      <c r="C284" s="661" t="s">
        <v>1567</v>
      </c>
      <c r="D284" s="169" t="s">
        <v>1482</v>
      </c>
      <c r="E284" s="263" t="s">
        <v>1381</v>
      </c>
      <c r="F284" s="220"/>
      <c r="G284" s="220"/>
      <c r="H284" s="220"/>
      <c r="I284" s="220"/>
      <c r="J284" s="220"/>
      <c r="K284" s="168">
        <v>212686412</v>
      </c>
      <c r="L284" s="491" t="s">
        <v>1489</v>
      </c>
      <c r="M284" s="170"/>
      <c r="N284" s="263" t="str">
        <f>VLOOKUP(D284,'[5]Bao cao So GDDT'!$D$14:$S$282,11,FALSE)</f>
        <v>Giảng viên GDNN LT (hạng III)</v>
      </c>
      <c r="O284" s="663" t="s">
        <v>1438</v>
      </c>
      <c r="P284" s="251"/>
      <c r="Q284" s="251"/>
      <c r="R284" s="177">
        <v>3.33</v>
      </c>
      <c r="S284" s="176"/>
      <c r="T284" s="220"/>
      <c r="U284" s="176">
        <f>ROUND(R284*T284/100,4)</f>
        <v>0</v>
      </c>
      <c r="V284" s="175"/>
      <c r="W284" s="170"/>
      <c r="X284" s="179">
        <v>0.05</v>
      </c>
      <c r="Y284" s="216">
        <f>ROUND((R284+U284+W284)*X284,4)</f>
        <v>0.16650000000000001</v>
      </c>
      <c r="Z284" s="216">
        <f>R284+U284+W284+Y284</f>
        <v>3.4965000000000002</v>
      </c>
      <c r="AA284" s="180">
        <f>ROUND(Z284*$D$8,0)</f>
        <v>6293700</v>
      </c>
      <c r="AB284" s="180"/>
      <c r="AC284" s="180">
        <f>AA284/24*AB284</f>
        <v>0</v>
      </c>
      <c r="AD284" s="180">
        <f>AA284/24*AB284*75%</f>
        <v>0</v>
      </c>
      <c r="AE284" s="180">
        <f>ROUND(AA284-AC284+AD284,0)</f>
        <v>6293700</v>
      </c>
      <c r="AF284" s="178">
        <f>AA284*8%</f>
        <v>503496</v>
      </c>
      <c r="AG284" s="178">
        <f>AA284*1.5%</f>
        <v>94405.5</v>
      </c>
      <c r="AH284" s="178">
        <f>AA284*1%</f>
        <v>62937</v>
      </c>
      <c r="AI284" s="178"/>
      <c r="AJ284" s="178">
        <f>SUM(AF284:AI284)</f>
        <v>660838.5</v>
      </c>
      <c r="AK284" s="192"/>
      <c r="AL284" s="182"/>
      <c r="AM284" s="182"/>
      <c r="AN284" s="182"/>
      <c r="AO284" s="183">
        <f>R284+U284+W284</f>
        <v>3.33</v>
      </c>
      <c r="AP284" s="641">
        <v>0.25</v>
      </c>
      <c r="AQ284" s="185">
        <f>ROUND(AO284*AP284,4)</f>
        <v>0.83250000000000002</v>
      </c>
      <c r="AR284" s="178">
        <f>ROUND(AQ284*$D$8,0)</f>
        <v>1498500</v>
      </c>
      <c r="AS284" s="178"/>
      <c r="AT284" s="178">
        <f>ROUND(AE284-AJ284+AL284+AN284+AR284,0)</f>
        <v>7131362</v>
      </c>
      <c r="AU284" s="539">
        <f>A284</f>
        <v>266</v>
      </c>
      <c r="AV284" s="195"/>
      <c r="AW284" s="195" t="s">
        <v>1481</v>
      </c>
    </row>
    <row r="285" spans="1:59" s="189" customFormat="1" ht="30.75" customHeight="1" x14ac:dyDescent="0.25">
      <c r="A285" s="933">
        <f>A284+1</f>
        <v>267</v>
      </c>
      <c r="B285" s="471" t="str">
        <f>VLOOKUP(D285,[1]LuongBC_T01!$B$9:$C$292,2,FALSE)</f>
        <v>0016100006557001</v>
      </c>
      <c r="C285" s="431" t="s">
        <v>1006</v>
      </c>
      <c r="D285" s="432" t="s">
        <v>1231</v>
      </c>
      <c r="E285" s="296" t="s">
        <v>1393</v>
      </c>
      <c r="F285" s="432" t="s">
        <v>549</v>
      </c>
      <c r="G285" s="994"/>
      <c r="H285" s="994" t="s">
        <v>283</v>
      </c>
      <c r="I285" s="994"/>
      <c r="J285" s="994"/>
      <c r="K285" s="438" t="str">
        <f>VLOOKUP(D285,[2]T3!$B$2:$D$328,3,FALSE)</f>
        <v>046085000069</v>
      </c>
      <c r="L285" s="995" t="s">
        <v>1</v>
      </c>
      <c r="M285" s="995" t="s">
        <v>1006</v>
      </c>
      <c r="N285" s="296" t="str">
        <f>VLOOKUP(D285,'[5]Bao cao So GDDT'!$D$14:$S$282,11,FALSE)</f>
        <v>Giảng viên GDNN LT (hạng III)</v>
      </c>
      <c r="O285" s="996" t="s">
        <v>1438</v>
      </c>
      <c r="P285" s="651" t="s">
        <v>692</v>
      </c>
      <c r="Q285" s="434">
        <v>3</v>
      </c>
      <c r="R285" s="997">
        <v>3.66</v>
      </c>
      <c r="S285" s="436">
        <f>U285+W285+Y285</f>
        <v>0.43919999999999998</v>
      </c>
      <c r="T285" s="633"/>
      <c r="U285" s="436">
        <f t="shared" si="212"/>
        <v>0</v>
      </c>
      <c r="V285" s="445">
        <f>R285*T285*$D$8/100</f>
        <v>0</v>
      </c>
      <c r="W285" s="438"/>
      <c r="X285" s="439">
        <v>0.12</v>
      </c>
      <c r="Y285" s="440">
        <f t="shared" si="213"/>
        <v>0.43919999999999998</v>
      </c>
      <c r="Z285" s="440">
        <f t="shared" si="214"/>
        <v>4.0991999999999997</v>
      </c>
      <c r="AA285" s="238">
        <f t="shared" si="215"/>
        <v>7378560</v>
      </c>
      <c r="AB285" s="238"/>
      <c r="AC285" s="238">
        <f t="shared" si="222"/>
        <v>0</v>
      </c>
      <c r="AD285" s="238">
        <f>AA285/24*AB285*75%</f>
        <v>0</v>
      </c>
      <c r="AE285" s="238">
        <f t="shared" si="216"/>
        <v>7378560</v>
      </c>
      <c r="AF285" s="225">
        <f t="shared" si="224"/>
        <v>590284.80000000005</v>
      </c>
      <c r="AG285" s="225">
        <f t="shared" si="225"/>
        <v>110678.39999999999</v>
      </c>
      <c r="AH285" s="225">
        <f t="shared" si="226"/>
        <v>73785.600000000006</v>
      </c>
      <c r="AI285" s="225"/>
      <c r="AJ285" s="225">
        <f t="shared" si="217"/>
        <v>774748.8</v>
      </c>
      <c r="AK285" s="488"/>
      <c r="AL285" s="489">
        <f>AK285*$D$8</f>
        <v>0</v>
      </c>
      <c r="AM285" s="489"/>
      <c r="AN285" s="489"/>
      <c r="AO285" s="441">
        <f t="shared" si="205"/>
        <v>3.66</v>
      </c>
      <c r="AP285" s="665">
        <v>0.25</v>
      </c>
      <c r="AQ285" s="442">
        <f t="shared" si="218"/>
        <v>0.91500000000000004</v>
      </c>
      <c r="AR285" s="225">
        <f t="shared" si="219"/>
        <v>1647000</v>
      </c>
      <c r="AS285" s="225"/>
      <c r="AT285" s="225">
        <f>ROUND(AE285-AJ285+AL285+AN285+AR285,0)</f>
        <v>8250811</v>
      </c>
      <c r="AU285" s="470">
        <f t="shared" si="227"/>
        <v>267</v>
      </c>
      <c r="AV285" s="543"/>
      <c r="AW285" s="198" t="s">
        <v>703</v>
      </c>
    </row>
    <row r="286" spans="1:59" s="191" customFormat="1" ht="35.25" customHeight="1" x14ac:dyDescent="0.25">
      <c r="A286" s="572"/>
      <c r="B286" s="572"/>
      <c r="C286" s="574"/>
      <c r="D286" s="574" t="s">
        <v>1417</v>
      </c>
      <c r="E286" s="575"/>
      <c r="F286" s="576"/>
      <c r="G286" s="577"/>
      <c r="H286" s="576"/>
      <c r="I286" s="576"/>
      <c r="J286" s="576"/>
      <c r="K286" s="578"/>
      <c r="L286" s="579"/>
      <c r="M286" s="579"/>
      <c r="N286" s="579"/>
      <c r="O286" s="580"/>
      <c r="P286" s="578"/>
      <c r="Q286" s="578"/>
      <c r="R286" s="581">
        <f>SUM(R88:R285)</f>
        <v>697.91000000000031</v>
      </c>
      <c r="S286" s="581">
        <f>SUM(S134:S285)</f>
        <v>63.371200000000002</v>
      </c>
      <c r="T286" s="581">
        <f>SUM(T134:T285)</f>
        <v>0</v>
      </c>
      <c r="U286" s="581">
        <f>SUM(U88:U285)</f>
        <v>0</v>
      </c>
      <c r="V286" s="581">
        <f>SUM(V134:V285)</f>
        <v>0</v>
      </c>
      <c r="W286" s="581">
        <f t="shared" ref="W286:AN286" si="228">SUM(W88:W285)</f>
        <v>12.949999999999998</v>
      </c>
      <c r="X286" s="581">
        <f t="shared" si="228"/>
        <v>15.790000000000006</v>
      </c>
      <c r="Y286" s="582">
        <f t="shared" si="228"/>
        <v>61.35329999999999</v>
      </c>
      <c r="Z286" s="582">
        <f t="shared" si="228"/>
        <v>772.21329999999955</v>
      </c>
      <c r="AA286" s="583">
        <f t="shared" si="228"/>
        <v>1389983940</v>
      </c>
      <c r="AB286" s="583">
        <f t="shared" si="228"/>
        <v>7.4</v>
      </c>
      <c r="AC286" s="583">
        <f t="shared" si="228"/>
        <v>4789530</v>
      </c>
      <c r="AD286" s="583">
        <f t="shared" si="228"/>
        <v>0</v>
      </c>
      <c r="AE286" s="583">
        <f t="shared" si="228"/>
        <v>1385194410</v>
      </c>
      <c r="AF286" s="583">
        <f t="shared" si="228"/>
        <v>111198715.2</v>
      </c>
      <c r="AG286" s="583">
        <f t="shared" si="228"/>
        <v>20786579.100000001</v>
      </c>
      <c r="AH286" s="583">
        <f t="shared" si="228"/>
        <v>13899839.4</v>
      </c>
      <c r="AI286" s="583">
        <f t="shared" si="228"/>
        <v>0</v>
      </c>
      <c r="AJ286" s="583">
        <f>SUM(AJ88:AJ285)-1</f>
        <v>145885132.69999993</v>
      </c>
      <c r="AK286" s="584">
        <f t="shared" si="228"/>
        <v>0</v>
      </c>
      <c r="AL286" s="583">
        <f t="shared" si="228"/>
        <v>0</v>
      </c>
      <c r="AM286" s="583">
        <f t="shared" si="228"/>
        <v>0</v>
      </c>
      <c r="AN286" s="583">
        <f t="shared" si="228"/>
        <v>0</v>
      </c>
      <c r="AO286" s="583">
        <f ca="1">SUM(AO78:AO285)</f>
        <v>602.84600000000057</v>
      </c>
      <c r="AP286" s="583">
        <f ca="1">SUM(AP78:AP285)</f>
        <v>39.899999999999991</v>
      </c>
      <c r="AQ286" s="585">
        <f>SUM(AQ88:AQ285)</f>
        <v>142.96350000000015</v>
      </c>
      <c r="AR286" s="583">
        <f>SUM(AR88:AR285)</f>
        <v>257334300</v>
      </c>
      <c r="AS286" s="583" t="e">
        <f>SUM(AS78:AS285)</f>
        <v>#REF!</v>
      </c>
      <c r="AT286" s="583">
        <f>SUM(AT88:AT285)-2</f>
        <v>1496643577</v>
      </c>
      <c r="AU286" s="586"/>
      <c r="AV286" s="587"/>
      <c r="AW286" s="826"/>
      <c r="AX286" s="553"/>
      <c r="AY286" s="553"/>
      <c r="AZ286" s="553"/>
      <c r="BA286" s="553"/>
      <c r="BB286" s="553"/>
      <c r="BC286" s="553"/>
      <c r="BD286" s="553"/>
      <c r="BE286" s="553"/>
      <c r="BF286" s="553"/>
      <c r="BG286" s="553"/>
    </row>
    <row r="287" spans="1:59" s="99" customFormat="1" ht="22.5" customHeight="1" x14ac:dyDescent="0.25">
      <c r="A287" s="31"/>
      <c r="B287" s="31"/>
      <c r="C287" s="874"/>
      <c r="D287" s="118" t="s">
        <v>26</v>
      </c>
      <c r="E287" s="265"/>
      <c r="F287" s="118"/>
      <c r="G287" s="118">
        <f>COUNTIF(G134:G286,"x")</f>
        <v>43</v>
      </c>
      <c r="H287" s="118"/>
      <c r="I287" s="118"/>
      <c r="J287" s="118"/>
      <c r="K287" s="118"/>
      <c r="L287" s="119"/>
      <c r="M287" s="119"/>
      <c r="N287" s="119"/>
      <c r="O287" s="394"/>
      <c r="P287" s="120"/>
      <c r="Q287" s="103"/>
      <c r="R287" s="414">
        <f>R76+R85+R286</f>
        <v>1009.7930000000001</v>
      </c>
      <c r="S287" s="415"/>
      <c r="T287" s="416"/>
      <c r="U287" s="417">
        <f>U286+U85+U76</f>
        <v>12.856</v>
      </c>
      <c r="V287" s="380" t="e">
        <f>V76+V85+#REF!</f>
        <v>#REF!</v>
      </c>
      <c r="W287" s="410">
        <f>W76+W85+W286</f>
        <v>22.699999999999996</v>
      </c>
      <c r="X287" s="380"/>
      <c r="Y287" s="413">
        <f>Y76+Y85+Y286</f>
        <v>123.27649999999997</v>
      </c>
      <c r="Z287" s="409">
        <f>Z76+Z85+Z286</f>
        <v>1168.6254999999996</v>
      </c>
      <c r="AA287" s="315">
        <f>AA76+AA85+AA286</f>
        <v>2103525900</v>
      </c>
      <c r="AB287" s="411"/>
      <c r="AC287" s="380">
        <f>AC76+AC85+AC286</f>
        <v>8369730</v>
      </c>
      <c r="AD287" s="411"/>
      <c r="AE287" s="234">
        <f t="shared" ref="AE287:AN287" si="229">AE76+AE85+AE286</f>
        <v>2095156170</v>
      </c>
      <c r="AF287" s="380">
        <f t="shared" si="229"/>
        <v>167995656</v>
      </c>
      <c r="AG287" s="380">
        <f>AG76+AG85+AG286-1</f>
        <v>31436004.5</v>
      </c>
      <c r="AH287" s="380">
        <f t="shared" si="229"/>
        <v>20999457</v>
      </c>
      <c r="AI287" s="380">
        <f t="shared" si="229"/>
        <v>0</v>
      </c>
      <c r="AJ287" s="380">
        <f>AJ76+AJ85+AJ286</f>
        <v>220431117.49999994</v>
      </c>
      <c r="AK287" s="412">
        <f t="shared" si="229"/>
        <v>0.2</v>
      </c>
      <c r="AL287" s="380">
        <f t="shared" si="229"/>
        <v>360000</v>
      </c>
      <c r="AM287" s="412">
        <f t="shared" si="229"/>
        <v>0</v>
      </c>
      <c r="AN287" s="380">
        <f t="shared" si="229"/>
        <v>0</v>
      </c>
      <c r="AO287" s="500" t="e">
        <f ca="1">AO76+AO85+#REF!</f>
        <v>#REF!</v>
      </c>
      <c r="AP287" s="411" t="e">
        <f ca="1">AP76+AP85+#REF!</f>
        <v>#REF!</v>
      </c>
      <c r="AQ287" s="409">
        <f>AQ76+AQ85+AQ286</f>
        <v>216.61060000000015</v>
      </c>
      <c r="AR287" s="380">
        <f>AR76+AR85+AR286</f>
        <v>389899080</v>
      </c>
      <c r="AS287" s="380" t="e">
        <f>AS76+AS85+#REF!</f>
        <v>#REF!</v>
      </c>
      <c r="AT287" s="380">
        <f>AT76+AT85+AT286</f>
        <v>2264984132</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75"/>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1"/>
      <c r="AP288" s="647"/>
      <c r="AQ288" s="45"/>
      <c r="AR288" s="22"/>
      <c r="AS288" s="24"/>
      <c r="AT288" s="24"/>
      <c r="AV288" s="70"/>
      <c r="AW288" s="70"/>
    </row>
    <row r="289" spans="1:59" s="314" customFormat="1" ht="57" customHeight="1" x14ac:dyDescent="0.2">
      <c r="A289" s="308"/>
      <c r="B289" s="308"/>
      <c r="C289" s="876"/>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1"/>
      <c r="AP289" s="140"/>
      <c r="AQ289" s="312" t="s">
        <v>1110</v>
      </c>
      <c r="AR289" s="121" t="s">
        <v>547</v>
      </c>
      <c r="AS289" s="122" t="s">
        <v>555</v>
      </c>
      <c r="AT289" s="121" t="s">
        <v>1071</v>
      </c>
      <c r="AU289" s="313"/>
      <c r="AV289" s="70"/>
      <c r="AW289" s="70"/>
      <c r="AX289" s="555"/>
      <c r="AY289" s="555"/>
      <c r="AZ289" s="555"/>
      <c r="BA289" s="555"/>
      <c r="BB289" s="555"/>
      <c r="BC289" s="555"/>
      <c r="BD289" s="555"/>
      <c r="BE289" s="555"/>
      <c r="BF289" s="555"/>
      <c r="BG289" s="555"/>
    </row>
    <row r="290" spans="1:59" ht="26.25" customHeight="1" x14ac:dyDescent="0.25">
      <c r="A290" s="16"/>
      <c r="B290" s="16"/>
      <c r="C290" s="876"/>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30">R76</f>
        <v>297.39999999999981</v>
      </c>
      <c r="S290" s="340">
        <f t="shared" si="230"/>
        <v>84.529200000000017</v>
      </c>
      <c r="T290" s="356">
        <f t="shared" si="230"/>
        <v>12.856</v>
      </c>
      <c r="U290" s="323">
        <f t="shared" si="230"/>
        <v>12.856</v>
      </c>
      <c r="V290" s="15">
        <f t="shared" si="230"/>
        <v>23140800</v>
      </c>
      <c r="W290" s="319">
        <f t="shared" si="230"/>
        <v>9.7499999999999982</v>
      </c>
      <c r="X290" s="33">
        <f t="shared" si="230"/>
        <v>0</v>
      </c>
      <c r="Y290" s="368">
        <f t="shared" si="230"/>
        <v>61.923199999999987</v>
      </c>
      <c r="Z290" s="368">
        <f t="shared" si="230"/>
        <v>381.92920000000021</v>
      </c>
      <c r="AA290" s="318">
        <f t="shared" si="230"/>
        <v>687472560</v>
      </c>
      <c r="AB290" s="33"/>
      <c r="AC290" s="318">
        <f t="shared" ref="AC290:AN290" si="231">AC76</f>
        <v>0</v>
      </c>
      <c r="AD290" s="319">
        <f t="shared" si="231"/>
        <v>0</v>
      </c>
      <c r="AE290" s="318">
        <f t="shared" si="231"/>
        <v>687472560</v>
      </c>
      <c r="AF290" s="49">
        <f t="shared" si="231"/>
        <v>54997804.800000004</v>
      </c>
      <c r="AG290" s="49">
        <f t="shared" si="231"/>
        <v>10312088.4</v>
      </c>
      <c r="AH290" s="49">
        <f t="shared" si="231"/>
        <v>6874725.6000000006</v>
      </c>
      <c r="AI290" s="73">
        <f t="shared" si="231"/>
        <v>0</v>
      </c>
      <c r="AJ290" s="49">
        <f t="shared" si="231"/>
        <v>72184618.799999997</v>
      </c>
      <c r="AK290" s="73">
        <f t="shared" si="231"/>
        <v>0.2</v>
      </c>
      <c r="AL290" s="49">
        <f t="shared" si="231"/>
        <v>360000</v>
      </c>
      <c r="AM290" s="73">
        <f t="shared" si="231"/>
        <v>0</v>
      </c>
      <c r="AN290" s="49">
        <f t="shared" si="231"/>
        <v>0</v>
      </c>
      <c r="AO290" s="502">
        <f>SUM(AO15:AO75)</f>
        <v>307.36999999999989</v>
      </c>
      <c r="AP290" s="643"/>
      <c r="AQ290" s="321">
        <f>SUM(AQ14:AQ75)</f>
        <v>70.523299999999978</v>
      </c>
      <c r="AR290" s="49">
        <f>AR76</f>
        <v>126941940</v>
      </c>
      <c r="AS290" s="48"/>
      <c r="AT290" s="15">
        <f>AT76</f>
        <v>742589881</v>
      </c>
      <c r="AU290" s="26"/>
      <c r="AV290" s="254"/>
      <c r="AW290" s="70"/>
    </row>
    <row r="291" spans="1:59" ht="26.25" customHeight="1" x14ac:dyDescent="0.25">
      <c r="A291" s="16"/>
      <c r="B291" s="16"/>
      <c r="C291" s="876"/>
      <c r="D291" s="3" t="s">
        <v>725</v>
      </c>
      <c r="E291" s="267">
        <f>COUNTA(A78:A84)</f>
        <v>7</v>
      </c>
      <c r="F291" s="3"/>
      <c r="G291" s="25" t="s">
        <v>282</v>
      </c>
      <c r="H291" s="25"/>
      <c r="I291" s="50">
        <f>COUNTIF(I$13:I$286,"TT")</f>
        <v>10</v>
      </c>
      <c r="J291" s="25"/>
      <c r="K291" s="25"/>
      <c r="L291" s="25"/>
      <c r="M291" s="25"/>
      <c r="N291" s="25"/>
      <c r="O291" s="395">
        <v>5</v>
      </c>
      <c r="P291" s="35">
        <v>12</v>
      </c>
      <c r="Q291" s="25">
        <v>9</v>
      </c>
      <c r="R291" s="324">
        <f t="shared" ref="R291:AA291" si="232">R85</f>
        <v>14.483000000000002</v>
      </c>
      <c r="S291" s="340">
        <f t="shared" si="232"/>
        <v>0</v>
      </c>
      <c r="T291" s="356">
        <f t="shared" si="232"/>
        <v>0</v>
      </c>
      <c r="U291" s="325">
        <f t="shared" si="232"/>
        <v>0</v>
      </c>
      <c r="V291" s="15">
        <f t="shared" si="232"/>
        <v>0</v>
      </c>
      <c r="W291" s="319">
        <f t="shared" si="232"/>
        <v>0</v>
      </c>
      <c r="X291" s="33">
        <f t="shared" ca="1" si="232"/>
        <v>0</v>
      </c>
      <c r="Y291" s="368">
        <f t="shared" si="232"/>
        <v>0</v>
      </c>
      <c r="Z291" s="368">
        <f t="shared" si="232"/>
        <v>14.483000000000002</v>
      </c>
      <c r="AA291" s="318">
        <f t="shared" si="232"/>
        <v>26069400</v>
      </c>
      <c r="AB291" s="33"/>
      <c r="AC291" s="318">
        <f t="shared" ref="AC291:AH291" si="233">AC85</f>
        <v>3580200</v>
      </c>
      <c r="AD291" s="319">
        <f t="shared" si="233"/>
        <v>0</v>
      </c>
      <c r="AE291" s="318">
        <f t="shared" si="233"/>
        <v>22489200</v>
      </c>
      <c r="AF291" s="49">
        <f t="shared" si="233"/>
        <v>1799136</v>
      </c>
      <c r="AG291" s="49">
        <f t="shared" si="233"/>
        <v>337338</v>
      </c>
      <c r="AH291" s="49">
        <f t="shared" si="233"/>
        <v>224892</v>
      </c>
      <c r="AI291" s="73">
        <f>AI77</f>
        <v>0</v>
      </c>
      <c r="AJ291" s="49">
        <f t="shared" ref="AJ291:AT291" si="234">AJ85</f>
        <v>2361366</v>
      </c>
      <c r="AK291" s="73">
        <f t="shared" si="234"/>
        <v>0</v>
      </c>
      <c r="AL291" s="49">
        <f t="shared" si="234"/>
        <v>0</v>
      </c>
      <c r="AM291" s="73">
        <f t="shared" si="234"/>
        <v>0</v>
      </c>
      <c r="AN291" s="49">
        <f t="shared" si="234"/>
        <v>0</v>
      </c>
      <c r="AO291" s="502">
        <f t="shared" ca="1" si="234"/>
        <v>3.9780000000000002</v>
      </c>
      <c r="AP291" s="644">
        <f t="shared" ca="1" si="234"/>
        <v>0.5</v>
      </c>
      <c r="AQ291" s="320">
        <f t="shared" si="234"/>
        <v>3.1238000000000001</v>
      </c>
      <c r="AR291" s="49">
        <f t="shared" si="234"/>
        <v>5622840</v>
      </c>
      <c r="AS291" s="49" t="e">
        <f t="shared" si="234"/>
        <v>#REF!</v>
      </c>
      <c r="AT291" s="49">
        <f t="shared" si="234"/>
        <v>25750674</v>
      </c>
      <c r="AU291" s="26"/>
      <c r="AV291" s="254"/>
      <c r="AW291" s="70"/>
    </row>
    <row r="292" spans="1:59" ht="26.25" customHeight="1" x14ac:dyDescent="0.25">
      <c r="A292" s="16"/>
      <c r="B292" s="16"/>
      <c r="C292" s="876"/>
      <c r="D292" s="3" t="s">
        <v>726</v>
      </c>
      <c r="E292" s="267">
        <f>COUNTA(A88:A285)</f>
        <v>198</v>
      </c>
      <c r="F292" s="3"/>
      <c r="G292" s="25"/>
      <c r="H292" s="25"/>
      <c r="I292" s="50"/>
      <c r="J292" s="25"/>
      <c r="K292" s="25"/>
      <c r="L292" s="25"/>
      <c r="M292" s="25"/>
      <c r="N292" s="25"/>
      <c r="O292" s="395">
        <v>87</v>
      </c>
      <c r="P292" s="35"/>
      <c r="Q292" s="25"/>
      <c r="R292" s="324">
        <f>R286</f>
        <v>697.91000000000031</v>
      </c>
      <c r="S292" s="340"/>
      <c r="T292" s="356"/>
      <c r="U292" s="325">
        <f>U286</f>
        <v>0</v>
      </c>
      <c r="V292" s="15"/>
      <c r="W292" s="319">
        <f>W286</f>
        <v>12.949999999999998</v>
      </c>
      <c r="X292" s="33">
        <f>X286</f>
        <v>15.790000000000006</v>
      </c>
      <c r="Y292" s="368">
        <f t="shared" ref="Y292:AA293" si="235">Y286</f>
        <v>61.35329999999999</v>
      </c>
      <c r="Z292" s="368">
        <f t="shared" si="235"/>
        <v>772.21329999999955</v>
      </c>
      <c r="AA292" s="318">
        <f t="shared" si="235"/>
        <v>1389983940</v>
      </c>
      <c r="AB292" s="33"/>
      <c r="AC292" s="318">
        <f t="shared" ref="AC292:AE293" si="236">AC286</f>
        <v>4789530</v>
      </c>
      <c r="AD292" s="319">
        <f t="shared" si="236"/>
        <v>0</v>
      </c>
      <c r="AE292" s="318">
        <f t="shared" si="236"/>
        <v>1385194410</v>
      </c>
      <c r="AF292" s="49">
        <f t="shared" ref="AF292:AN292" si="237">AF286</f>
        <v>111198715.2</v>
      </c>
      <c r="AG292" s="49">
        <f t="shared" si="237"/>
        <v>20786579.100000001</v>
      </c>
      <c r="AH292" s="49">
        <f t="shared" si="237"/>
        <v>13899839.4</v>
      </c>
      <c r="AI292" s="73">
        <f t="shared" si="237"/>
        <v>0</v>
      </c>
      <c r="AJ292" s="49">
        <f t="shared" si="237"/>
        <v>145885132.69999993</v>
      </c>
      <c r="AK292" s="73">
        <f t="shared" si="237"/>
        <v>0</v>
      </c>
      <c r="AL292" s="49">
        <f t="shared" si="237"/>
        <v>0</v>
      </c>
      <c r="AM292" s="73">
        <f t="shared" si="237"/>
        <v>0</v>
      </c>
      <c r="AN292" s="49">
        <f t="shared" si="237"/>
        <v>0</v>
      </c>
      <c r="AO292" s="502"/>
      <c r="AP292" s="644"/>
      <c r="AQ292" s="320">
        <f>AQ286</f>
        <v>142.96350000000015</v>
      </c>
      <c r="AR292" s="49">
        <f>AR286</f>
        <v>257334300</v>
      </c>
      <c r="AS292" s="49"/>
      <c r="AT292" s="49">
        <f>AT286</f>
        <v>1496643577</v>
      </c>
      <c r="AU292" s="26"/>
      <c r="AV292" s="254"/>
      <c r="AW292" s="70"/>
    </row>
    <row r="293" spans="1:59" ht="26.25" customHeight="1" x14ac:dyDescent="0.25">
      <c r="C293" s="876"/>
      <c r="D293" s="3" t="s">
        <v>26</v>
      </c>
      <c r="E293" s="267">
        <f>SUM(E290:E292)</f>
        <v>267</v>
      </c>
      <c r="F293" s="3"/>
      <c r="G293" s="25" t="s">
        <v>284</v>
      </c>
      <c r="H293" s="25"/>
      <c r="I293" s="50">
        <f>COUNTIF(I$13:I$286,"NV")</f>
        <v>34</v>
      </c>
      <c r="J293" s="50">
        <f>SUM(I289:I293)</f>
        <v>51</v>
      </c>
      <c r="K293" s="50"/>
      <c r="L293" s="3"/>
      <c r="M293" s="3"/>
      <c r="N293" s="3"/>
      <c r="O293" s="396">
        <f>SUM(O290:O292)</f>
        <v>114</v>
      </c>
      <c r="P293" s="37" t="e">
        <f>P290+P291+#REF!</f>
        <v>#REF!</v>
      </c>
      <c r="Q293" s="37" t="e">
        <f>Q290+Q291+#REF!</f>
        <v>#REF!</v>
      </c>
      <c r="R293" s="53">
        <f>R287</f>
        <v>1009.7930000000001</v>
      </c>
      <c r="S293" s="341" t="e">
        <f>S290+S291+#REF!</f>
        <v>#REF!</v>
      </c>
      <c r="T293" s="357" t="e">
        <f>T290+T291+#REF!</f>
        <v>#REF!</v>
      </c>
      <c r="U293" s="366">
        <f>U287</f>
        <v>12.856</v>
      </c>
      <c r="V293" s="27" t="e">
        <f>V290+V291+#REF!</f>
        <v>#REF!</v>
      </c>
      <c r="W293" s="74">
        <f>W287</f>
        <v>22.699999999999996</v>
      </c>
      <c r="X293" s="32">
        <f>X287</f>
        <v>0</v>
      </c>
      <c r="Y293" s="369">
        <f t="shared" si="235"/>
        <v>123.27649999999997</v>
      </c>
      <c r="Z293" s="369">
        <f t="shared" si="235"/>
        <v>1168.6254999999996</v>
      </c>
      <c r="AA293" s="305">
        <f t="shared" si="235"/>
        <v>2103525900</v>
      </c>
      <c r="AB293" s="32"/>
      <c r="AC293" s="305">
        <f t="shared" si="236"/>
        <v>8369730</v>
      </c>
      <c r="AD293" s="558">
        <f t="shared" si="236"/>
        <v>0</v>
      </c>
      <c r="AE293" s="305">
        <f t="shared" si="236"/>
        <v>2095156170</v>
      </c>
      <c r="AF293" s="559">
        <f t="shared" ref="AF293:AN293" si="238">AF287</f>
        <v>167995656</v>
      </c>
      <c r="AG293" s="559">
        <f t="shared" si="238"/>
        <v>31436004.5</v>
      </c>
      <c r="AH293" s="559">
        <f t="shared" si="238"/>
        <v>20999457</v>
      </c>
      <c r="AI293" s="560">
        <f t="shared" si="238"/>
        <v>0</v>
      </c>
      <c r="AJ293" s="559">
        <f t="shared" si="238"/>
        <v>220431117.49999994</v>
      </c>
      <c r="AK293" s="560">
        <f t="shared" si="238"/>
        <v>0.2</v>
      </c>
      <c r="AL293" s="559">
        <f t="shared" si="238"/>
        <v>360000</v>
      </c>
      <c r="AM293" s="560">
        <f t="shared" si="238"/>
        <v>0</v>
      </c>
      <c r="AN293" s="559">
        <f t="shared" si="238"/>
        <v>0</v>
      </c>
      <c r="AO293" s="559" t="e">
        <f ca="1">AO290+AO291+AO292+#REF!</f>
        <v>#REF!</v>
      </c>
      <c r="AP293" s="559" t="e">
        <f ca="1">AP290+AP291+AP292+#REF!</f>
        <v>#REF!</v>
      </c>
      <c r="AQ293" s="561">
        <f>AQ287</f>
        <v>216.61060000000015</v>
      </c>
      <c r="AR293" s="559">
        <f>AR287</f>
        <v>389899080</v>
      </c>
      <c r="AS293" s="559" t="e">
        <f>AS290+AS291+AS292+#REF!</f>
        <v>#REF!</v>
      </c>
      <c r="AT293" s="559">
        <f>AT287</f>
        <v>2264984132</v>
      </c>
      <c r="AU293" s="26"/>
      <c r="AV293" s="70"/>
      <c r="AW293" s="51"/>
    </row>
    <row r="294" spans="1:59" ht="4.5" customHeight="1" x14ac:dyDescent="0.25">
      <c r="I294" s="47"/>
      <c r="AL294" s="9"/>
      <c r="AM294" s="9"/>
      <c r="AN294" s="9"/>
      <c r="AO294" s="503"/>
      <c r="AQ294" s="46"/>
      <c r="AR294" s="9"/>
      <c r="AV294" s="43"/>
      <c r="AW294" s="51"/>
    </row>
    <row r="295" spans="1:59" ht="19.5" customHeight="1" x14ac:dyDescent="0.25">
      <c r="C295" s="877"/>
      <c r="D295" s="517" t="s">
        <v>1372</v>
      </c>
      <c r="E295" s="669" t="s">
        <v>1665</v>
      </c>
      <c r="F295" s="317"/>
      <c r="G295" s="317"/>
      <c r="H295" s="317"/>
      <c r="I295" s="317"/>
      <c r="J295" s="317"/>
      <c r="K295" s="511"/>
      <c r="L295" s="317"/>
      <c r="M295" s="317"/>
      <c r="N295" s="317"/>
      <c r="O295" s="421"/>
      <c r="P295" s="317"/>
      <c r="Q295" s="317"/>
      <c r="R295" s="317"/>
      <c r="S295" s="342"/>
      <c r="T295" s="358"/>
      <c r="U295" s="317"/>
      <c r="V295" s="317"/>
      <c r="W295" s="317"/>
      <c r="X295" s="317"/>
      <c r="Y295" s="317"/>
      <c r="AP295" s="648"/>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5"/>
      <c r="O297" s="425"/>
      <c r="AL297" s="1153" t="s">
        <v>1666</v>
      </c>
      <c r="AM297" s="1153"/>
      <c r="AN297" s="1153"/>
      <c r="AO297" s="1153"/>
      <c r="AP297" s="1153"/>
      <c r="AQ297" s="1153"/>
      <c r="AR297" s="1153"/>
      <c r="AS297" s="1153"/>
      <c r="AT297" s="1153"/>
      <c r="AU297" s="1153"/>
      <c r="AV297" s="1153"/>
      <c r="AW297" s="4"/>
    </row>
    <row r="298" spans="1:59" ht="18.75" customHeight="1" x14ac:dyDescent="0.25">
      <c r="D298" s="1107" t="s">
        <v>27</v>
      </c>
      <c r="E298" s="1107"/>
      <c r="F298" s="1107"/>
      <c r="G298" s="1107"/>
      <c r="H298" s="1107"/>
      <c r="I298" s="1107"/>
      <c r="J298" s="1107"/>
      <c r="K298" s="1107"/>
      <c r="L298" s="1107"/>
      <c r="M298" s="1107"/>
      <c r="N298" s="1107"/>
      <c r="O298" s="1107"/>
      <c r="P298" s="1107"/>
      <c r="Q298" s="1107"/>
      <c r="R298" s="1107"/>
      <c r="S298" s="1107"/>
      <c r="X298" s="858"/>
      <c r="Y298" s="858"/>
      <c r="Z298" s="1107" t="s">
        <v>1114</v>
      </c>
      <c r="AA298" s="1107"/>
      <c r="AB298" s="1107"/>
      <c r="AC298" s="1107"/>
      <c r="AD298" s="1107"/>
      <c r="AE298" s="1107"/>
      <c r="AF298" s="1107"/>
      <c r="AG298" s="1107"/>
      <c r="AH298" s="1107"/>
      <c r="AI298" s="1107"/>
      <c r="AJ298" s="1107"/>
      <c r="AK298" s="1"/>
      <c r="AL298" s="1107" t="s">
        <v>176</v>
      </c>
      <c r="AM298" s="1107"/>
      <c r="AN298" s="1107"/>
      <c r="AO298" s="1107"/>
      <c r="AP298" s="1107"/>
      <c r="AQ298" s="1107"/>
      <c r="AR298" s="1107"/>
      <c r="AS298" s="1107"/>
      <c r="AT298" s="1107"/>
      <c r="AU298" s="1107"/>
      <c r="AV298" s="1107"/>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1107"/>
      <c r="AM299" s="1107"/>
      <c r="AN299" s="1107"/>
      <c r="AO299" s="1107"/>
      <c r="AP299" s="1107"/>
      <c r="AQ299" s="1107"/>
      <c r="AR299" s="1107"/>
      <c r="AS299" s="1107"/>
      <c r="AT299" s="1107"/>
      <c r="AU299" s="1107"/>
      <c r="AV299" s="1107"/>
    </row>
    <row r="300" spans="1:59" x14ac:dyDescent="0.25">
      <c r="T300" s="359"/>
      <c r="V300" s="34"/>
      <c r="AA300" s="10"/>
      <c r="AB300" s="10"/>
      <c r="AC300" s="10"/>
      <c r="AD300" s="10"/>
      <c r="AE300" s="10"/>
      <c r="AF300" s="28"/>
      <c r="AG300" s="8"/>
      <c r="AH300" s="8"/>
      <c r="AI300" s="8"/>
      <c r="AJ300" s="8"/>
      <c r="AK300" s="1"/>
      <c r="AL300" s="8"/>
      <c r="AM300" s="8"/>
      <c r="AN300" s="8"/>
      <c r="AO300" s="504"/>
      <c r="AP300" s="649"/>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4"/>
      <c r="AP301" s="649"/>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4"/>
      <c r="AP302" s="649"/>
      <c r="AQ302" s="41"/>
      <c r="AR302" s="8"/>
      <c r="AS302" s="1"/>
      <c r="AT302" s="1"/>
    </row>
    <row r="303" spans="1:59" x14ac:dyDescent="0.25">
      <c r="V303" s="34"/>
    </row>
    <row r="304" spans="1:59" ht="15.75" customHeight="1" x14ac:dyDescent="0.25">
      <c r="V304" s="54"/>
      <c r="AW304" s="4"/>
    </row>
    <row r="305" spans="1:49" s="1" customFormat="1" x14ac:dyDescent="0.25">
      <c r="A305" s="4"/>
      <c r="B305" s="4"/>
      <c r="C305" s="860"/>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4"/>
      <c r="AP305" s="649"/>
      <c r="AQ305" s="41"/>
      <c r="AR305" s="8"/>
      <c r="AU305" s="2"/>
      <c r="AV305" s="39"/>
      <c r="AW305" s="39"/>
    </row>
    <row r="306" spans="1:49" s="1" customFormat="1" x14ac:dyDescent="0.25">
      <c r="A306" s="4"/>
      <c r="B306" s="4"/>
      <c r="C306" s="860"/>
      <c r="D306" s="1107" t="s">
        <v>1105</v>
      </c>
      <c r="E306" s="1107"/>
      <c r="F306" s="1107"/>
      <c r="G306" s="1107"/>
      <c r="H306" s="1107"/>
      <c r="I306" s="1107"/>
      <c r="J306" s="1107"/>
      <c r="K306" s="1107"/>
      <c r="L306" s="1107"/>
      <c r="M306" s="1107"/>
      <c r="N306" s="1107"/>
      <c r="O306" s="1107"/>
      <c r="P306" s="1107"/>
      <c r="Q306" s="1107"/>
      <c r="R306" s="1107"/>
      <c r="S306" s="1107"/>
      <c r="T306" s="360"/>
      <c r="V306" s="55"/>
      <c r="X306" s="858"/>
      <c r="Y306" s="858"/>
      <c r="Z306" s="1107" t="s">
        <v>803</v>
      </c>
      <c r="AA306" s="1107"/>
      <c r="AB306" s="1107"/>
      <c r="AC306" s="1107"/>
      <c r="AD306" s="1107"/>
      <c r="AE306" s="1107"/>
      <c r="AF306" s="1107"/>
      <c r="AG306" s="1107"/>
      <c r="AH306" s="1107"/>
      <c r="AI306" s="1107"/>
      <c r="AJ306" s="1107"/>
      <c r="AL306" s="1107" t="s">
        <v>772</v>
      </c>
      <c r="AM306" s="1107"/>
      <c r="AN306" s="1107"/>
      <c r="AO306" s="1107"/>
      <c r="AP306" s="1107"/>
      <c r="AQ306" s="1107"/>
      <c r="AR306" s="1107"/>
      <c r="AS306" s="1107"/>
      <c r="AT306" s="1107"/>
      <c r="AU306" s="1107"/>
      <c r="AV306" s="1107"/>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51">
    <mergeCell ref="AR5:AV5"/>
    <mergeCell ref="A1:P1"/>
    <mergeCell ref="AL1:AV1"/>
    <mergeCell ref="A2:P2"/>
    <mergeCell ref="AL2:AV2"/>
    <mergeCell ref="A3:P3"/>
    <mergeCell ref="AL3:AV3"/>
    <mergeCell ref="V4:AL5"/>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O9:O10"/>
    <mergeCell ref="P9:P10"/>
    <mergeCell ref="Q9:Q10"/>
    <mergeCell ref="N9:N10"/>
    <mergeCell ref="AL297:AV297"/>
    <mergeCell ref="D85:Q85"/>
    <mergeCell ref="D86:R86"/>
    <mergeCell ref="D87:S87"/>
    <mergeCell ref="AR9:AR10"/>
    <mergeCell ref="AS9:AS10"/>
    <mergeCell ref="AT9:AT10"/>
    <mergeCell ref="AU9:AV10"/>
    <mergeCell ref="AU11:AV11"/>
    <mergeCell ref="D77:Q77"/>
    <mergeCell ref="AF9:AJ9"/>
    <mergeCell ref="AK9:AL9"/>
    <mergeCell ref="AM9:AN9"/>
    <mergeCell ref="AO9:AO10"/>
    <mergeCell ref="AP9:AP10"/>
    <mergeCell ref="AQ9:AQ10"/>
    <mergeCell ref="AL299:AV299"/>
    <mergeCell ref="D306:S306"/>
    <mergeCell ref="AL306:AV306"/>
    <mergeCell ref="Z298:AJ298"/>
    <mergeCell ref="Z306:AJ306"/>
    <mergeCell ref="D298:S298"/>
    <mergeCell ref="AL298:AV298"/>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51"/>
  <sheetViews>
    <sheetView tabSelected="1" topLeftCell="A37" zoomScale="120" zoomScaleNormal="120" workbookViewId="0">
      <selection activeCell="V37" sqref="V37"/>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bestFit="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5" style="148" bestFit="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165" t="s">
        <v>681</v>
      </c>
      <c r="B1" s="1165"/>
      <c r="C1" s="1165"/>
      <c r="D1" s="1165"/>
      <c r="E1" s="1165"/>
      <c r="F1" s="1165"/>
      <c r="G1" s="1165"/>
      <c r="H1" s="1165"/>
      <c r="I1" s="1165"/>
      <c r="J1" s="155"/>
      <c r="K1" s="155"/>
      <c r="M1" s="75"/>
      <c r="N1" s="1167" t="s">
        <v>58</v>
      </c>
      <c r="O1" s="1167"/>
      <c r="P1" s="1167"/>
      <c r="Q1" s="1167"/>
      <c r="R1" s="1167"/>
      <c r="S1" s="1167"/>
      <c r="T1" s="1167"/>
      <c r="U1" s="1167"/>
      <c r="V1" s="1167"/>
    </row>
    <row r="2" spans="1:22" s="77" customFormat="1" ht="16.5" customHeight="1" x14ac:dyDescent="0.25">
      <c r="A2" s="1166" t="s">
        <v>1132</v>
      </c>
      <c r="B2" s="1166"/>
      <c r="C2" s="1166"/>
      <c r="D2" s="1166"/>
      <c r="E2" s="1166"/>
      <c r="F2" s="1166"/>
      <c r="G2" s="1166"/>
      <c r="H2" s="1166"/>
      <c r="I2" s="1166"/>
      <c r="J2" s="78"/>
      <c r="K2" s="78"/>
      <c r="L2" s="46"/>
      <c r="N2" s="1107" t="s">
        <v>33</v>
      </c>
      <c r="O2" s="1107"/>
      <c r="P2" s="1107"/>
      <c r="Q2" s="1107"/>
      <c r="R2" s="1107"/>
      <c r="S2" s="1107"/>
      <c r="T2" s="1107"/>
      <c r="U2" s="1107"/>
      <c r="V2" s="1107"/>
    </row>
    <row r="3" spans="1:22" s="77" customFormat="1" ht="9" customHeight="1" x14ac:dyDescent="0.25">
      <c r="A3" s="2"/>
      <c r="F3" s="78"/>
      <c r="H3" s="146"/>
      <c r="I3" s="146"/>
      <c r="J3" s="78"/>
      <c r="K3" s="78"/>
      <c r="L3" s="46"/>
      <c r="P3" s="146"/>
      <c r="V3" s="149"/>
    </row>
    <row r="4" spans="1:22" s="81" customFormat="1" ht="24" customHeight="1" x14ac:dyDescent="0.3">
      <c r="A4" s="1171" t="s">
        <v>1668</v>
      </c>
      <c r="B4" s="1171"/>
      <c r="C4" s="1171"/>
      <c r="D4" s="1171"/>
      <c r="E4" s="1171"/>
      <c r="F4" s="1171"/>
      <c r="G4" s="1171"/>
      <c r="H4" s="1171"/>
      <c r="I4" s="1171"/>
      <c r="J4" s="1171"/>
      <c r="K4" s="1171"/>
      <c r="L4" s="1171"/>
      <c r="M4" s="1171"/>
      <c r="N4" s="1171"/>
      <c r="O4" s="1171"/>
      <c r="P4" s="1171"/>
      <c r="Q4" s="1171"/>
      <c r="R4" s="1171"/>
      <c r="S4" s="1171"/>
      <c r="T4" s="1171"/>
      <c r="U4" s="1171"/>
      <c r="V4" s="1171"/>
    </row>
    <row r="5" spans="1:22" s="82" customFormat="1" ht="9.75" customHeight="1" x14ac:dyDescent="0.25">
      <c r="A5" s="2"/>
      <c r="F5" s="83"/>
      <c r="H5" s="147"/>
      <c r="I5" s="147"/>
      <c r="J5" s="83"/>
      <c r="K5" s="83"/>
      <c r="L5" s="46"/>
      <c r="P5" s="147"/>
      <c r="V5" s="150"/>
    </row>
    <row r="6" spans="1:22" s="80" customFormat="1" ht="21.75" customHeight="1" x14ac:dyDescent="0.25">
      <c r="A6" s="1169" t="s">
        <v>282</v>
      </c>
      <c r="B6" s="1169" t="s">
        <v>55</v>
      </c>
      <c r="C6" s="405"/>
      <c r="D6" s="1168" t="s">
        <v>1266</v>
      </c>
      <c r="E6" s="1170" t="s">
        <v>28</v>
      </c>
      <c r="F6" s="1173" t="s">
        <v>1640</v>
      </c>
      <c r="G6" s="1174"/>
      <c r="H6" s="1174"/>
      <c r="I6" s="1174"/>
      <c r="J6" s="1174"/>
      <c r="K6" s="1174"/>
      <c r="L6" s="1174"/>
      <c r="M6" s="1174"/>
      <c r="N6" s="1173" t="s">
        <v>1669</v>
      </c>
      <c r="O6" s="1174"/>
      <c r="P6" s="1174"/>
      <c r="Q6" s="1174"/>
      <c r="R6" s="1174"/>
      <c r="S6" s="1174"/>
      <c r="T6" s="1174"/>
      <c r="U6" s="1174"/>
      <c r="V6" s="1170" t="s">
        <v>32</v>
      </c>
    </row>
    <row r="7" spans="1:22" s="80" customFormat="1" ht="30" customHeight="1" x14ac:dyDescent="0.25">
      <c r="A7" s="1169"/>
      <c r="B7" s="1170"/>
      <c r="C7" s="405"/>
      <c r="D7" s="1168"/>
      <c r="E7" s="1170"/>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170"/>
    </row>
    <row r="8" spans="1:22" s="80" customFormat="1" ht="16.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41.25" customHeight="1" x14ac:dyDescent="0.25">
      <c r="A9" s="902" t="s">
        <v>5</v>
      </c>
      <c r="B9" s="900" t="s">
        <v>12</v>
      </c>
      <c r="C9" s="168"/>
      <c r="D9" s="900" t="s">
        <v>698</v>
      </c>
      <c r="E9" s="897" t="s">
        <v>1626</v>
      </c>
      <c r="F9" s="898" t="s">
        <v>1627</v>
      </c>
      <c r="G9" s="177">
        <v>4.0599999999999996</v>
      </c>
      <c r="H9" s="179">
        <v>0.1</v>
      </c>
      <c r="I9" s="176">
        <f>G9*H9</f>
        <v>0.40599999999999997</v>
      </c>
      <c r="J9" s="168"/>
      <c r="K9" s="399"/>
      <c r="L9" s="216"/>
      <c r="M9" s="170"/>
      <c r="N9" s="898" t="s">
        <v>1627</v>
      </c>
      <c r="O9" s="177">
        <v>4.0599999999999996</v>
      </c>
      <c r="P9" s="179">
        <v>0.1</v>
      </c>
      <c r="Q9" s="194">
        <f>P9*O9</f>
        <v>0.40599999999999997</v>
      </c>
      <c r="R9" s="168">
        <v>0.35</v>
      </c>
      <c r="S9" s="399"/>
      <c r="T9" s="216"/>
      <c r="U9" s="901"/>
      <c r="V9" s="899" t="s">
        <v>1660</v>
      </c>
    </row>
    <row r="10" spans="1:22" s="42" customFormat="1" ht="41.25" customHeight="1" x14ac:dyDescent="0.25">
      <c r="A10" s="902" t="s">
        <v>6</v>
      </c>
      <c r="B10" s="900">
        <v>11</v>
      </c>
      <c r="C10" s="168"/>
      <c r="D10" s="900" t="s">
        <v>692</v>
      </c>
      <c r="E10" s="897" t="s">
        <v>803</v>
      </c>
      <c r="F10" s="898" t="s">
        <v>38</v>
      </c>
      <c r="G10" s="177">
        <v>4.9800000000000004</v>
      </c>
      <c r="H10" s="179">
        <v>0.36</v>
      </c>
      <c r="I10" s="176">
        <f>G10*H10</f>
        <v>1.7928000000000002</v>
      </c>
      <c r="J10" s="168">
        <v>0.45</v>
      </c>
      <c r="K10" s="399"/>
      <c r="L10" s="216"/>
      <c r="M10" s="170"/>
      <c r="N10" s="898" t="s">
        <v>38</v>
      </c>
      <c r="O10" s="177">
        <v>4.9800000000000004</v>
      </c>
      <c r="P10" s="179">
        <v>0.37</v>
      </c>
      <c r="Q10" s="194">
        <f>P10*O10</f>
        <v>1.8426000000000002</v>
      </c>
      <c r="R10" s="168">
        <v>0.45</v>
      </c>
      <c r="S10" s="399"/>
      <c r="T10" s="216"/>
      <c r="U10" s="901"/>
      <c r="V10" s="899" t="s">
        <v>1653</v>
      </c>
    </row>
    <row r="11" spans="1:22" s="42" customFormat="1" ht="40.5" customHeight="1" x14ac:dyDescent="0.25">
      <c r="A11" s="902" t="s">
        <v>7</v>
      </c>
      <c r="B11" s="900">
        <v>17</v>
      </c>
      <c r="C11" s="168"/>
      <c r="D11" s="900" t="s">
        <v>692</v>
      </c>
      <c r="E11" s="897" t="s">
        <v>1195</v>
      </c>
      <c r="F11" s="898" t="s">
        <v>39</v>
      </c>
      <c r="G11" s="177">
        <v>4.9800000000000004</v>
      </c>
      <c r="H11" s="179">
        <v>0.19</v>
      </c>
      <c r="I11" s="176">
        <f>G11*H11</f>
        <v>0.94620000000000004</v>
      </c>
      <c r="J11" s="168"/>
      <c r="K11" s="399">
        <v>0</v>
      </c>
      <c r="L11" s="216">
        <f t="shared" ref="L11:L33" si="0">(G11+I11+J11)*K11</f>
        <v>0</v>
      </c>
      <c r="M11" s="170"/>
      <c r="N11" s="898" t="s">
        <v>39</v>
      </c>
      <c r="O11" s="177">
        <v>4.9800000000000004</v>
      </c>
      <c r="P11" s="179">
        <v>0.2</v>
      </c>
      <c r="Q11" s="194">
        <f>P11*O11</f>
        <v>0.99600000000000011</v>
      </c>
      <c r="R11" s="168"/>
      <c r="S11" s="399"/>
      <c r="T11" s="216">
        <f>(O11+Q11+R11)*S11</f>
        <v>0</v>
      </c>
      <c r="U11" s="901"/>
      <c r="V11" s="899" t="s">
        <v>1653</v>
      </c>
    </row>
    <row r="12" spans="1:22" s="42" customFormat="1" ht="45.75" customHeight="1" x14ac:dyDescent="0.25">
      <c r="A12" s="902" t="s">
        <v>8</v>
      </c>
      <c r="B12" s="900">
        <v>19</v>
      </c>
      <c r="C12" s="168"/>
      <c r="D12" s="900" t="s">
        <v>1267</v>
      </c>
      <c r="E12" s="897" t="s">
        <v>800</v>
      </c>
      <c r="F12" s="446" t="s">
        <v>1438</v>
      </c>
      <c r="G12" s="177">
        <v>4.9800000000000004</v>
      </c>
      <c r="H12" s="179"/>
      <c r="I12" s="176"/>
      <c r="J12" s="168">
        <v>0.45</v>
      </c>
      <c r="K12" s="399">
        <v>0.16</v>
      </c>
      <c r="L12" s="216">
        <f t="shared" si="0"/>
        <v>0.86880000000000013</v>
      </c>
      <c r="M12" s="170" t="s">
        <v>1093</v>
      </c>
      <c r="N12" s="898" t="s">
        <v>1438</v>
      </c>
      <c r="O12" s="177">
        <v>4.9800000000000004</v>
      </c>
      <c r="P12" s="179"/>
      <c r="Q12" s="194">
        <f>P12*O12</f>
        <v>0</v>
      </c>
      <c r="R12" s="168">
        <v>0.45</v>
      </c>
      <c r="S12" s="399">
        <v>0.17</v>
      </c>
      <c r="T12" s="216"/>
      <c r="U12" s="901" t="s">
        <v>1093</v>
      </c>
      <c r="V12" s="899" t="s">
        <v>1648</v>
      </c>
    </row>
    <row r="13" spans="1:22" s="42" customFormat="1" ht="72" customHeight="1" x14ac:dyDescent="0.25">
      <c r="A13" s="902" t="s">
        <v>177</v>
      </c>
      <c r="B13" s="900">
        <v>35</v>
      </c>
      <c r="C13" s="168"/>
      <c r="D13" s="900" t="s">
        <v>1267</v>
      </c>
      <c r="E13" s="897" t="s">
        <v>1160</v>
      </c>
      <c r="F13" s="898" t="s">
        <v>1438</v>
      </c>
      <c r="G13" s="177">
        <v>4.9800000000000004</v>
      </c>
      <c r="H13" s="179">
        <v>0.14000000000000001</v>
      </c>
      <c r="I13" s="176">
        <f>G13*H13</f>
        <v>0.69720000000000015</v>
      </c>
      <c r="J13" s="168"/>
      <c r="K13" s="399">
        <v>0.33</v>
      </c>
      <c r="L13" s="216">
        <f t="shared" si="0"/>
        <v>1.8734760000000004</v>
      </c>
      <c r="M13" s="170" t="s">
        <v>1093</v>
      </c>
      <c r="N13" s="898" t="s">
        <v>1438</v>
      </c>
      <c r="O13" s="177">
        <v>4.9800000000000004</v>
      </c>
      <c r="P13" s="179">
        <v>0.15</v>
      </c>
      <c r="Q13" s="194">
        <f t="shared" ref="Q13:Q15" si="1">P13*O13</f>
        <v>0.747</v>
      </c>
      <c r="R13" s="168"/>
      <c r="S13" s="399">
        <v>0.34</v>
      </c>
      <c r="T13" s="216">
        <f t="shared" ref="T13:T17" si="2">(O13+Q13+R13)*S13</f>
        <v>1.9471800000000004</v>
      </c>
      <c r="U13" s="901" t="s">
        <v>1093</v>
      </c>
      <c r="V13" s="899" t="s">
        <v>1647</v>
      </c>
    </row>
    <row r="14" spans="1:22" s="42" customFormat="1" ht="72.75" customHeight="1" x14ac:dyDescent="0.25">
      <c r="A14" s="902" t="s">
        <v>9</v>
      </c>
      <c r="B14" s="900">
        <v>42</v>
      </c>
      <c r="C14" s="168"/>
      <c r="D14" s="900" t="s">
        <v>1267</v>
      </c>
      <c r="E14" s="897" t="s">
        <v>1146</v>
      </c>
      <c r="F14" s="898" t="s">
        <v>1438</v>
      </c>
      <c r="G14" s="177">
        <v>4.9800000000000004</v>
      </c>
      <c r="H14" s="179">
        <v>0.15</v>
      </c>
      <c r="I14" s="176"/>
      <c r="J14" s="168"/>
      <c r="K14" s="399">
        <v>0.33</v>
      </c>
      <c r="L14" s="216">
        <f t="shared" si="0"/>
        <v>1.6434000000000002</v>
      </c>
      <c r="M14" s="170" t="s">
        <v>1093</v>
      </c>
      <c r="N14" s="898" t="s">
        <v>1438</v>
      </c>
      <c r="O14" s="177">
        <v>4.9800000000000004</v>
      </c>
      <c r="P14" s="179">
        <v>0.16</v>
      </c>
      <c r="Q14" s="194">
        <f t="shared" si="1"/>
        <v>0.79680000000000006</v>
      </c>
      <c r="R14" s="168"/>
      <c r="S14" s="399">
        <v>0.34</v>
      </c>
      <c r="T14" s="216">
        <f t="shared" si="2"/>
        <v>1.9641120000000003</v>
      </c>
      <c r="U14" s="901" t="s">
        <v>1093</v>
      </c>
      <c r="V14" s="899" t="s">
        <v>1652</v>
      </c>
    </row>
    <row r="15" spans="1:22" s="42" customFormat="1" ht="72" customHeight="1" x14ac:dyDescent="0.25">
      <c r="A15" s="902" t="s">
        <v>10</v>
      </c>
      <c r="B15" s="900">
        <v>45</v>
      </c>
      <c r="C15" s="168"/>
      <c r="D15" s="900" t="s">
        <v>1267</v>
      </c>
      <c r="E15" s="897" t="s">
        <v>1159</v>
      </c>
      <c r="F15" s="446" t="s">
        <v>1438</v>
      </c>
      <c r="G15" s="177">
        <v>4.9800000000000004</v>
      </c>
      <c r="H15" s="179">
        <v>0.05</v>
      </c>
      <c r="I15" s="176">
        <f>G15*H15</f>
        <v>0.24900000000000003</v>
      </c>
      <c r="J15" s="168">
        <v>0.35</v>
      </c>
      <c r="K15" s="399">
        <v>0.23</v>
      </c>
      <c r="L15" s="216">
        <f t="shared" si="0"/>
        <v>1.2831699999999999</v>
      </c>
      <c r="M15" s="170" t="s">
        <v>1093</v>
      </c>
      <c r="N15" s="446" t="s">
        <v>1438</v>
      </c>
      <c r="O15" s="177">
        <v>4.9800000000000004</v>
      </c>
      <c r="P15" s="179">
        <v>0.06</v>
      </c>
      <c r="Q15" s="194">
        <f t="shared" si="1"/>
        <v>0.29880000000000001</v>
      </c>
      <c r="R15" s="168">
        <v>0.35</v>
      </c>
      <c r="S15" s="399">
        <v>0.24</v>
      </c>
      <c r="T15" s="216">
        <f t="shared" si="2"/>
        <v>1.3509119999999999</v>
      </c>
      <c r="U15" s="901" t="s">
        <v>1093</v>
      </c>
      <c r="V15" s="899" t="s">
        <v>1647</v>
      </c>
    </row>
    <row r="16" spans="1:22" s="42" customFormat="1" ht="41.25" customHeight="1" x14ac:dyDescent="0.25">
      <c r="A16" s="902" t="s">
        <v>11</v>
      </c>
      <c r="B16" s="900">
        <v>51</v>
      </c>
      <c r="C16" s="168"/>
      <c r="D16" s="900" t="s">
        <v>1267</v>
      </c>
      <c r="E16" s="897" t="s">
        <v>1163</v>
      </c>
      <c r="F16" s="446" t="s">
        <v>1438</v>
      </c>
      <c r="G16" s="177">
        <v>4.9800000000000004</v>
      </c>
      <c r="H16" s="179">
        <v>0.11</v>
      </c>
      <c r="I16" s="176"/>
      <c r="J16" s="168"/>
      <c r="K16" s="399">
        <v>0.31</v>
      </c>
      <c r="L16" s="216">
        <f t="shared" si="0"/>
        <v>1.5438000000000001</v>
      </c>
      <c r="M16" s="170" t="s">
        <v>1093</v>
      </c>
      <c r="N16" s="446" t="s">
        <v>1438</v>
      </c>
      <c r="O16" s="177">
        <v>4.9800000000000004</v>
      </c>
      <c r="P16" s="179">
        <v>0.12</v>
      </c>
      <c r="Q16" s="194"/>
      <c r="R16" s="168"/>
      <c r="S16" s="399">
        <v>0.32</v>
      </c>
      <c r="T16" s="216">
        <f t="shared" si="2"/>
        <v>1.5936000000000001</v>
      </c>
      <c r="U16" s="901" t="s">
        <v>1093</v>
      </c>
      <c r="V16" s="899" t="s">
        <v>1648</v>
      </c>
    </row>
    <row r="17" spans="1:22" s="42" customFormat="1" ht="51" customHeight="1" x14ac:dyDescent="0.25">
      <c r="A17" s="902" t="s">
        <v>12</v>
      </c>
      <c r="B17" s="900">
        <v>62</v>
      </c>
      <c r="C17" s="168"/>
      <c r="D17" s="900" t="s">
        <v>1267</v>
      </c>
      <c r="E17" s="897" t="s">
        <v>682</v>
      </c>
      <c r="F17" s="446" t="s">
        <v>1438</v>
      </c>
      <c r="G17" s="177">
        <v>4.9800000000000004</v>
      </c>
      <c r="H17" s="179"/>
      <c r="I17" s="176"/>
      <c r="J17" s="168"/>
      <c r="K17" s="399">
        <v>0.21</v>
      </c>
      <c r="L17" s="216">
        <f t="shared" si="0"/>
        <v>1.0458000000000001</v>
      </c>
      <c r="M17" s="170" t="s">
        <v>1093</v>
      </c>
      <c r="N17" s="446" t="s">
        <v>1438</v>
      </c>
      <c r="O17" s="177">
        <v>4.9800000000000004</v>
      </c>
      <c r="P17" s="179"/>
      <c r="Q17" s="194"/>
      <c r="R17" s="168"/>
      <c r="S17" s="399">
        <v>0.22</v>
      </c>
      <c r="T17" s="216">
        <f t="shared" si="2"/>
        <v>1.0956000000000001</v>
      </c>
      <c r="U17" s="901" t="s">
        <v>1093</v>
      </c>
      <c r="V17" s="899" t="s">
        <v>1648</v>
      </c>
    </row>
    <row r="18" spans="1:22" s="42" customFormat="1" ht="82.5" customHeight="1" x14ac:dyDescent="0.25">
      <c r="A18" s="902" t="s">
        <v>13</v>
      </c>
      <c r="B18" s="900">
        <v>71</v>
      </c>
      <c r="C18" s="168"/>
      <c r="D18" s="900" t="s">
        <v>1267</v>
      </c>
      <c r="E18" s="897" t="s">
        <v>1599</v>
      </c>
      <c r="F18" s="446" t="s">
        <v>1438</v>
      </c>
      <c r="G18" s="177">
        <v>1.9890000000000001</v>
      </c>
      <c r="H18" s="179"/>
      <c r="I18" s="176"/>
      <c r="J18" s="168"/>
      <c r="K18" s="399"/>
      <c r="L18" s="216"/>
      <c r="M18" s="170" t="s">
        <v>1093</v>
      </c>
      <c r="N18" s="446" t="s">
        <v>1438</v>
      </c>
      <c r="O18" s="177"/>
      <c r="P18" s="179"/>
      <c r="Q18" s="194"/>
      <c r="R18" s="168"/>
      <c r="S18" s="399"/>
      <c r="T18" s="216"/>
      <c r="U18" s="901"/>
      <c r="V18" s="899" t="s">
        <v>1638</v>
      </c>
    </row>
    <row r="19" spans="1:22" s="42" customFormat="1" ht="42.75" customHeight="1" x14ac:dyDescent="0.25">
      <c r="A19" s="902" t="s">
        <v>14</v>
      </c>
      <c r="B19" s="900">
        <v>86</v>
      </c>
      <c r="C19" s="168"/>
      <c r="D19" s="900" t="s">
        <v>692</v>
      </c>
      <c r="E19" s="897" t="s">
        <v>1283</v>
      </c>
      <c r="F19" s="390" t="s">
        <v>1116</v>
      </c>
      <c r="G19" s="177">
        <v>3</v>
      </c>
      <c r="H19" s="179"/>
      <c r="I19" s="176"/>
      <c r="J19" s="168"/>
      <c r="K19" s="399"/>
      <c r="L19" s="216"/>
      <c r="M19" s="170"/>
      <c r="N19" s="390" t="s">
        <v>1116</v>
      </c>
      <c r="O19" s="177">
        <v>3</v>
      </c>
      <c r="P19" s="179"/>
      <c r="Q19" s="194"/>
      <c r="R19" s="168">
        <v>0.35</v>
      </c>
      <c r="S19" s="399"/>
      <c r="T19" s="216"/>
      <c r="U19" s="901"/>
      <c r="V19" s="899" t="s">
        <v>1662</v>
      </c>
    </row>
    <row r="20" spans="1:22" s="42" customFormat="1" ht="37.5" customHeight="1" x14ac:dyDescent="0.25">
      <c r="A20" s="902" t="s">
        <v>15</v>
      </c>
      <c r="B20" s="168">
        <v>108</v>
      </c>
      <c r="C20" s="168"/>
      <c r="D20" s="900" t="s">
        <v>1267</v>
      </c>
      <c r="E20" s="897" t="s">
        <v>649</v>
      </c>
      <c r="F20" s="898" t="s">
        <v>39</v>
      </c>
      <c r="G20" s="177">
        <v>3.99</v>
      </c>
      <c r="H20" s="179"/>
      <c r="I20" s="176"/>
      <c r="J20" s="168"/>
      <c r="K20" s="399"/>
      <c r="L20" s="216"/>
      <c r="M20" s="170"/>
      <c r="N20" s="898" t="s">
        <v>39</v>
      </c>
      <c r="O20" s="177">
        <v>3.99</v>
      </c>
      <c r="P20" s="179"/>
      <c r="Q20" s="194"/>
      <c r="R20" s="168"/>
      <c r="S20" s="399"/>
      <c r="T20" s="216"/>
      <c r="U20" s="901"/>
      <c r="V20" s="899" t="s">
        <v>1646</v>
      </c>
    </row>
    <row r="21" spans="1:22" s="42" customFormat="1" ht="37.5" customHeight="1" x14ac:dyDescent="0.25">
      <c r="A21" s="902" t="s">
        <v>16</v>
      </c>
      <c r="B21" s="168">
        <v>112</v>
      </c>
      <c r="C21" s="168"/>
      <c r="D21" s="900" t="s">
        <v>1267</v>
      </c>
      <c r="E21" s="897" t="s">
        <v>1404</v>
      </c>
      <c r="F21" s="446" t="s">
        <v>1438</v>
      </c>
      <c r="G21" s="177">
        <v>3</v>
      </c>
      <c r="H21" s="179"/>
      <c r="I21" s="176"/>
      <c r="J21" s="168"/>
      <c r="K21" s="399">
        <v>0.16</v>
      </c>
      <c r="L21" s="216">
        <f t="shared" si="0"/>
        <v>0.48</v>
      </c>
      <c r="M21" s="170" t="s">
        <v>1093</v>
      </c>
      <c r="N21" s="446" t="s">
        <v>1438</v>
      </c>
      <c r="O21" s="177">
        <v>3</v>
      </c>
      <c r="P21" s="179"/>
      <c r="Q21" s="194"/>
      <c r="R21" s="168">
        <v>0.35</v>
      </c>
      <c r="S21" s="399">
        <v>0.16</v>
      </c>
      <c r="T21" s="216">
        <f t="shared" ref="T21:T23" si="3">(O21+Q21+R21)*S21</f>
        <v>0.53600000000000003</v>
      </c>
      <c r="U21" s="901" t="s">
        <v>1093</v>
      </c>
      <c r="V21" s="899" t="s">
        <v>1659</v>
      </c>
    </row>
    <row r="22" spans="1:22" s="42" customFormat="1" ht="37.5" customHeight="1" x14ac:dyDescent="0.25">
      <c r="A22" s="902" t="s">
        <v>17</v>
      </c>
      <c r="B22" s="168">
        <v>121</v>
      </c>
      <c r="C22" s="168"/>
      <c r="D22" s="900" t="s">
        <v>1267</v>
      </c>
      <c r="E22" s="897" t="s">
        <v>818</v>
      </c>
      <c r="F22" s="446" t="s">
        <v>1438</v>
      </c>
      <c r="G22" s="177">
        <v>3.99</v>
      </c>
      <c r="H22" s="179"/>
      <c r="I22" s="176"/>
      <c r="J22" s="168">
        <v>0.35</v>
      </c>
      <c r="K22" s="399">
        <v>0.16</v>
      </c>
      <c r="L22" s="216">
        <f t="shared" si="0"/>
        <v>0.69440000000000002</v>
      </c>
      <c r="M22" s="170" t="s">
        <v>1093</v>
      </c>
      <c r="N22" s="446" t="s">
        <v>1438</v>
      </c>
      <c r="O22" s="177">
        <v>3.99</v>
      </c>
      <c r="P22" s="179"/>
      <c r="Q22" s="194"/>
      <c r="R22" s="168">
        <v>0.45</v>
      </c>
      <c r="S22" s="399">
        <v>0.16</v>
      </c>
      <c r="T22" s="216">
        <f t="shared" si="3"/>
        <v>0.71040000000000003</v>
      </c>
      <c r="U22" s="901" t="s">
        <v>1093</v>
      </c>
      <c r="V22" s="899" t="s">
        <v>1656</v>
      </c>
    </row>
    <row r="23" spans="1:22" s="42" customFormat="1" ht="37.5" customHeight="1" x14ac:dyDescent="0.25">
      <c r="A23" s="902" t="s">
        <v>18</v>
      </c>
      <c r="B23" s="168">
        <v>132</v>
      </c>
      <c r="C23" s="168"/>
      <c r="D23" s="900" t="s">
        <v>1267</v>
      </c>
      <c r="E23" s="897" t="s">
        <v>1644</v>
      </c>
      <c r="F23" s="446"/>
      <c r="G23" s="177"/>
      <c r="H23" s="179"/>
      <c r="I23" s="176"/>
      <c r="J23" s="168"/>
      <c r="K23" s="399"/>
      <c r="L23" s="216"/>
      <c r="M23" s="170"/>
      <c r="N23" s="898" t="s">
        <v>807</v>
      </c>
      <c r="O23" s="177">
        <v>3.66</v>
      </c>
      <c r="P23" s="179"/>
      <c r="Q23" s="194"/>
      <c r="R23" s="168"/>
      <c r="S23" s="399">
        <v>0.11</v>
      </c>
      <c r="T23" s="216">
        <f t="shared" si="3"/>
        <v>0.40260000000000001</v>
      </c>
      <c r="U23" s="901" t="s">
        <v>1093</v>
      </c>
      <c r="V23" s="899" t="s">
        <v>1670</v>
      </c>
    </row>
    <row r="24" spans="1:22" s="42" customFormat="1" ht="108.75" customHeight="1" x14ac:dyDescent="0.25">
      <c r="A24" s="902" t="s">
        <v>19</v>
      </c>
      <c r="B24" s="168">
        <v>138</v>
      </c>
      <c r="C24" s="168"/>
      <c r="D24" s="168" t="s">
        <v>1267</v>
      </c>
      <c r="E24" s="897" t="s">
        <v>1498</v>
      </c>
      <c r="F24" s="446" t="s">
        <v>1438</v>
      </c>
      <c r="G24" s="177">
        <v>2.34</v>
      </c>
      <c r="H24" s="179"/>
      <c r="I24" s="176"/>
      <c r="J24" s="168"/>
      <c r="K24" s="399"/>
      <c r="L24" s="216"/>
      <c r="M24" s="170" t="s">
        <v>1093</v>
      </c>
      <c r="N24" s="446" t="s">
        <v>1438</v>
      </c>
      <c r="O24" s="932" t="s">
        <v>1610</v>
      </c>
      <c r="P24" s="179"/>
      <c r="Q24" s="194"/>
      <c r="R24" s="168"/>
      <c r="S24" s="399"/>
      <c r="T24" s="216"/>
      <c r="U24" s="170"/>
      <c r="V24" s="899" t="s">
        <v>1611</v>
      </c>
    </row>
    <row r="25" spans="1:22" s="42" customFormat="1" ht="44.25" customHeight="1" x14ac:dyDescent="0.25">
      <c r="A25" s="902" t="s">
        <v>20</v>
      </c>
      <c r="B25" s="168">
        <v>145</v>
      </c>
      <c r="C25" s="168"/>
      <c r="D25" s="900" t="s">
        <v>1267</v>
      </c>
      <c r="E25" s="897" t="s">
        <v>1596</v>
      </c>
      <c r="F25" s="898" t="s">
        <v>1438</v>
      </c>
      <c r="G25" s="177">
        <v>2.34</v>
      </c>
      <c r="H25" s="179"/>
      <c r="I25" s="176"/>
      <c r="J25" s="168"/>
      <c r="K25" s="399"/>
      <c r="L25" s="216"/>
      <c r="M25" s="170" t="s">
        <v>1093</v>
      </c>
      <c r="N25" s="898" t="s">
        <v>1438</v>
      </c>
      <c r="O25" s="177">
        <v>2.34</v>
      </c>
      <c r="P25" s="179"/>
      <c r="Q25" s="194"/>
      <c r="R25" s="168"/>
      <c r="S25" s="399"/>
      <c r="T25" s="216"/>
      <c r="U25" s="901"/>
      <c r="V25" s="899" t="s">
        <v>1639</v>
      </c>
    </row>
    <row r="26" spans="1:22" s="42" customFormat="1" ht="44.25" customHeight="1" x14ac:dyDescent="0.25">
      <c r="A26" s="902" t="s">
        <v>21</v>
      </c>
      <c r="B26" s="168">
        <v>152</v>
      </c>
      <c r="C26" s="168"/>
      <c r="D26" s="900" t="s">
        <v>1267</v>
      </c>
      <c r="E26" s="897" t="s">
        <v>1233</v>
      </c>
      <c r="F26" s="898" t="s">
        <v>1438</v>
      </c>
      <c r="G26" s="177">
        <v>3.33</v>
      </c>
      <c r="H26" s="179"/>
      <c r="I26" s="176"/>
      <c r="J26" s="168"/>
      <c r="K26" s="399">
        <v>0.09</v>
      </c>
      <c r="L26" s="216">
        <f t="shared" ref="L26:L29" si="4">(G26+I26+J26)*K26</f>
        <v>0.29970000000000002</v>
      </c>
      <c r="M26" s="170" t="s">
        <v>1093</v>
      </c>
      <c r="N26" s="898" t="s">
        <v>1438</v>
      </c>
      <c r="O26" s="177">
        <v>3.33</v>
      </c>
      <c r="P26" s="179"/>
      <c r="Q26" s="194"/>
      <c r="R26" s="168"/>
      <c r="S26" s="399">
        <v>0.1</v>
      </c>
      <c r="T26" s="216">
        <f t="shared" ref="T26:T29" si="5">(O26+Q26+R26)*S26</f>
        <v>0.33300000000000002</v>
      </c>
      <c r="U26" s="901" t="s">
        <v>1093</v>
      </c>
      <c r="V26" s="899" t="s">
        <v>1648</v>
      </c>
    </row>
    <row r="27" spans="1:22" s="42" customFormat="1" ht="44.25" customHeight="1" x14ac:dyDescent="0.25">
      <c r="A27" s="902" t="s">
        <v>34</v>
      </c>
      <c r="B27" s="168">
        <v>159</v>
      </c>
      <c r="C27" s="168"/>
      <c r="D27" s="900" t="s">
        <v>1267</v>
      </c>
      <c r="E27" s="897" t="s">
        <v>821</v>
      </c>
      <c r="F27" s="898" t="s">
        <v>1438</v>
      </c>
      <c r="G27" s="177">
        <v>3.33</v>
      </c>
      <c r="H27" s="179"/>
      <c r="I27" s="176"/>
      <c r="J27" s="168">
        <v>0.35</v>
      </c>
      <c r="K27" s="399">
        <v>7.0000000000000007E-2</v>
      </c>
      <c r="L27" s="216">
        <f t="shared" si="4"/>
        <v>0.25760000000000005</v>
      </c>
      <c r="M27" s="170" t="s">
        <v>1093</v>
      </c>
      <c r="N27" s="898" t="s">
        <v>1438</v>
      </c>
      <c r="O27" s="177">
        <v>3.33</v>
      </c>
      <c r="P27" s="179"/>
      <c r="Q27" s="194"/>
      <c r="R27" s="168">
        <v>0.45</v>
      </c>
      <c r="S27" s="399">
        <v>7.0000000000000007E-2</v>
      </c>
      <c r="T27" s="216">
        <f t="shared" si="5"/>
        <v>0.26460000000000006</v>
      </c>
      <c r="U27" s="901" t="s">
        <v>1093</v>
      </c>
      <c r="V27" s="899" t="s">
        <v>1657</v>
      </c>
    </row>
    <row r="28" spans="1:22" s="42" customFormat="1" ht="42" customHeight="1" x14ac:dyDescent="0.25">
      <c r="A28" s="902" t="s">
        <v>35</v>
      </c>
      <c r="B28" s="168">
        <v>163</v>
      </c>
      <c r="C28" s="168"/>
      <c r="D28" s="900" t="s">
        <v>1267</v>
      </c>
      <c r="E28" s="897" t="s">
        <v>312</v>
      </c>
      <c r="F28" s="898" t="s">
        <v>1438</v>
      </c>
      <c r="G28" s="177">
        <v>3.99</v>
      </c>
      <c r="H28" s="179"/>
      <c r="I28" s="176"/>
      <c r="J28" s="168"/>
      <c r="K28" s="399">
        <v>0.15</v>
      </c>
      <c r="L28" s="216">
        <f t="shared" si="4"/>
        <v>0.59850000000000003</v>
      </c>
      <c r="M28" s="170" t="s">
        <v>1093</v>
      </c>
      <c r="N28" s="898" t="s">
        <v>1438</v>
      </c>
      <c r="O28" s="177">
        <v>3.99</v>
      </c>
      <c r="P28" s="179"/>
      <c r="Q28" s="194"/>
      <c r="R28" s="168"/>
      <c r="S28" s="399">
        <v>0.16</v>
      </c>
      <c r="T28" s="216">
        <f t="shared" si="5"/>
        <v>0.63840000000000008</v>
      </c>
      <c r="U28" s="901" t="s">
        <v>1093</v>
      </c>
      <c r="V28" s="899" t="s">
        <v>1648</v>
      </c>
    </row>
    <row r="29" spans="1:22" s="42" customFormat="1" ht="48" customHeight="1" x14ac:dyDescent="0.25">
      <c r="A29" s="902" t="s">
        <v>36</v>
      </c>
      <c r="B29" s="168">
        <v>165</v>
      </c>
      <c r="C29" s="168"/>
      <c r="D29" s="900" t="s">
        <v>1267</v>
      </c>
      <c r="E29" s="897" t="s">
        <v>311</v>
      </c>
      <c r="F29" s="898" t="s">
        <v>1438</v>
      </c>
      <c r="G29" s="177">
        <v>3.99</v>
      </c>
      <c r="H29" s="179"/>
      <c r="I29" s="176"/>
      <c r="J29" s="168"/>
      <c r="K29" s="399">
        <v>0.14000000000000001</v>
      </c>
      <c r="L29" s="216">
        <f t="shared" si="4"/>
        <v>0.5586000000000001</v>
      </c>
      <c r="M29" s="170" t="s">
        <v>1093</v>
      </c>
      <c r="N29" s="898" t="s">
        <v>1438</v>
      </c>
      <c r="O29" s="177">
        <v>3.99</v>
      </c>
      <c r="P29" s="179"/>
      <c r="Q29" s="194"/>
      <c r="R29" s="168"/>
      <c r="S29" s="399">
        <v>0.14000000000000001</v>
      </c>
      <c r="T29" s="216">
        <f t="shared" si="5"/>
        <v>0.5586000000000001</v>
      </c>
      <c r="U29" s="901" t="s">
        <v>1093</v>
      </c>
      <c r="V29" s="899" t="s">
        <v>1655</v>
      </c>
    </row>
    <row r="30" spans="1:22" s="42" customFormat="1" ht="40.5" customHeight="1" x14ac:dyDescent="0.25">
      <c r="A30" s="902" t="s">
        <v>37</v>
      </c>
      <c r="B30" s="168">
        <v>199</v>
      </c>
      <c r="C30" s="168"/>
      <c r="D30" s="900" t="s">
        <v>1267</v>
      </c>
      <c r="E30" s="897" t="s">
        <v>297</v>
      </c>
      <c r="F30" s="446" t="s">
        <v>1438</v>
      </c>
      <c r="G30" s="177">
        <v>3.66</v>
      </c>
      <c r="H30" s="179"/>
      <c r="I30" s="176"/>
      <c r="J30" s="168"/>
      <c r="K30" s="399">
        <v>0.13</v>
      </c>
      <c r="L30" s="216">
        <f t="shared" si="0"/>
        <v>0.47580000000000006</v>
      </c>
      <c r="M30" s="170" t="s">
        <v>1093</v>
      </c>
      <c r="N30" s="446" t="s">
        <v>1438</v>
      </c>
      <c r="O30" s="177">
        <v>3.66</v>
      </c>
      <c r="P30" s="179"/>
      <c r="Q30" s="194"/>
      <c r="R30" s="168"/>
      <c r="S30" s="399">
        <v>0.14000000000000001</v>
      </c>
      <c r="T30" s="216">
        <f t="shared" ref="T30:T33" si="6">(O30+Q30+R30)*S30</f>
        <v>0.51240000000000008</v>
      </c>
      <c r="U30" s="901" t="s">
        <v>1093</v>
      </c>
      <c r="V30" s="899" t="s">
        <v>1648</v>
      </c>
    </row>
    <row r="31" spans="1:22" s="42" customFormat="1" ht="75" customHeight="1" x14ac:dyDescent="0.25">
      <c r="A31" s="902" t="s">
        <v>315</v>
      </c>
      <c r="B31" s="168">
        <v>205</v>
      </c>
      <c r="C31" s="168"/>
      <c r="D31" s="900" t="s">
        <v>1267</v>
      </c>
      <c r="E31" s="897" t="s">
        <v>822</v>
      </c>
      <c r="F31" s="446" t="s">
        <v>1438</v>
      </c>
      <c r="G31" s="177">
        <v>3.66</v>
      </c>
      <c r="H31" s="179"/>
      <c r="I31" s="176"/>
      <c r="J31" s="168"/>
      <c r="K31" s="399">
        <v>0.13</v>
      </c>
      <c r="L31" s="216">
        <f t="shared" si="0"/>
        <v>0.47580000000000006</v>
      </c>
      <c r="M31" s="170" t="s">
        <v>1093</v>
      </c>
      <c r="N31" s="446" t="s">
        <v>1438</v>
      </c>
      <c r="O31" s="177">
        <v>3.99</v>
      </c>
      <c r="P31" s="179"/>
      <c r="Q31" s="194"/>
      <c r="R31" s="168"/>
      <c r="S31" s="399">
        <v>0.14000000000000001</v>
      </c>
      <c r="T31" s="216">
        <f t="shared" si="6"/>
        <v>0.5586000000000001</v>
      </c>
      <c r="U31" s="901" t="s">
        <v>1093</v>
      </c>
      <c r="V31" s="899" t="s">
        <v>1651</v>
      </c>
    </row>
    <row r="32" spans="1:22" s="42" customFormat="1" ht="48.75" customHeight="1" x14ac:dyDescent="0.25">
      <c r="A32" s="902" t="s">
        <v>175</v>
      </c>
      <c r="B32" s="168">
        <v>220</v>
      </c>
      <c r="C32" s="168"/>
      <c r="D32" s="900" t="s">
        <v>1267</v>
      </c>
      <c r="E32" s="897" t="s">
        <v>562</v>
      </c>
      <c r="F32" s="446" t="s">
        <v>1438</v>
      </c>
      <c r="G32" s="177">
        <v>3.33</v>
      </c>
      <c r="H32" s="179"/>
      <c r="I32" s="176"/>
      <c r="J32" s="168"/>
      <c r="K32" s="399">
        <v>0.09</v>
      </c>
      <c r="L32" s="216">
        <f t="shared" si="0"/>
        <v>0.29970000000000002</v>
      </c>
      <c r="M32" s="170" t="s">
        <v>1093</v>
      </c>
      <c r="N32" s="446" t="s">
        <v>1438</v>
      </c>
      <c r="O32" s="177">
        <v>3.33</v>
      </c>
      <c r="P32" s="179"/>
      <c r="Q32" s="194"/>
      <c r="R32" s="168"/>
      <c r="S32" s="399">
        <v>0.1</v>
      </c>
      <c r="T32" s="216">
        <f t="shared" si="6"/>
        <v>0.33300000000000002</v>
      </c>
      <c r="U32" s="901" t="s">
        <v>1093</v>
      </c>
      <c r="V32" s="899" t="s">
        <v>1650</v>
      </c>
    </row>
    <row r="33" spans="1:24" s="42" customFormat="1" ht="42.75" customHeight="1" x14ac:dyDescent="0.25">
      <c r="A33" s="902" t="s">
        <v>316</v>
      </c>
      <c r="B33" s="168">
        <v>223</v>
      </c>
      <c r="C33" s="168"/>
      <c r="D33" s="900" t="s">
        <v>1267</v>
      </c>
      <c r="E33" s="897" t="s">
        <v>1289</v>
      </c>
      <c r="F33" s="446" t="s">
        <v>1438</v>
      </c>
      <c r="G33" s="177">
        <v>3</v>
      </c>
      <c r="H33" s="179"/>
      <c r="I33" s="176"/>
      <c r="J33" s="168"/>
      <c r="K33" s="399">
        <v>0.05</v>
      </c>
      <c r="L33" s="216">
        <f t="shared" si="0"/>
        <v>0.15000000000000002</v>
      </c>
      <c r="M33" s="170" t="s">
        <v>1093</v>
      </c>
      <c r="N33" s="446" t="s">
        <v>1438</v>
      </c>
      <c r="O33" s="177">
        <v>3</v>
      </c>
      <c r="P33" s="179"/>
      <c r="Q33" s="194"/>
      <c r="R33" s="168"/>
      <c r="S33" s="399">
        <v>0.06</v>
      </c>
      <c r="T33" s="216">
        <f t="shared" si="6"/>
        <v>0.18</v>
      </c>
      <c r="U33" s="901" t="s">
        <v>1093</v>
      </c>
      <c r="V33" s="899" t="s">
        <v>1648</v>
      </c>
    </row>
    <row r="34" spans="1:24" s="42" customFormat="1" ht="51" customHeight="1" x14ac:dyDescent="0.25">
      <c r="A34" s="902" t="s">
        <v>317</v>
      </c>
      <c r="B34" s="168">
        <v>234</v>
      </c>
      <c r="C34" s="168"/>
      <c r="D34" s="900" t="s">
        <v>1267</v>
      </c>
      <c r="E34" s="897" t="s">
        <v>1516</v>
      </c>
      <c r="F34" s="446" t="s">
        <v>1438</v>
      </c>
      <c r="G34" s="177">
        <v>3.99</v>
      </c>
      <c r="H34" s="179"/>
      <c r="I34" s="176"/>
      <c r="J34" s="168"/>
      <c r="K34" s="399">
        <v>0.14000000000000001</v>
      </c>
      <c r="L34" s="216">
        <f t="shared" ref="L34:L38" si="7">(G34+I34+J34)*K34</f>
        <v>0.5586000000000001</v>
      </c>
      <c r="M34" s="170" t="s">
        <v>1093</v>
      </c>
      <c r="N34" s="446" t="s">
        <v>1438</v>
      </c>
      <c r="O34" s="177">
        <v>3.99</v>
      </c>
      <c r="P34" s="179"/>
      <c r="Q34" s="194"/>
      <c r="R34" s="168"/>
      <c r="S34" s="399">
        <v>0.15</v>
      </c>
      <c r="T34" s="216">
        <f t="shared" ref="T34:T36" si="8">(O34+Q34+R34)*S34</f>
        <v>0.59850000000000003</v>
      </c>
      <c r="U34" s="901" t="s">
        <v>1093</v>
      </c>
      <c r="V34" s="899" t="s">
        <v>1649</v>
      </c>
    </row>
    <row r="35" spans="1:24" s="42" customFormat="1" ht="51" customHeight="1" x14ac:dyDescent="0.25">
      <c r="A35" s="902" t="s">
        <v>318</v>
      </c>
      <c r="B35" s="566">
        <v>236</v>
      </c>
      <c r="C35" s="566"/>
      <c r="D35" s="967" t="s">
        <v>1267</v>
      </c>
      <c r="E35" s="935" t="s">
        <v>1304</v>
      </c>
      <c r="F35" s="446" t="s">
        <v>1438</v>
      </c>
      <c r="G35" s="552">
        <v>2.67</v>
      </c>
      <c r="H35" s="968"/>
      <c r="I35" s="547"/>
      <c r="J35" s="566"/>
      <c r="K35" s="969"/>
      <c r="L35" s="216">
        <f t="shared" si="7"/>
        <v>0</v>
      </c>
      <c r="M35" s="170" t="s">
        <v>1093</v>
      </c>
      <c r="N35" s="446" t="s">
        <v>1438</v>
      </c>
      <c r="O35" s="552">
        <v>2.67</v>
      </c>
      <c r="P35" s="968"/>
      <c r="Q35" s="970"/>
      <c r="R35" s="566">
        <v>0.25</v>
      </c>
      <c r="S35" s="969"/>
      <c r="T35" s="549"/>
      <c r="U35" s="901" t="s">
        <v>1093</v>
      </c>
      <c r="V35" s="899" t="s">
        <v>1664</v>
      </c>
    </row>
    <row r="36" spans="1:24" s="42" customFormat="1" ht="81" customHeight="1" x14ac:dyDescent="0.25">
      <c r="A36" s="902" t="s">
        <v>319</v>
      </c>
      <c r="B36" s="566">
        <v>252</v>
      </c>
      <c r="C36" s="566"/>
      <c r="D36" s="967" t="s">
        <v>1267</v>
      </c>
      <c r="E36" s="935" t="s">
        <v>563</v>
      </c>
      <c r="F36" s="446" t="s">
        <v>1438</v>
      </c>
      <c r="G36" s="552">
        <v>3.33</v>
      </c>
      <c r="H36" s="968"/>
      <c r="I36" s="547"/>
      <c r="J36" s="566"/>
      <c r="K36" s="969">
        <v>0.09</v>
      </c>
      <c r="L36" s="549">
        <f t="shared" si="7"/>
        <v>0.29970000000000002</v>
      </c>
      <c r="M36" s="170" t="s">
        <v>1093</v>
      </c>
      <c r="N36" s="446" t="s">
        <v>1438</v>
      </c>
      <c r="O36" s="552">
        <v>3.66</v>
      </c>
      <c r="P36" s="968"/>
      <c r="Q36" s="970"/>
      <c r="R36" s="566"/>
      <c r="S36" s="969">
        <v>0.1</v>
      </c>
      <c r="T36" s="549">
        <f t="shared" si="8"/>
        <v>0.36600000000000005</v>
      </c>
      <c r="U36" s="901" t="s">
        <v>1093</v>
      </c>
      <c r="V36" s="899" t="s">
        <v>1651</v>
      </c>
    </row>
    <row r="37" spans="1:24" s="42" customFormat="1" ht="95.25" customHeight="1" x14ac:dyDescent="0.25">
      <c r="A37" s="902" t="s">
        <v>320</v>
      </c>
      <c r="B37" s="566"/>
      <c r="C37" s="566"/>
      <c r="D37" s="967" t="s">
        <v>1267</v>
      </c>
      <c r="E37" s="935" t="s">
        <v>1161</v>
      </c>
      <c r="F37" s="446" t="s">
        <v>1438</v>
      </c>
      <c r="G37" s="552">
        <v>4.9800000000000004</v>
      </c>
      <c r="H37" s="968">
        <v>0.11</v>
      </c>
      <c r="I37" s="547"/>
      <c r="J37" s="566"/>
      <c r="K37" s="969">
        <v>0.27</v>
      </c>
      <c r="L37" s="549">
        <f t="shared" si="7"/>
        <v>1.3446000000000002</v>
      </c>
      <c r="M37" s="170" t="s">
        <v>1093</v>
      </c>
      <c r="N37" s="998"/>
      <c r="O37" s="552"/>
      <c r="P37" s="968"/>
      <c r="Q37" s="970"/>
      <c r="R37" s="566"/>
      <c r="S37" s="969"/>
      <c r="T37" s="549"/>
      <c r="U37" s="999"/>
      <c r="V37" s="1000" t="s">
        <v>1641</v>
      </c>
    </row>
    <row r="38" spans="1:24" s="42" customFormat="1" ht="102" customHeight="1" x14ac:dyDescent="0.25">
      <c r="A38" s="902" t="s">
        <v>321</v>
      </c>
      <c r="B38" s="566"/>
      <c r="C38" s="566"/>
      <c r="D38" s="967" t="s">
        <v>1267</v>
      </c>
      <c r="E38" s="935" t="s">
        <v>1186</v>
      </c>
      <c r="F38" s="446" t="s">
        <v>1438</v>
      </c>
      <c r="G38" s="552">
        <v>4.6500000000000004</v>
      </c>
      <c r="H38" s="968"/>
      <c r="I38" s="547"/>
      <c r="J38" s="566"/>
      <c r="K38" s="969">
        <v>0.19</v>
      </c>
      <c r="L38" s="549">
        <f t="shared" si="7"/>
        <v>0.88350000000000006</v>
      </c>
      <c r="M38" s="170" t="s">
        <v>1093</v>
      </c>
      <c r="N38" s="998"/>
      <c r="O38" s="552"/>
      <c r="P38" s="968"/>
      <c r="Q38" s="970"/>
      <c r="R38" s="566"/>
      <c r="S38" s="969"/>
      <c r="T38" s="549"/>
      <c r="U38" s="999"/>
      <c r="V38" s="1000" t="s">
        <v>1642</v>
      </c>
    </row>
    <row r="39" spans="1:24" s="42" customFormat="1" ht="84" customHeight="1" x14ac:dyDescent="0.25">
      <c r="A39" s="903" t="s">
        <v>322</v>
      </c>
      <c r="B39" s="471"/>
      <c r="C39" s="471"/>
      <c r="D39" s="933" t="s">
        <v>1267</v>
      </c>
      <c r="E39" s="895" t="s">
        <v>1596</v>
      </c>
      <c r="F39" s="990" t="s">
        <v>1438</v>
      </c>
      <c r="G39" s="487">
        <v>2.34</v>
      </c>
      <c r="H39" s="439"/>
      <c r="I39" s="436"/>
      <c r="J39" s="471"/>
      <c r="K39" s="557"/>
      <c r="L39" s="440">
        <f>(G39+I39+J39)*K39</f>
        <v>0</v>
      </c>
      <c r="M39" s="438"/>
      <c r="N39" s="990"/>
      <c r="O39" s="487"/>
      <c r="P39" s="439"/>
      <c r="Q39" s="442"/>
      <c r="R39" s="471"/>
      <c r="S39" s="557"/>
      <c r="T39" s="440"/>
      <c r="U39" s="931"/>
      <c r="V39" s="896" t="s">
        <v>1643</v>
      </c>
    </row>
    <row r="40" spans="1:24" s="42" customFormat="1" ht="6.75" customHeight="1" x14ac:dyDescent="0.25">
      <c r="A40" s="208"/>
      <c r="B40" s="208"/>
      <c r="C40" s="208"/>
      <c r="D40" s="209"/>
      <c r="E40" s="798"/>
      <c r="F40" s="205"/>
      <c r="G40" s="799"/>
      <c r="H40" s="793"/>
      <c r="I40" s="800"/>
      <c r="J40" s="208"/>
      <c r="K40" s="794"/>
      <c r="L40" s="795"/>
      <c r="M40" s="209"/>
      <c r="N40" s="205"/>
      <c r="O40" s="799"/>
      <c r="P40" s="793"/>
      <c r="Q40" s="796"/>
      <c r="R40" s="208"/>
      <c r="S40" s="794"/>
      <c r="T40" s="795"/>
      <c r="U40" s="209"/>
      <c r="V40" s="797"/>
    </row>
    <row r="41" spans="1:24" s="42" customFormat="1" ht="18" hidden="1" customHeight="1" x14ac:dyDescent="0.25">
      <c r="A41" s="208"/>
      <c r="B41" s="208"/>
      <c r="C41" s="208"/>
      <c r="D41" s="209"/>
      <c r="E41" s="1172" t="s">
        <v>1629</v>
      </c>
      <c r="F41" s="1172"/>
      <c r="G41" s="1172"/>
      <c r="H41" s="1172"/>
      <c r="I41" s="1172"/>
      <c r="J41" s="1172"/>
      <c r="K41" s="1172"/>
      <c r="L41" s="1172"/>
      <c r="M41" s="1172"/>
      <c r="N41" s="1172"/>
      <c r="O41" s="1172"/>
      <c r="P41" s="1172"/>
      <c r="Q41" s="1172"/>
      <c r="R41" s="1172"/>
      <c r="S41" s="1172"/>
      <c r="T41" s="1172"/>
      <c r="U41" s="209"/>
      <c r="V41" s="797"/>
    </row>
    <row r="42" spans="1:24" s="212" customFormat="1" ht="15.75" customHeight="1" x14ac:dyDescent="0.25">
      <c r="A42" s="202"/>
      <c r="B42" s="203"/>
      <c r="C42" s="203"/>
      <c r="D42" s="204" t="s">
        <v>52</v>
      </c>
      <c r="E42" s="204"/>
      <c r="F42" s="205"/>
      <c r="G42" s="206"/>
      <c r="H42" s="473"/>
      <c r="I42" s="207"/>
      <c r="J42" s="208"/>
      <c r="K42" s="208"/>
      <c r="L42" s="345"/>
      <c r="M42" s="209"/>
      <c r="N42" s="210"/>
      <c r="O42" s="211"/>
      <c r="P42" s="398"/>
      <c r="Q42" s="211"/>
      <c r="R42" s="204"/>
      <c r="S42" s="204"/>
      <c r="T42" s="204"/>
      <c r="V42" s="381" t="s">
        <v>1666</v>
      </c>
    </row>
    <row r="43" spans="1:24" s="1" customFormat="1" ht="17.25" customHeight="1" x14ac:dyDescent="0.25">
      <c r="A43" s="1107" t="s">
        <v>1098</v>
      </c>
      <c r="B43" s="1107"/>
      <c r="C43" s="1107"/>
      <c r="D43" s="1107"/>
      <c r="E43" s="1107"/>
      <c r="F43" s="1107"/>
      <c r="G43" s="1107" t="s">
        <v>1114</v>
      </c>
      <c r="H43" s="1107"/>
      <c r="I43" s="1107"/>
      <c r="J43" s="1107"/>
      <c r="K43" s="1107"/>
      <c r="L43" s="1107"/>
      <c r="M43" s="1107"/>
      <c r="N43" s="1107"/>
      <c r="O43" s="1107"/>
      <c r="P43" s="1107"/>
      <c r="Q43" s="1107"/>
      <c r="R43" s="1107"/>
      <c r="S43" s="4"/>
      <c r="T43" s="4"/>
      <c r="U43" s="1107" t="s">
        <v>176</v>
      </c>
      <c r="V43" s="1107"/>
    </row>
    <row r="44" spans="1:24" ht="12.75" customHeight="1" x14ac:dyDescent="0.25">
      <c r="U44" s="1167"/>
      <c r="V44" s="1167"/>
      <c r="X44" s="1"/>
    </row>
    <row r="45" spans="1:24" ht="12.75" customHeight="1" x14ac:dyDescent="0.25"/>
    <row r="46" spans="1:24" ht="7.5" customHeight="1" x14ac:dyDescent="0.25"/>
    <row r="47" spans="1:24" ht="15" hidden="1" customHeight="1" x14ac:dyDescent="0.25"/>
    <row r="48" spans="1:24" ht="11.25" customHeight="1" x14ac:dyDescent="0.25"/>
    <row r="49" spans="1:22" ht="16.5" customHeight="1" x14ac:dyDescent="0.25"/>
    <row r="50" spans="1:22" ht="20.25" customHeight="1" x14ac:dyDescent="0.25"/>
    <row r="51" spans="1:22" s="1" customFormat="1" x14ac:dyDescent="0.25">
      <c r="A51" s="1107" t="s">
        <v>1105</v>
      </c>
      <c r="B51" s="1107"/>
      <c r="C51" s="1107"/>
      <c r="D51" s="1107"/>
      <c r="E51" s="1107"/>
      <c r="F51" s="1107"/>
      <c r="G51" s="1107" t="s">
        <v>803</v>
      </c>
      <c r="H51" s="1107"/>
      <c r="I51" s="1107"/>
      <c r="J51" s="1107"/>
      <c r="K51" s="1107"/>
      <c r="L51" s="1107"/>
      <c r="M51" s="1107"/>
      <c r="N51" s="1107"/>
      <c r="O51" s="1107"/>
      <c r="P51" s="1107"/>
      <c r="Q51" s="1107"/>
      <c r="R51" s="1107"/>
      <c r="U51" s="1107" t="s">
        <v>772</v>
      </c>
      <c r="V51" s="1107"/>
    </row>
  </sheetData>
  <mergeCells count="20">
    <mergeCell ref="V6:V7"/>
    <mergeCell ref="E6:E7"/>
    <mergeCell ref="F6:M6"/>
    <mergeCell ref="N6:U6"/>
    <mergeCell ref="A1:I1"/>
    <mergeCell ref="A2:I2"/>
    <mergeCell ref="A51:F51"/>
    <mergeCell ref="G51:R51"/>
    <mergeCell ref="U51:V51"/>
    <mergeCell ref="U44:V44"/>
    <mergeCell ref="N1:V1"/>
    <mergeCell ref="N2:V2"/>
    <mergeCell ref="U43:V43"/>
    <mergeCell ref="D6:D7"/>
    <mergeCell ref="A43:F43"/>
    <mergeCell ref="G43:R43"/>
    <mergeCell ref="A6:A7"/>
    <mergeCell ref="B6:B7"/>
    <mergeCell ref="A4:V4"/>
    <mergeCell ref="E41:T41"/>
  </mergeCells>
  <phoneticPr fontId="3" type="noConversion"/>
  <printOptions horizontalCentered="1"/>
  <pageMargins left="0.25" right="0.15748031496063" top="0.4" bottom="0.38"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175" t="s">
        <v>1530</v>
      </c>
      <c r="B2" s="1175"/>
      <c r="C2" s="1175"/>
      <c r="D2" s="1175"/>
    </row>
    <row r="4" spans="1:4" ht="24.75" customHeight="1" x14ac:dyDescent="0.25">
      <c r="A4" s="810" t="s">
        <v>5</v>
      </c>
      <c r="B4" s="803" t="s">
        <v>1518</v>
      </c>
      <c r="C4" s="803">
        <v>5.76</v>
      </c>
      <c r="D4" s="804">
        <f>C4*1490000</f>
        <v>8582400</v>
      </c>
    </row>
    <row r="5" spans="1:4" ht="24.75" customHeight="1" x14ac:dyDescent="0.25">
      <c r="A5" s="810" t="s">
        <v>6</v>
      </c>
      <c r="B5" s="803" t="s">
        <v>1520</v>
      </c>
      <c r="C5" s="803">
        <v>0.45</v>
      </c>
      <c r="D5" s="804">
        <f>C5*1490000</f>
        <v>670500</v>
      </c>
    </row>
    <row r="6" spans="1:4" ht="24.75" customHeight="1" x14ac:dyDescent="0.25">
      <c r="A6" s="810" t="s">
        <v>7</v>
      </c>
      <c r="B6" s="803" t="s">
        <v>1521</v>
      </c>
      <c r="C6" s="803">
        <v>1.738</v>
      </c>
      <c r="D6" s="804">
        <f>C6*1490000</f>
        <v>2589620</v>
      </c>
    </row>
    <row r="7" spans="1:4" ht="24.75" customHeight="1" x14ac:dyDescent="0.25">
      <c r="A7" s="810" t="s">
        <v>8</v>
      </c>
      <c r="B7" s="803" t="s">
        <v>1522</v>
      </c>
      <c r="C7" s="803">
        <f>(C4+C5)*25%</f>
        <v>1.5525</v>
      </c>
      <c r="D7" s="804">
        <f>C7*1490000</f>
        <v>2313225</v>
      </c>
    </row>
    <row r="8" spans="1:4" ht="24.75" customHeight="1" x14ac:dyDescent="0.25">
      <c r="A8" s="810" t="s">
        <v>177</v>
      </c>
      <c r="B8" s="803" t="s">
        <v>1523</v>
      </c>
      <c r="C8" s="805" t="s">
        <v>1524</v>
      </c>
      <c r="D8" s="804">
        <f>22*50000</f>
        <v>1100000</v>
      </c>
    </row>
    <row r="9" spans="1:4" ht="24.75" customHeight="1" x14ac:dyDescent="0.25">
      <c r="A9" s="810" t="s">
        <v>9</v>
      </c>
      <c r="B9" s="803" t="s">
        <v>1519</v>
      </c>
      <c r="C9" s="806" t="s">
        <v>692</v>
      </c>
      <c r="D9" s="804">
        <f>(C4+C5)*1490000*1.4</f>
        <v>12954060</v>
      </c>
    </row>
    <row r="10" spans="1:4" ht="24.75" customHeight="1" x14ac:dyDescent="0.25">
      <c r="A10" s="810" t="s">
        <v>10</v>
      </c>
      <c r="B10" s="807" t="s">
        <v>1526</v>
      </c>
      <c r="C10" s="805"/>
      <c r="D10" s="804">
        <v>4321000</v>
      </c>
    </row>
    <row r="11" spans="1:4" ht="24.75" customHeight="1" x14ac:dyDescent="0.25">
      <c r="A11" s="810" t="s">
        <v>11</v>
      </c>
      <c r="B11" s="807" t="s">
        <v>1527</v>
      </c>
      <c r="C11" s="805"/>
      <c r="D11" s="804">
        <v>5000000</v>
      </c>
    </row>
    <row r="12" spans="1:4" ht="24.75" customHeight="1" x14ac:dyDescent="0.25">
      <c r="A12" s="810" t="s">
        <v>12</v>
      </c>
      <c r="B12" s="807" t="s">
        <v>1528</v>
      </c>
      <c r="C12" s="805"/>
      <c r="D12" s="804">
        <v>2500000</v>
      </c>
    </row>
    <row r="13" spans="1:4" ht="24.75" customHeight="1" x14ac:dyDescent="0.25">
      <c r="A13" s="810" t="s">
        <v>13</v>
      </c>
      <c r="B13" s="807" t="s">
        <v>1529</v>
      </c>
      <c r="C13" s="805"/>
      <c r="D13" s="804">
        <v>400000</v>
      </c>
    </row>
    <row r="14" spans="1:4" ht="24.75" customHeight="1" x14ac:dyDescent="0.25">
      <c r="A14" s="810" t="s">
        <v>14</v>
      </c>
      <c r="B14" s="807" t="s">
        <v>1531</v>
      </c>
      <c r="C14" s="805"/>
      <c r="D14" s="804">
        <f>(C4+C5)*1490000*1.2</f>
        <v>11103480</v>
      </c>
    </row>
    <row r="15" spans="1:4" s="802" customFormat="1" ht="24.75" customHeight="1" x14ac:dyDescent="0.25">
      <c r="A15" s="808"/>
      <c r="B15" s="808" t="s">
        <v>1525</v>
      </c>
      <c r="C15" s="808"/>
      <c r="D15" s="809">
        <f>SUM(D4:D14)</f>
        <v>51534285</v>
      </c>
    </row>
    <row r="16" spans="1:4" x14ac:dyDescent="0.25">
      <c r="D16" s="801"/>
    </row>
    <row r="17" spans="4:4" x14ac:dyDescent="0.25">
      <c r="D17" s="801"/>
    </row>
    <row r="18" spans="4:4" x14ac:dyDescent="0.25">
      <c r="D18" s="801"/>
    </row>
    <row r="19" spans="4:4" x14ac:dyDescent="0.25">
      <c r="D19" s="801"/>
    </row>
    <row r="20" spans="4:4" x14ac:dyDescent="0.25">
      <c r="D20" s="801"/>
    </row>
    <row r="21" spans="4:4" x14ac:dyDescent="0.25">
      <c r="D21" s="801"/>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176"/>
      <c r="B1" s="1176"/>
      <c r="C1" s="1176"/>
      <c r="D1" s="1176"/>
      <c r="E1" s="1176"/>
      <c r="F1" s="1176"/>
      <c r="G1" s="1176"/>
      <c r="H1" s="1176"/>
      <c r="I1" s="1176"/>
      <c r="J1" s="1176"/>
      <c r="K1" s="1176"/>
      <c r="L1" s="1176"/>
    </row>
    <row r="2" spans="1:12" ht="21.75" customHeight="1" x14ac:dyDescent="0.25"/>
    <row r="3" spans="1:12" s="813" customFormat="1" ht="47.25" x14ac:dyDescent="0.25">
      <c r="A3" s="814" t="s">
        <v>1546</v>
      </c>
      <c r="B3" s="814" t="s">
        <v>1537</v>
      </c>
      <c r="C3" s="814" t="s">
        <v>1538</v>
      </c>
      <c r="D3" s="814" t="s">
        <v>1518</v>
      </c>
      <c r="E3" s="814" t="s">
        <v>1539</v>
      </c>
      <c r="F3" s="814" t="s">
        <v>30</v>
      </c>
      <c r="G3" s="814" t="s">
        <v>1541</v>
      </c>
      <c r="H3" s="814" t="s">
        <v>1542</v>
      </c>
      <c r="I3" s="814" t="s">
        <v>1543</v>
      </c>
      <c r="J3" s="814" t="s">
        <v>1544</v>
      </c>
      <c r="K3" s="814" t="s">
        <v>1545</v>
      </c>
      <c r="L3" s="814" t="s">
        <v>1551</v>
      </c>
    </row>
    <row r="4" spans="1:12" s="820" customFormat="1" ht="23.25" customHeight="1" x14ac:dyDescent="0.25">
      <c r="A4" s="819" t="s">
        <v>1547</v>
      </c>
      <c r="B4" s="819">
        <v>1</v>
      </c>
      <c r="C4" s="819">
        <v>2</v>
      </c>
      <c r="D4" s="819" t="s">
        <v>1549</v>
      </c>
      <c r="E4" s="819">
        <v>4</v>
      </c>
      <c r="F4" s="819">
        <v>5</v>
      </c>
      <c r="G4" s="819" t="s">
        <v>1548</v>
      </c>
      <c r="H4" s="819" t="s">
        <v>1550</v>
      </c>
      <c r="I4" s="819">
        <v>8</v>
      </c>
      <c r="J4" s="819">
        <v>9</v>
      </c>
      <c r="K4" s="819">
        <v>10</v>
      </c>
      <c r="L4" s="819" t="s">
        <v>698</v>
      </c>
    </row>
    <row r="5" spans="1:12" s="812" customFormat="1" ht="40.5" customHeight="1" x14ac:dyDescent="0.25">
      <c r="A5" s="815" t="s">
        <v>813</v>
      </c>
      <c r="B5" s="822">
        <v>3</v>
      </c>
      <c r="C5" s="816">
        <v>1490000</v>
      </c>
      <c r="D5" s="816">
        <f>B5*C5</f>
        <v>4470000</v>
      </c>
      <c r="E5" s="821" t="s">
        <v>1540</v>
      </c>
      <c r="F5" s="821">
        <v>0.8</v>
      </c>
      <c r="G5" s="821">
        <f>B5*F5</f>
        <v>2.4000000000000004</v>
      </c>
      <c r="H5" s="816">
        <f>G5*C5</f>
        <v>3576000.0000000005</v>
      </c>
      <c r="I5" s="821">
        <v>22</v>
      </c>
      <c r="J5" s="821">
        <v>13</v>
      </c>
      <c r="K5" s="817">
        <f>IF(J5&gt;=I5,H5,H5/I5*J5)</f>
        <v>2113090.9090909092</v>
      </c>
      <c r="L5" s="818" t="s">
        <v>1552</v>
      </c>
    </row>
    <row r="6" spans="1:12" s="811" customFormat="1" x14ac:dyDescent="0.25"/>
    <row r="7" spans="1:12" s="811" customFormat="1" x14ac:dyDescent="0.25"/>
    <row r="8" spans="1:12" s="811"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19" workbookViewId="0">
      <selection activeCell="D39" sqref="D39"/>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28" t="s">
        <v>1613</v>
      </c>
      <c r="B3" t="s">
        <v>1271</v>
      </c>
      <c r="C3" s="832" t="s">
        <v>5</v>
      </c>
      <c r="D3" s="929" t="s">
        <v>740</v>
      </c>
      <c r="E3" s="930" t="s">
        <v>1620</v>
      </c>
    </row>
    <row r="4" spans="1:5" x14ac:dyDescent="0.25">
      <c r="A4" s="928" t="s">
        <v>1619</v>
      </c>
      <c r="B4" t="s">
        <v>1279</v>
      </c>
      <c r="C4" s="832" t="s">
        <v>6</v>
      </c>
      <c r="D4" s="929" t="s">
        <v>1184</v>
      </c>
      <c r="E4" s="930"/>
    </row>
    <row r="5" spans="1:5" x14ac:dyDescent="0.25">
      <c r="A5" s="928" t="s">
        <v>1614</v>
      </c>
      <c r="B5" t="s">
        <v>1140</v>
      </c>
      <c r="C5" s="832" t="s">
        <v>7</v>
      </c>
      <c r="D5" s="929" t="s">
        <v>42</v>
      </c>
      <c r="E5" s="930"/>
    </row>
    <row r="6" spans="1:5" x14ac:dyDescent="0.25">
      <c r="A6" s="928" t="s">
        <v>172</v>
      </c>
      <c r="B6" t="s">
        <v>1294</v>
      </c>
      <c r="C6" s="832" t="s">
        <v>8</v>
      </c>
      <c r="E6" s="930" t="s">
        <v>652</v>
      </c>
    </row>
    <row r="7" spans="1:5" x14ac:dyDescent="0.25">
      <c r="A7" s="928" t="s">
        <v>173</v>
      </c>
      <c r="B7" t="s">
        <v>62</v>
      </c>
      <c r="C7" s="832" t="s">
        <v>177</v>
      </c>
      <c r="D7" t="s">
        <v>1596</v>
      </c>
    </row>
    <row r="8" spans="1:5" x14ac:dyDescent="0.25">
      <c r="A8" s="928" t="s">
        <v>1615</v>
      </c>
      <c r="B8" t="s">
        <v>1198</v>
      </c>
      <c r="C8" s="832" t="s">
        <v>9</v>
      </c>
      <c r="D8" t="s">
        <v>779</v>
      </c>
    </row>
    <row r="9" spans="1:5" x14ac:dyDescent="0.25">
      <c r="A9" s="928" t="s">
        <v>1616</v>
      </c>
      <c r="B9" t="s">
        <v>809</v>
      </c>
      <c r="C9" s="832" t="s">
        <v>10</v>
      </c>
      <c r="D9" s="905" t="s">
        <v>771</v>
      </c>
    </row>
    <row r="10" spans="1:5" x14ac:dyDescent="0.25">
      <c r="A10" s="928" t="s">
        <v>1617</v>
      </c>
      <c r="B10" t="s">
        <v>1280</v>
      </c>
      <c r="C10" s="832" t="s">
        <v>11</v>
      </c>
      <c r="D10" t="s">
        <v>656</v>
      </c>
    </row>
    <row r="11" spans="1:5" x14ac:dyDescent="0.25">
      <c r="A11" s="928" t="s">
        <v>1618</v>
      </c>
      <c r="B11" s="905" t="s">
        <v>1292</v>
      </c>
      <c r="C11" s="832" t="s">
        <v>12</v>
      </c>
      <c r="D11" s="905" t="s">
        <v>804</v>
      </c>
    </row>
    <row r="12" spans="1:5" x14ac:dyDescent="0.25">
      <c r="C12" s="832" t="s">
        <v>13</v>
      </c>
      <c r="D12" t="s">
        <v>1576</v>
      </c>
    </row>
    <row r="13" spans="1:5" x14ac:dyDescent="0.25">
      <c r="C13" s="832" t="s">
        <v>14</v>
      </c>
      <c r="D13" t="s">
        <v>783</v>
      </c>
    </row>
    <row r="14" spans="1:5" x14ac:dyDescent="0.25">
      <c r="C14" s="832" t="s">
        <v>15</v>
      </c>
      <c r="D14" t="s">
        <v>1440</v>
      </c>
    </row>
    <row r="15" spans="1:5" x14ac:dyDescent="0.25">
      <c r="C15" s="832" t="s">
        <v>16</v>
      </c>
      <c r="D15" s="905" t="s">
        <v>1577</v>
      </c>
    </row>
    <row r="16" spans="1:5" x14ac:dyDescent="0.25">
      <c r="C16" s="832" t="s">
        <v>17</v>
      </c>
      <c r="D16" t="s">
        <v>308</v>
      </c>
    </row>
    <row r="17" spans="3:5" x14ac:dyDescent="0.25">
      <c r="C17" s="832" t="s">
        <v>18</v>
      </c>
      <c r="D17" s="905" t="s">
        <v>1578</v>
      </c>
    </row>
    <row r="18" spans="3:5" x14ac:dyDescent="0.25">
      <c r="C18" s="832" t="s">
        <v>19</v>
      </c>
      <c r="D18" t="s">
        <v>1579</v>
      </c>
    </row>
    <row r="19" spans="3:5" x14ac:dyDescent="0.25">
      <c r="C19" s="832" t="s">
        <v>20</v>
      </c>
      <c r="D19" t="s">
        <v>1580</v>
      </c>
    </row>
    <row r="20" spans="3:5" x14ac:dyDescent="0.25">
      <c r="C20" s="832" t="s">
        <v>21</v>
      </c>
      <c r="D20" t="s">
        <v>1208</v>
      </c>
    </row>
    <row r="21" spans="3:5" x14ac:dyDescent="0.25">
      <c r="C21" s="832" t="s">
        <v>34</v>
      </c>
      <c r="D21" t="s">
        <v>566</v>
      </c>
    </row>
    <row r="22" spans="3:5" x14ac:dyDescent="0.25">
      <c r="C22" s="832" t="s">
        <v>35</v>
      </c>
      <c r="D22" t="s">
        <v>1439</v>
      </c>
    </row>
    <row r="23" spans="3:5" x14ac:dyDescent="0.25">
      <c r="C23" s="832" t="s">
        <v>36</v>
      </c>
      <c r="D23" t="s">
        <v>1457</v>
      </c>
    </row>
    <row r="24" spans="3:5" x14ac:dyDescent="0.25">
      <c r="C24" s="832" t="s">
        <v>37</v>
      </c>
      <c r="E24" t="s">
        <v>814</v>
      </c>
    </row>
    <row r="25" spans="3:5" x14ac:dyDescent="0.25">
      <c r="C25" s="832" t="s">
        <v>315</v>
      </c>
      <c r="D25" t="s">
        <v>739</v>
      </c>
    </row>
    <row r="26" spans="3:5" x14ac:dyDescent="0.25">
      <c r="C26" s="832" t="s">
        <v>175</v>
      </c>
      <c r="D26" s="905" t="s">
        <v>296</v>
      </c>
    </row>
    <row r="27" spans="3:5" x14ac:dyDescent="0.25">
      <c r="C27" s="832" t="s">
        <v>316</v>
      </c>
      <c r="D27" s="905" t="s">
        <v>1224</v>
      </c>
    </row>
    <row r="28" spans="3:5" x14ac:dyDescent="0.25">
      <c r="C28" s="832" t="s">
        <v>317</v>
      </c>
      <c r="D28" t="s">
        <v>568</v>
      </c>
    </row>
    <row r="29" spans="3:5" x14ac:dyDescent="0.25">
      <c r="C29" s="832" t="s">
        <v>318</v>
      </c>
      <c r="D29" t="s">
        <v>301</v>
      </c>
    </row>
    <row r="30" spans="3:5" x14ac:dyDescent="0.25">
      <c r="C30" s="832" t="s">
        <v>319</v>
      </c>
      <c r="D30" t="s">
        <v>49</v>
      </c>
    </row>
    <row r="31" spans="3:5" x14ac:dyDescent="0.25">
      <c r="C31" s="832" t="s">
        <v>320</v>
      </c>
      <c r="D31" t="s">
        <v>1581</v>
      </c>
    </row>
    <row r="32" spans="3:5" x14ac:dyDescent="0.25">
      <c r="C32" s="832" t="s">
        <v>321</v>
      </c>
      <c r="D32" t="s">
        <v>1582</v>
      </c>
    </row>
    <row r="33" spans="3:4" x14ac:dyDescent="0.25">
      <c r="C33" s="832" t="s">
        <v>322</v>
      </c>
      <c r="D33" t="s">
        <v>1588</v>
      </c>
    </row>
    <row r="34" spans="3:4" x14ac:dyDescent="0.25">
      <c r="C34" s="832" t="s">
        <v>323</v>
      </c>
      <c r="D34" t="s">
        <v>297</v>
      </c>
    </row>
    <row r="35" spans="3:4" x14ac:dyDescent="0.25">
      <c r="C35" s="832" t="s">
        <v>324</v>
      </c>
      <c r="D35" t="s">
        <v>1298</v>
      </c>
    </row>
    <row r="36" spans="3:4" x14ac:dyDescent="0.25">
      <c r="C36" s="832" t="s">
        <v>429</v>
      </c>
      <c r="D36" s="929" t="s">
        <v>1223</v>
      </c>
    </row>
    <row r="37" spans="3:4" x14ac:dyDescent="0.25">
      <c r="C37" s="832" t="s">
        <v>343</v>
      </c>
      <c r="D37" t="s">
        <v>561</v>
      </c>
    </row>
    <row r="38" spans="3:4" x14ac:dyDescent="0.25">
      <c r="C38" s="832" t="s">
        <v>344</v>
      </c>
      <c r="D38" s="929" t="s">
        <v>314</v>
      </c>
    </row>
    <row r="39" spans="3:4" x14ac:dyDescent="0.25">
      <c r="C39" s="832" t="s">
        <v>345</v>
      </c>
      <c r="D39" s="929" t="s">
        <v>61</v>
      </c>
    </row>
    <row r="40" spans="3:4" x14ac:dyDescent="0.25">
      <c r="C40" s="832" t="s">
        <v>565</v>
      </c>
      <c r="D40" t="s">
        <v>557</v>
      </c>
    </row>
    <row r="41" spans="3:4" x14ac:dyDescent="0.25">
      <c r="C41" s="832" t="s">
        <v>1126</v>
      </c>
      <c r="D41" t="s">
        <v>307</v>
      </c>
    </row>
    <row r="42" spans="3:4" x14ac:dyDescent="0.25">
      <c r="C42" s="832" t="s">
        <v>346</v>
      </c>
      <c r="D42" t="s">
        <v>300</v>
      </c>
    </row>
    <row r="43" spans="3:4" x14ac:dyDescent="0.25">
      <c r="C43" s="832" t="s">
        <v>347</v>
      </c>
      <c r="D43" t="s">
        <v>290</v>
      </c>
    </row>
    <row r="44" spans="3:4" x14ac:dyDescent="0.25">
      <c r="C44" s="832" t="s">
        <v>348</v>
      </c>
      <c r="D44" t="s">
        <v>68</v>
      </c>
    </row>
    <row r="45" spans="3:4" x14ac:dyDescent="0.25">
      <c r="C45" s="832" t="s">
        <v>349</v>
      </c>
      <c r="D45" t="s">
        <v>748</v>
      </c>
    </row>
    <row r="46" spans="3:4" x14ac:dyDescent="0.25">
      <c r="C46" s="832" t="s">
        <v>350</v>
      </c>
      <c r="D46" t="s">
        <v>749</v>
      </c>
    </row>
    <row r="47" spans="3:4" x14ac:dyDescent="0.25">
      <c r="C47" s="832" t="s">
        <v>351</v>
      </c>
      <c r="D47" s="905" t="s">
        <v>63</v>
      </c>
    </row>
    <row r="48" spans="3:4" x14ac:dyDescent="0.25">
      <c r="C48" s="832" t="s">
        <v>352</v>
      </c>
      <c r="D48" t="s">
        <v>299</v>
      </c>
    </row>
    <row r="49" spans="3:4" x14ac:dyDescent="0.25">
      <c r="C49" s="832" t="s">
        <v>556</v>
      </c>
      <c r="D49" s="905" t="s">
        <v>1226</v>
      </c>
    </row>
    <row r="50" spans="3:4" x14ac:dyDescent="0.25">
      <c r="C50" s="832" t="s">
        <v>353</v>
      </c>
      <c r="D50" t="s">
        <v>572</v>
      </c>
    </row>
    <row r="51" spans="3:4" x14ac:dyDescent="0.25">
      <c r="C51" s="832" t="s">
        <v>354</v>
      </c>
      <c r="D51" t="s">
        <v>1232</v>
      </c>
    </row>
    <row r="52" spans="3:4" x14ac:dyDescent="0.25">
      <c r="C52" s="832" t="s">
        <v>355</v>
      </c>
      <c r="D52" t="s">
        <v>1495</v>
      </c>
    </row>
    <row r="53" spans="3:4" x14ac:dyDescent="0.25">
      <c r="C53" s="832" t="s">
        <v>356</v>
      </c>
      <c r="D53" s="905" t="s">
        <v>1583</v>
      </c>
    </row>
    <row r="54" spans="3:4" x14ac:dyDescent="0.25">
      <c r="C54" s="832" t="s">
        <v>357</v>
      </c>
      <c r="D54" t="s">
        <v>1443</v>
      </c>
    </row>
    <row r="55" spans="3:4" x14ac:dyDescent="0.25">
      <c r="C55" s="832" t="s">
        <v>358</v>
      </c>
      <c r="D55" s="905" t="s">
        <v>1177</v>
      </c>
    </row>
    <row r="56" spans="3:4" x14ac:dyDescent="0.25">
      <c r="C56" s="832" t="s">
        <v>359</v>
      </c>
      <c r="D56" t="s">
        <v>658</v>
      </c>
    </row>
    <row r="57" spans="3:4" x14ac:dyDescent="0.25">
      <c r="C57" s="832" t="s">
        <v>360</v>
      </c>
      <c r="D57" s="905"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T01.2023</vt:lpstr>
      <vt:lpstr>Sheet1</vt:lpstr>
      <vt:lpstr>Anh Tuyet</vt:lpstr>
      <vt:lpstr>Sheet2</vt:lpstr>
      <vt:lpstr>BC!Print_Titles</vt:lpstr>
      <vt:lpstr>'BĐC-BC T01.2023'!Print_Titles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2023-10-03T01:13:24Z</cp:lastPrinted>
  <dcterms:created xsi:type="dcterms:W3CDTF">2007-10-11T08:38:52Z</dcterms:created>
  <dcterms:modified xsi:type="dcterms:W3CDTF">2023-11-14T09:29:46Z</dcterms:modified>
</cp:coreProperties>
</file>