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4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9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'!$A$12:$AM$68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111'!$A$12:$AD$21</definedName>
    <definedName name="_xlnm._FilterDatabase" localSheetId="3" hidden="1">'Y tế'!$A$12:$AL$14</definedName>
    <definedName name="_xlnm.Print_Titles" localSheetId="5">'BĐC T09-23'!$7:$8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AA68" i="18" l="1"/>
  <c r="U68" i="18"/>
  <c r="S68" i="18"/>
  <c r="L54" i="18" l="1"/>
  <c r="N54" i="18" s="1"/>
  <c r="S54" i="18" l="1"/>
  <c r="R54" i="18"/>
  <c r="P54" i="18"/>
  <c r="Q54" i="18"/>
  <c r="U54" i="18" s="1"/>
  <c r="AA54" i="18" s="1"/>
  <c r="N16" i="37" l="1"/>
  <c r="N17" i="37"/>
  <c r="N18" i="37"/>
  <c r="N19" i="37"/>
  <c r="N20" i="37"/>
  <c r="N13" i="37"/>
  <c r="L66" i="18" l="1"/>
  <c r="N66" i="18" s="1"/>
  <c r="S66" i="18" l="1"/>
  <c r="R66" i="18"/>
  <c r="Q66" i="18"/>
  <c r="P66" i="18"/>
  <c r="AA66" i="18" s="1"/>
  <c r="U66" i="18"/>
  <c r="K13" i="3" l="1"/>
  <c r="E37" i="18" l="1"/>
  <c r="L37" i="18"/>
  <c r="AB37" i="18"/>
  <c r="L19" i="18"/>
  <c r="N19" i="18" s="1"/>
  <c r="Q37" i="18" l="1"/>
  <c r="N37" i="18"/>
  <c r="Q19" i="18"/>
  <c r="R19" i="18"/>
  <c r="P19" i="18"/>
  <c r="P37" i="18"/>
  <c r="S37" i="18"/>
  <c r="U37" i="18" s="1"/>
  <c r="R37" i="18"/>
  <c r="S19" i="18"/>
  <c r="U19" i="18" s="1"/>
  <c r="AA19" i="18" l="1"/>
  <c r="AA37" i="18"/>
  <c r="I68" i="18"/>
  <c r="L18" i="18" l="1"/>
  <c r="N18" i="18" s="1"/>
  <c r="L65" i="18"/>
  <c r="J14" i="3"/>
  <c r="H14" i="3"/>
  <c r="G14" i="3"/>
  <c r="K14" i="3"/>
  <c r="S65" i="18" l="1"/>
  <c r="N65" i="18"/>
  <c r="R65" i="18"/>
  <c r="P18" i="18"/>
  <c r="R18" i="18"/>
  <c r="Q18" i="18"/>
  <c r="S18" i="18"/>
  <c r="P65" i="18"/>
  <c r="Q65" i="18"/>
  <c r="AB42" i="18"/>
  <c r="AB43" i="18"/>
  <c r="K21" i="18"/>
  <c r="U65" i="18" l="1"/>
  <c r="AA65" i="18" s="1"/>
  <c r="U18" i="18"/>
  <c r="AA18" i="18" s="1"/>
  <c r="AB36" i="18"/>
  <c r="L36" i="18" l="1"/>
  <c r="Q36" i="18" l="1"/>
  <c r="N36" i="18"/>
  <c r="R36" i="18"/>
  <c r="P36" i="18"/>
  <c r="S36" i="18"/>
  <c r="AB58" i="18"/>
  <c r="AB59" i="18"/>
  <c r="AB48" i="18"/>
  <c r="AB49" i="18"/>
  <c r="AB50" i="18"/>
  <c r="L49" i="18"/>
  <c r="AB60" i="18"/>
  <c r="AB61" i="18"/>
  <c r="L42" i="18"/>
  <c r="N42" i="18" s="1"/>
  <c r="L59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5" i="18"/>
  <c r="AB38" i="18"/>
  <c r="L35" i="1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AB64" i="18"/>
  <c r="L64" i="18"/>
  <c r="Z68" i="18"/>
  <c r="Y68" i="18"/>
  <c r="X68" i="18"/>
  <c r="W68" i="18"/>
  <c r="V68" i="18"/>
  <c r="T68" i="18"/>
  <c r="O68" i="18"/>
  <c r="H68" i="18"/>
  <c r="Y21" i="37"/>
  <c r="X21" i="37"/>
  <c r="W21" i="37"/>
  <c r="V21" i="37"/>
  <c r="T21" i="37"/>
  <c r="O21" i="37"/>
  <c r="J21" i="37"/>
  <c r="I21" i="37"/>
  <c r="H21" i="37"/>
  <c r="AB20" i="37"/>
  <c r="L20" i="37"/>
  <c r="AB19" i="37"/>
  <c r="L19" i="37"/>
  <c r="AB18" i="37"/>
  <c r="L18" i="37"/>
  <c r="S18" i="37" s="1"/>
  <c r="AB17" i="37"/>
  <c r="L17" i="37"/>
  <c r="S17" i="37" s="1"/>
  <c r="K21" i="37"/>
  <c r="AB16" i="37"/>
  <c r="L16" i="37"/>
  <c r="Q16" i="37" s="1"/>
  <c r="E16" i="37"/>
  <c r="AB15" i="37"/>
  <c r="L15" i="37"/>
  <c r="F15" i="37"/>
  <c r="AB14" i="37"/>
  <c r="L14" i="37"/>
  <c r="F14" i="37"/>
  <c r="AB13" i="37"/>
  <c r="L13" i="37"/>
  <c r="E13" i="37"/>
  <c r="L38" i="18"/>
  <c r="AB28" i="18"/>
  <c r="AB16" i="18"/>
  <c r="AB14" i="18"/>
  <c r="AB13" i="18"/>
  <c r="AB21" i="18"/>
  <c r="AB22" i="18"/>
  <c r="AB29" i="18"/>
  <c r="AB39" i="18"/>
  <c r="AB27" i="18"/>
  <c r="AB23" i="18"/>
  <c r="AB26" i="18"/>
  <c r="AB63" i="18"/>
  <c r="AB46" i="18"/>
  <c r="AB15" i="18"/>
  <c r="AB56" i="18"/>
  <c r="AB55" i="18"/>
  <c r="AB30" i="18"/>
  <c r="AB51" i="18"/>
  <c r="AB25" i="18"/>
  <c r="AB62" i="18"/>
  <c r="AB31" i="18"/>
  <c r="AB52" i="18"/>
  <c r="AB53" i="18"/>
  <c r="AB32" i="18"/>
  <c r="AB67" i="18"/>
  <c r="AB44" i="18"/>
  <c r="AB57" i="18"/>
  <c r="AB40" i="18"/>
  <c r="AB33" i="18"/>
  <c r="AB34" i="18"/>
  <c r="AB17" i="18"/>
  <c r="AB47" i="18"/>
  <c r="AB20" i="18"/>
  <c r="AB41" i="18"/>
  <c r="L22" i="18"/>
  <c r="L21" i="18"/>
  <c r="L41" i="18"/>
  <c r="F27" i="18"/>
  <c r="F14" i="18"/>
  <c r="F16" i="18"/>
  <c r="F28" i="18"/>
  <c r="L20" i="18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4" i="18"/>
  <c r="L17" i="18"/>
  <c r="L61" i="18"/>
  <c r="L47" i="18"/>
  <c r="L33" i="18"/>
  <c r="L57" i="18"/>
  <c r="N57" i="18" s="1"/>
  <c r="A28" i="36"/>
  <c r="O11" i="36"/>
  <c r="L40" i="18"/>
  <c r="L13" i="35"/>
  <c r="AG6" i="35"/>
  <c r="AG9" i="35" s="1"/>
  <c r="AF6" i="35"/>
  <c r="AF4" i="35"/>
  <c r="L44" i="18"/>
  <c r="N44" i="18" s="1"/>
  <c r="L67" i="18"/>
  <c r="N67" i="18" s="1"/>
  <c r="L32" i="18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8" i="18"/>
  <c r="L45" i="18"/>
  <c r="L28" i="18"/>
  <c r="L16" i="18"/>
  <c r="L14" i="18"/>
  <c r="L13" i="18"/>
  <c r="N13" i="18" s="1"/>
  <c r="L29" i="18"/>
  <c r="L39" i="18"/>
  <c r="L48" i="18"/>
  <c r="N48" i="18" s="1"/>
  <c r="L27" i="18"/>
  <c r="L23" i="18"/>
  <c r="L26" i="18"/>
  <c r="L46" i="18"/>
  <c r="L15" i="18"/>
  <c r="L56" i="18"/>
  <c r="L55" i="18"/>
  <c r="L43" i="18"/>
  <c r="L30" i="18"/>
  <c r="L51" i="18"/>
  <c r="L25" i="18"/>
  <c r="L62" i="18"/>
  <c r="L60" i="18"/>
  <c r="N60" i="18" s="1"/>
  <c r="L31" i="18"/>
  <c r="L52" i="18"/>
  <c r="L53" i="18"/>
  <c r="N53" i="18" s="1"/>
  <c r="L58" i="18"/>
  <c r="L50" i="18"/>
  <c r="L24" i="18"/>
  <c r="K63" i="18"/>
  <c r="L63" i="18" s="1"/>
  <c r="E39" i="18"/>
  <c r="E48" i="18"/>
  <c r="E26" i="18"/>
  <c r="E56" i="18"/>
  <c r="E55" i="18"/>
  <c r="E30" i="18"/>
  <c r="E51" i="18"/>
  <c r="E25" i="18"/>
  <c r="E62" i="18"/>
  <c r="E60" i="18"/>
  <c r="E31" i="18"/>
  <c r="E52" i="18"/>
  <c r="E53" i="18"/>
  <c r="E58" i="18"/>
  <c r="E50" i="18"/>
  <c r="AD24" i="18"/>
  <c r="AD45" i="18" s="1"/>
  <c r="I14" i="3"/>
  <c r="AG4" i="18"/>
  <c r="AG6" i="18"/>
  <c r="AG9" i="18" s="1"/>
  <c r="AH6" i="18"/>
  <c r="AH9" i="18" s="1"/>
  <c r="AB24" i="18"/>
  <c r="AB45" i="18"/>
  <c r="AF23" i="18"/>
  <c r="AD30" i="18"/>
  <c r="AE25" i="18"/>
  <c r="AE72" i="18"/>
  <c r="U15" i="18"/>
  <c r="U67" i="18"/>
  <c r="Q14" i="37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Q61" i="18"/>
  <c r="R57" i="18"/>
  <c r="R39" i="18"/>
  <c r="R19" i="37"/>
  <c r="R18" i="37"/>
  <c r="P13" i="37"/>
  <c r="Q59" i="18"/>
  <c r="R16" i="18"/>
  <c r="S39" i="18"/>
  <c r="L21" i="37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49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4" i="18"/>
  <c r="N49" i="18" l="1"/>
  <c r="P49" i="18" s="1"/>
  <c r="L68" i="18"/>
  <c r="R62" i="18"/>
  <c r="N62" i="18"/>
  <c r="Q43" i="18"/>
  <c r="N43" i="18"/>
  <c r="P43" i="18" s="1"/>
  <c r="N46" i="18"/>
  <c r="P46" i="18" s="1"/>
  <c r="N14" i="18"/>
  <c r="P14" i="18" s="1"/>
  <c r="R17" i="18"/>
  <c r="N17" i="18"/>
  <c r="Q41" i="18"/>
  <c r="N41" i="18"/>
  <c r="P41" i="18" s="1"/>
  <c r="R24" i="18"/>
  <c r="N24" i="18"/>
  <c r="S52" i="18"/>
  <c r="N52" i="18"/>
  <c r="P52" i="18" s="1"/>
  <c r="R25" i="18"/>
  <c r="N25" i="18"/>
  <c r="P25" i="18" s="1"/>
  <c r="R55" i="18"/>
  <c r="N55" i="18"/>
  <c r="P55" i="18" s="1"/>
  <c r="R26" i="18"/>
  <c r="N26" i="18"/>
  <c r="N39" i="18"/>
  <c r="P39" i="18" s="1"/>
  <c r="S16" i="18"/>
  <c r="N16" i="18"/>
  <c r="P16" i="18" s="1"/>
  <c r="Q40" i="18"/>
  <c r="N40" i="18"/>
  <c r="P40" i="18" s="1"/>
  <c r="Q33" i="18"/>
  <c r="N33" i="18"/>
  <c r="S34" i="18"/>
  <c r="N34" i="18"/>
  <c r="P34" i="18" s="1"/>
  <c r="S21" i="18"/>
  <c r="N21" i="18"/>
  <c r="S59" i="18"/>
  <c r="N59" i="18"/>
  <c r="P59" i="18" s="1"/>
  <c r="Q50" i="18"/>
  <c r="N50" i="18"/>
  <c r="P50" i="18" s="1"/>
  <c r="Q31" i="18"/>
  <c r="N31" i="18"/>
  <c r="P31" i="18" s="1"/>
  <c r="R51" i="18"/>
  <c r="N51" i="18"/>
  <c r="R56" i="18"/>
  <c r="N56" i="18"/>
  <c r="P56" i="18" s="1"/>
  <c r="S23" i="18"/>
  <c r="N23" i="18"/>
  <c r="Q29" i="18"/>
  <c r="N29" i="18"/>
  <c r="P29" i="18" s="1"/>
  <c r="N28" i="18"/>
  <c r="P28" i="18" s="1"/>
  <c r="Q32" i="18"/>
  <c r="N32" i="18"/>
  <c r="Q47" i="18"/>
  <c r="N47" i="18"/>
  <c r="P47" i="18" s="1"/>
  <c r="Q22" i="18"/>
  <c r="N22" i="18"/>
  <c r="Q64" i="18"/>
  <c r="N64" i="18"/>
  <c r="Q35" i="18"/>
  <c r="N35" i="18"/>
  <c r="Q16" i="18"/>
  <c r="U16" i="18" s="1"/>
  <c r="Q39" i="18"/>
  <c r="N58" i="18"/>
  <c r="R30" i="18"/>
  <c r="N30" i="18"/>
  <c r="P30" i="18" s="1"/>
  <c r="N15" i="18"/>
  <c r="P15" i="18" s="1"/>
  <c r="N27" i="18"/>
  <c r="P27" i="18" s="1"/>
  <c r="S45" i="18"/>
  <c r="N45" i="18"/>
  <c r="R61" i="18"/>
  <c r="N61" i="18"/>
  <c r="R20" i="18"/>
  <c r="N20" i="18"/>
  <c r="P20" i="18" s="1"/>
  <c r="Q38" i="18"/>
  <c r="N38" i="18"/>
  <c r="P38" i="18" s="1"/>
  <c r="S63" i="18"/>
  <c r="N63" i="18"/>
  <c r="R15" i="37"/>
  <c r="N15" i="37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U14" i="37" s="1"/>
  <c r="P45" i="18"/>
  <c r="R16" i="37"/>
  <c r="P15" i="37"/>
  <c r="S15" i="37"/>
  <c r="U15" i="37" s="1"/>
  <c r="S20" i="18"/>
  <c r="S61" i="18"/>
  <c r="U61" i="18" s="1"/>
  <c r="S56" i="18"/>
  <c r="Q51" i="18"/>
  <c r="S51" i="18"/>
  <c r="P61" i="18"/>
  <c r="Q55" i="18"/>
  <c r="Q42" i="18"/>
  <c r="P24" i="18"/>
  <c r="Q45" i="18"/>
  <c r="R45" i="18"/>
  <c r="S35" i="18"/>
  <c r="R63" i="18"/>
  <c r="S31" i="18"/>
  <c r="P42" i="18"/>
  <c r="P63" i="18"/>
  <c r="P32" i="18"/>
  <c r="R41" i="18"/>
  <c r="P33" i="18"/>
  <c r="R32" i="18"/>
  <c r="S32" i="18"/>
  <c r="R42" i="18"/>
  <c r="P35" i="18"/>
  <c r="R35" i="18"/>
  <c r="R44" i="18"/>
  <c r="S64" i="18"/>
  <c r="Q21" i="18"/>
  <c r="Q13" i="18"/>
  <c r="K68" i="18"/>
  <c r="U39" i="18"/>
  <c r="AG7" i="18"/>
  <c r="AG8" i="18" s="1"/>
  <c r="AG10" i="18" s="1"/>
  <c r="AG11" i="18" s="1"/>
  <c r="P48" i="18"/>
  <c r="S48" i="18"/>
  <c r="R48" i="18"/>
  <c r="Q48" i="18"/>
  <c r="S49" i="18"/>
  <c r="Q49" i="18"/>
  <c r="U36" i="18"/>
  <c r="AA36" i="18" s="1"/>
  <c r="P20" i="37"/>
  <c r="S20" i="37"/>
  <c r="Q34" i="18"/>
  <c r="S43" i="18"/>
  <c r="S25" i="18"/>
  <c r="S44" i="18"/>
  <c r="P13" i="18"/>
  <c r="Q17" i="18"/>
  <c r="S46" i="18"/>
  <c r="P64" i="18"/>
  <c r="AH7" i="18"/>
  <c r="AH8" i="18" s="1"/>
  <c r="AH10" i="18" s="1"/>
  <c r="AH11" i="18" s="1"/>
  <c r="R38" i="18"/>
  <c r="P17" i="18"/>
  <c r="S24" i="18"/>
  <c r="Q24" i="18"/>
  <c r="R43" i="18"/>
  <c r="R52" i="18"/>
  <c r="Q25" i="18"/>
  <c r="Q44" i="18"/>
  <c r="S17" i="18"/>
  <c r="P44" i="18"/>
  <c r="R64" i="18"/>
  <c r="S38" i="18"/>
  <c r="Q52" i="18"/>
  <c r="P23" i="18"/>
  <c r="R23" i="18"/>
  <c r="Q23" i="18"/>
  <c r="P62" i="18"/>
  <c r="S55" i="18"/>
  <c r="S53" i="18"/>
  <c r="R53" i="18"/>
  <c r="P53" i="18"/>
  <c r="P51" i="18"/>
  <c r="U13" i="37"/>
  <c r="AA13" i="37" s="1"/>
  <c r="Q20" i="37"/>
  <c r="R20" i="37"/>
  <c r="P18" i="37"/>
  <c r="Q18" i="37"/>
  <c r="U18" i="37" s="1"/>
  <c r="Q27" i="18"/>
  <c r="Q30" i="18"/>
  <c r="Q56" i="18"/>
  <c r="P67" i="18"/>
  <c r="AA67" i="18" s="1"/>
  <c r="S50" i="18"/>
  <c r="S33" i="18"/>
  <c r="S28" i="18"/>
  <c r="R46" i="18"/>
  <c r="P21" i="18"/>
  <c r="R28" i="18"/>
  <c r="Q63" i="18"/>
  <c r="Q28" i="18"/>
  <c r="R33" i="18"/>
  <c r="U33" i="18" s="1"/>
  <c r="Q20" i="18"/>
  <c r="S13" i="18"/>
  <c r="S42" i="18"/>
  <c r="Q46" i="18"/>
  <c r="S47" i="18"/>
  <c r="R31" i="18"/>
  <c r="R47" i="18"/>
  <c r="P58" i="18"/>
  <c r="Q62" i="18"/>
  <c r="S30" i="18"/>
  <c r="R21" i="18"/>
  <c r="R59" i="18"/>
  <c r="U59" i="18" s="1"/>
  <c r="Q53" i="18"/>
  <c r="S62" i="18"/>
  <c r="AA20" i="39"/>
  <c r="AA67" i="39"/>
  <c r="AF10" i="35"/>
  <c r="AF11" i="35" s="1"/>
  <c r="N14" i="33"/>
  <c r="P13" i="33"/>
  <c r="AA21" i="39"/>
  <c r="AA17" i="39"/>
  <c r="S60" i="18"/>
  <c r="Q60" i="18"/>
  <c r="S26" i="18"/>
  <c r="Q26" i="18"/>
  <c r="P26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60" i="18"/>
  <c r="R60" i="18"/>
  <c r="AB34" i="38"/>
  <c r="AA26" i="39"/>
  <c r="AA25" i="39"/>
  <c r="V25" i="38"/>
  <c r="AB44" i="38"/>
  <c r="AA16" i="39"/>
  <c r="AA49" i="39"/>
  <c r="V22" i="38"/>
  <c r="R29" i="18"/>
  <c r="S29" i="18"/>
  <c r="R40" i="18"/>
  <c r="S40" i="18"/>
  <c r="Q17" i="37"/>
  <c r="P17" i="37"/>
  <c r="R17" i="37"/>
  <c r="P19" i="37"/>
  <c r="S19" i="37"/>
  <c r="Q19" i="37"/>
  <c r="AI9" i="38"/>
  <c r="AI8" i="38"/>
  <c r="P22" i="18"/>
  <c r="S22" i="18"/>
  <c r="R22" i="18"/>
  <c r="U16" i="37"/>
  <c r="AA16" i="37" s="1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0" i="18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7" i="18"/>
  <c r="R27" i="18"/>
  <c r="S57" i="18"/>
  <c r="Q57" i="18"/>
  <c r="P57" i="18"/>
  <c r="S41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R13" i="18"/>
  <c r="U49" i="18" l="1"/>
  <c r="AA49" i="18" s="1"/>
  <c r="AA15" i="18"/>
  <c r="P68" i="18"/>
  <c r="AA39" i="18"/>
  <c r="AA16" i="18"/>
  <c r="U34" i="18"/>
  <c r="AA14" i="37"/>
  <c r="AA15" i="37"/>
  <c r="AA61" i="18"/>
  <c r="AA34" i="18"/>
  <c r="U64" i="18"/>
  <c r="AA64" i="18" s="1"/>
  <c r="U63" i="18"/>
  <c r="AA63" i="18" s="1"/>
  <c r="U51" i="18"/>
  <c r="U20" i="18"/>
  <c r="AA20" i="18" s="1"/>
  <c r="U35" i="18"/>
  <c r="AA35" i="18" s="1"/>
  <c r="U55" i="18"/>
  <c r="AA55" i="18" s="1"/>
  <c r="P13" i="35"/>
  <c r="U45" i="18"/>
  <c r="AA45" i="18" s="1"/>
  <c r="U56" i="18"/>
  <c r="AA56" i="18" s="1"/>
  <c r="U25" i="18"/>
  <c r="AA25" i="18" s="1"/>
  <c r="U17" i="18"/>
  <c r="AA17" i="18" s="1"/>
  <c r="U32" i="18"/>
  <c r="AA32" i="18" s="1"/>
  <c r="S21" i="37"/>
  <c r="AA18" i="37"/>
  <c r="U41" i="18"/>
  <c r="AA41" i="18" s="1"/>
  <c r="U21" i="18"/>
  <c r="AA21" i="18" s="1"/>
  <c r="U43" i="18"/>
  <c r="AA43" i="18" s="1"/>
  <c r="U31" i="18"/>
  <c r="AA31" i="18" s="1"/>
  <c r="U30" i="18"/>
  <c r="AA30" i="18" s="1"/>
  <c r="U13" i="35"/>
  <c r="Q14" i="35"/>
  <c r="U42" i="18"/>
  <c r="AA42" i="18" s="1"/>
  <c r="AA33" i="18"/>
  <c r="U50" i="18"/>
  <c r="AA50" i="18" s="1"/>
  <c r="U44" i="18"/>
  <c r="AA44" i="18" s="1"/>
  <c r="U58" i="18"/>
  <c r="AA58" i="18" s="1"/>
  <c r="U28" i="18"/>
  <c r="AA28" i="18" s="1"/>
  <c r="U52" i="18"/>
  <c r="AA52" i="18" s="1"/>
  <c r="U47" i="18"/>
  <c r="AA47" i="18" s="1"/>
  <c r="U24" i="18"/>
  <c r="AA24" i="18" s="1"/>
  <c r="U48" i="18"/>
  <c r="AA48" i="18" s="1"/>
  <c r="Q68" i="18"/>
  <c r="R21" i="37"/>
  <c r="U40" i="18"/>
  <c r="AA40" i="18" s="1"/>
  <c r="U53" i="18"/>
  <c r="AA53" i="18" s="1"/>
  <c r="AA51" i="18"/>
  <c r="U22" i="18"/>
  <c r="AA22" i="18" s="1"/>
  <c r="U23" i="18"/>
  <c r="AA23" i="18" s="1"/>
  <c r="U38" i="18"/>
  <c r="AA38" i="18" s="1"/>
  <c r="U62" i="18"/>
  <c r="AA62" i="18" s="1"/>
  <c r="U46" i="18"/>
  <c r="AA46" i="18" s="1"/>
  <c r="U20" i="37"/>
  <c r="AA20" i="37" s="1"/>
  <c r="N21" i="37"/>
  <c r="AA59" i="18"/>
  <c r="U27" i="18"/>
  <c r="AA27" i="18" s="1"/>
  <c r="U29" i="18"/>
  <c r="AA29" i="18" s="1"/>
  <c r="AA53" i="39"/>
  <c r="P35" i="39"/>
  <c r="AA35" i="39" s="1"/>
  <c r="N69" i="39"/>
  <c r="O62" i="38"/>
  <c r="S69" i="39"/>
  <c r="U14" i="18"/>
  <c r="AA14" i="18" s="1"/>
  <c r="V38" i="38"/>
  <c r="AB38" i="38" s="1"/>
  <c r="U19" i="37"/>
  <c r="AA19" i="37" s="1"/>
  <c r="U26" i="18"/>
  <c r="AA26" i="18" s="1"/>
  <c r="AB14" i="38"/>
  <c r="Q62" i="38"/>
  <c r="U13" i="33"/>
  <c r="U14" i="33" s="1"/>
  <c r="R14" i="33"/>
  <c r="AB37" i="38"/>
  <c r="P21" i="37"/>
  <c r="U13" i="18"/>
  <c r="AB54" i="38"/>
  <c r="U22" i="39"/>
  <c r="Q69" i="39"/>
  <c r="V56" i="38"/>
  <c r="AH10" i="39"/>
  <c r="AH11" i="39" s="1"/>
  <c r="Q21" i="37"/>
  <c r="U17" i="37"/>
  <c r="P69" i="39"/>
  <c r="V62" i="38"/>
  <c r="U60" i="18"/>
  <c r="AA60" i="18" s="1"/>
  <c r="P14" i="33"/>
  <c r="Z13" i="33"/>
  <c r="Z14" i="33" s="1"/>
  <c r="AB59" i="38"/>
  <c r="V24" i="38"/>
  <c r="AB24" i="38" s="1"/>
  <c r="S62" i="38"/>
  <c r="V36" i="38"/>
  <c r="AB36" i="38" s="1"/>
  <c r="U57" i="18"/>
  <c r="AA57" i="18" s="1"/>
  <c r="U69" i="39"/>
  <c r="AA22" i="39"/>
  <c r="AB56" i="38"/>
  <c r="AI10" i="38"/>
  <c r="AI11" i="38" s="1"/>
  <c r="AA13" i="39"/>
  <c r="AA69" i="39" s="1"/>
  <c r="AB13" i="38"/>
  <c r="S14" i="35" l="1"/>
  <c r="P14" i="35"/>
  <c r="R68" i="18"/>
  <c r="Z13" i="35"/>
  <c r="Z14" i="35" s="1"/>
  <c r="U14" i="35"/>
  <c r="N68" i="18"/>
  <c r="U21" i="37"/>
  <c r="AA17" i="37"/>
  <c r="AA21" i="37" s="1"/>
  <c r="AB62" i="38"/>
  <c r="AA13" i="18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Windows 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17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- 5.733.201 từ ngày 01/12/2023</t>
        </r>
      </text>
    </comment>
    <comment ref="I19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- 4.680.000 từ 01/9/2023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I22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2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D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45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I47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- 5.733.201 từ ngày 01/12/2023</t>
        </r>
      </text>
    </comment>
    <comment ref="H48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5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53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54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- 5,358,132 từ 01/11/2023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01/8/2023</t>
        </r>
      </text>
    </comment>
    <comment ref="S55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57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- 5.733.201 từ 01/11/2023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6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66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- 5.007.600 từ ngày 01/10/2023
</t>
        </r>
      </text>
    </comment>
    <comment ref="I6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<sst xmlns="http://schemas.openxmlformats.org/spreadsheetml/2006/main" count="1553" uniqueCount="452">
  <si>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</si>
  <si>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</si>
  <si>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</si>
  <si>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</si>
  <si>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</si>
  <si>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</si>
  <si>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</si>
  <si>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</si>
  <si>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</si>
  <si>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</si>
  <si>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</si>
  <si>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</si>
  <si>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</si>
  <si>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</si>
  <si>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</si>
  <si>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</si>
  <si>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</si>
  <si>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</si>
  <si>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</si>
  <si>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</si>
  <si>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</si>
  <si>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</si>
  <si>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</si>
  <si>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</si>
  <si>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</si>
  <si>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</si>
  <si>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</si>
  <si>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</si>
  <si>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</si>
  <si>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</si>
  <si>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</si>
  <si>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</si>
  <si>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</si>
  <si>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</si>
  <si>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</si>
  <si>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</si>
  <si>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</si>
  <si>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</si>
  <si>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</si>
  <si>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</si>
  <si>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</si>
  <si>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</si>
  <si>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</si>
  <si>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</si>
  <si>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</si>
  <si>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</si>
  <si>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</si>
  <si>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</si>
  <si>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</si>
  <si>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</si>
  <si>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</si>
  <si>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</si>
  <si>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</si>
  <si>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</si>
  <si>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</si>
  <si>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</si>
  <si>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</si>
  <si>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</si>
  <si>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</si>
  <si>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</si>
  <si>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</si>
  <si>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</si>
  <si>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</si>
  <si>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</si>
  <si>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</si>
  <si>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</si>
  <si>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</si>
  <si>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</si>
  <si>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</si>
  <si>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</si>
  <si>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</si>
  <si>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</si>
  <si>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</si>
  <si>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</si>
  <si>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</si>
  <si>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</si>
  <si>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</si>
  <si>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</si>
  <si>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</si>
  <si>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</si>
  <si>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</si>
  <si>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</si>
  <si>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</si>
  <si>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</si>
  <si>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</si>
  <si>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</si>
  <si>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</si>
  <si>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</si>
  <si>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</si>
  <si>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</si>
  <si>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</si>
  <si>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</si>
  <si>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</si>
  <si>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</si>
  <si>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</si>
  <si>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</si>
  <si>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</si>
  <si>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</si>
  <si>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</si>
  <si>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</si>
  <si>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</si>
  <si>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</si>
  <si>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</si>
  <si>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</si>
  <si>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</si>
  <si>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</si>
  <si>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</si>
  <si>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</si>
  <si>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</si>
  <si>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</si>
  <si>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</si>
  <si>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</si>
  <si>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</si>
  <si>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</si>
  <si>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</si>
  <si>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</si>
  <si>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</si>
  <si>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</si>
  <si>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</si>
  <si>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</si>
  <si>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</si>
  <si>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</si>
  <si>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</si>
  <si>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</si>
  <si>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</si>
  <si>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</si>
  <si>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</si>
  <si>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</si>
  <si>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</si>
  <si>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</si>
  <si>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</si>
  <si>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</si>
  <si>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</si>
  <si>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</si>
  <si>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</si>
  <si>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</si>
  <si>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</si>
  <si>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</si>
  <si>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</si>
  <si>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</si>
  <si>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</si>
  <si>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</si>
  <si>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</si>
  <si>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</si>
  <si>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</si>
  <si>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</si>
  <si>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</si>
  <si>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</si>
  <si>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</si>
  <si>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</si>
  <si>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</si>
  <si>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</si>
  <si>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</si>
  <si>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</si>
  <si>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</si>
  <si>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</si>
  <si>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</si>
  <si>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</si>
  <si>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</si>
  <si>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</si>
  <si>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</si>
  <si>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</si>
  <si>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</si>
  <si>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</si>
  <si>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</si>
  <si>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</si>
  <si>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</si>
  <si>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</si>
  <si>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</si>
  <si>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</si>
  <si>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</si>
  <si>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</si>
  <si>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</si>
  <si>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</si>
  <si>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</si>
  <si>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</si>
  <si>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</si>
  <si>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</si>
  <si>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</si>
  <si>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</si>
  <si>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</si>
  <si>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</si>
  <si>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</si>
  <si>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</si>
  <si>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</si>
  <si>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</si>
  <si>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</si>
  <si>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</si>
  <si>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</si>
  <si>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</si>
  <si>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</si>
  <si>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</si>
  <si>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</si>
  <si>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</si>
  <si>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</si>
  <si>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</si>
  <si>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</si>
  <si>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</si>
  <si>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</si>
  <si>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</si>
  <si>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</si>
  <si>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</si>
  <si>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</si>
  <si>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</si>
  <si>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</si>
  <si>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</si>
  <si>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</si>
  <si>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</si>
  <si>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</si>
  <si>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</si>
  <si>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</si>
  <si>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</si>
  <si>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</si>
  <si>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</si>
  <si>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</si>
  <si>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</si>
  <si>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</si>
  <si>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</si>
  <si>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</si>
  <si>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</si>
  <si>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</si>
  <si>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</si>
  <si>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</si>
  <si>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</si>
  <si>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</si>
  <si>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</si>
  <si>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</si>
  <si>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</si>
  <si>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</si>
  <si>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</si>
  <si>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</si>
  <si>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</si>
  <si>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</si>
  <si>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</si>
  <si>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</si>
  <si>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</si>
  <si>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</si>
  <si>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</si>
  <si>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</si>
  <si>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</si>
  <si>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</si>
  <si>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</si>
  <si>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</si>
  <si>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</si>
  <si>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</si>
  <si>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</si>
  <si>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</si>
  <si>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</si>
  <si>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</si>
  <si>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</si>
  <si>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</si>
  <si>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</si>
  <si>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</si>
  <si>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</si>
  <si>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</si>
  <si>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</si>
  <si>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</si>
  <si>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</si>
  <si>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</si>
  <si>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</si>
  <si>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</si>
  <si>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</si>
  <si>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</si>
  <si>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</si>
  <si>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</si>
  <si>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</si>
  <si>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</si>
  <si>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</si>
  <si>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</si>
  <si>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</si>
  <si>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</si>
  <si>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</si>
  <si>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</si>
  <si>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</si>
  <si>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</si>
  <si>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</si>
  <si>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</si>
  <si>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</si>
  <si>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</si>
  <si>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</si>
  <si>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</si>
  <si>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</si>
  <si>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</si>
  <si>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</si>
  <si>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</si>
  <si>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</si>
  <si>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</si>
  <si>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</si>
  <si>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</si>
  <si>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</si>
  <si>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</si>
  <si>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</si>
  <si>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</si>
  <si>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</si>
  <si>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</si>
  <si>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</si>
  <si>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</si>
  <si>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</si>
  <si>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</si>
  <si>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</si>
  <si>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</si>
  <si>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</si>
  <si>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</si>
  <si>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</si>
  <si>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</si>
  <si>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</si>
  <si>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</si>
  <si>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</si>
  <si>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</si>
  <si>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</si>
  <si>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</si>
  <si>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</si>
  <si>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</si>
  <si>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</si>
  <si>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</si>
  <si>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</si>
  <si>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</si>
  <si>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</si>
  <si>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</si>
  <si>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</si>
  <si>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</si>
  <si>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</si>
  <si>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</si>
  <si>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</si>
  <si>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</si>
  <si>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</si>
  <si>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</si>
  <si>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</si>
  <si>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</si>
  <si>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</si>
  <si>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</si>
  <si>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</si>
  <si>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</si>
  <si>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</si>
  <si>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</si>
  <si>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</si>
  <si>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</si>
  <si>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</si>
  <si>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</si>
  <si>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</si>
  <si>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</si>
  <si>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</si>
  <si>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</si>
  <si>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</si>
  <si>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</si>
  <si>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</si>
  <si>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</si>
  <si>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</si>
  <si>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</si>
  <si>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</si>
  <si>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</si>
  <si>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</si>
  <si>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</si>
  <si>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</si>
  <si>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</si>
  <si>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</si>
  <si>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</si>
  <si>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</si>
  <si>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</si>
  <si>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</si>
  <si>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</si>
  <si>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</si>
  <si>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</si>
  <si>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</si>
  <si>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</si>
  <si>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</si>
  <si>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</si>
  <si>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</si>
  <si>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</si>
  <si>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</si>
  <si>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</si>
  <si>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</si>
  <si>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</si>
  <si>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</si>
  <si>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</si>
  <si>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</si>
  <si>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</si>
  <si>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</si>
  <si>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</si>
  <si>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</si>
  <si>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</si>
  <si>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</si>
  <si>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</si>
  <si>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</si>
  <si>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</si>
  <si>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</si>
  <si>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</si>
  <si>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</si>
  <si>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</si>
  <si>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</si>
  <si>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</si>
  <si>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</si>
  <si>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</si>
  <si>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</si>
  <si>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</si>
  <si>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</si>
  <si>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</si>
  <si>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</si>
  <si>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</si>
  <si>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</si>
  <si>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</si>
  <si>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</si>
  <si>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</si>
  <si>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</si>
  <si>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</si>
  <si>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</si>
  <si>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</si>
  <si>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</si>
  <si>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</si>
  <si>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</si>
  <si>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</si>
  <si>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</si>
  <si>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Phòng Tổ chức - Hành chính - Tổng hợp</t>
  </si>
  <si>
    <t>Trần Thanh Cường</t>
  </si>
  <si>
    <t>HĐLĐ từ 10/07/2023</t>
  </si>
  <si>
    <t>Nguyễn Hoàng Hải</t>
  </si>
  <si>
    <t>HĐLĐ từ 10/7/2023</t>
  </si>
  <si>
    <t>Thành phố Hồ Chí Minh, ngày 01 tháng 8 năm 2022</t>
  </si>
  <si>
    <t>HĐLĐ từ 01/8/2023</t>
  </si>
  <si>
    <t>TRUY LÃNH TIỀN LƯƠNG THÁNG 7 NĂM 2023</t>
  </si>
  <si>
    <t>Hai triệu tám trăm hai mươi ba ngàn sáu trăm đồng.</t>
  </si>
  <si>
    <t>HĐLĐ từ 01/9/2023</t>
  </si>
  <si>
    <t>Vũ Anh Hiếu</t>
  </si>
  <si>
    <t>Nhân viên Bảo vệ</t>
  </si>
  <si>
    <t>01
NĐ 111</t>
  </si>
  <si>
    <t>Phòng Quản trị - Dịch vụ</t>
  </si>
  <si>
    <t>Lương Công Phi</t>
  </si>
  <si>
    <t>Nhân viên TT Điều hành và QL DL</t>
  </si>
  <si>
    <t>HĐLĐ từ 01/10/2023</t>
  </si>
  <si>
    <t>Nhân viên Trung tâm Đào tạo và Quản lý TB</t>
  </si>
  <si>
    <t>Tháng 11/2023</t>
  </si>
  <si>
    <t>TT Đào tạo và Quản lý thiết bị</t>
  </si>
  <si>
    <t>Phòng Thanh tra Giáo dục - Công tác Sinh viên</t>
  </si>
  <si>
    <t>Trần Nhật Thịnh</t>
  </si>
  <si>
    <t>HĐLĐ từ 01/11/2023</t>
  </si>
  <si>
    <t>HĐ Thử việc từ 02/10/2023 đến hết 31/10/2023</t>
  </si>
  <si>
    <t>KHỐI CHUYÊN NGHIỆP LÃNH TIỀN LƯƠNG THỬ VIỆC THÁNG 10/2023</t>
  </si>
  <si>
    <t>Thành phố Hồ Chí Minh, ngày 01 tháng 11 năm 2023</t>
  </si>
  <si>
    <t>Bốn triệu năm trăm năm mươi bốn ngàn bốn trăm mười hai đồng.</t>
  </si>
  <si>
    <t>Nghỉ bệnh hưởng BHXH từ 01/11 đến 20/11/23</t>
  </si>
  <si>
    <t xml:space="preserve">Nghỉ bệnh hưởng chế độ BHXH từ ngày 01/11/2023 đến hết ngày 20/11/2023/2023 </t>
  </si>
  <si>
    <t>QĐ Nâng lương thường xuyên từ ngày 01/12/2023</t>
  </si>
  <si>
    <t>QĐ Số 734/QĐ-LTT-TC ngày 09/11/2023 về nghỉ việc hưởng chế độ hưu trí trước tuổi từ ngày 01/12/2023. Ông Lý không còn tên trên BL T12/2023 của Trường.</t>
  </si>
  <si>
    <t>Tháng 12/2023</t>
  </si>
  <si>
    <t>BẢNG ĐIỀU CHỈNH THAY ĐỔI LƯƠNG THÁNG 12/2023</t>
  </si>
  <si>
    <t>Thành phố Hồ Chí Minh, ngày 01 tháng 12 năm 2023</t>
  </si>
  <si>
    <t>LÃNH TIỀN LƯƠNG THÁNG 12 NĂM 2023</t>
  </si>
  <si>
    <t>Ba mươi lăm triệu bốn trăm tám mươi chín ngàn không trăm tám mươi ba đồng.</t>
  </si>
  <si>
    <t>Nghỉ không hưởng lương</t>
  </si>
  <si>
    <t>Nghỉ không hưởng lương ngày 3,5,11,12,18,23,24,31/10. Từ ngày 11/11 đến 30/11/2023</t>
  </si>
  <si>
    <t>QĐ Nâng lương thường xuyên từ ngày 01/11/2023</t>
  </si>
  <si>
    <t>Ba trăm lẻ sáu triệu không trăm bốn mươi chín ngàn sáu trăm sáu mươi bốn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</si>
</sst>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3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98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applyFont="1" applyFill="1" applyBorder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0" fontId="5" fillId="20" borderId="12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/>
    </xf>
    <xf numFmtId="0" fontId="1" fillId="20" borderId="15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43" fillId="22" borderId="28" xfId="0" quotePrefix="1" applyFont="1" applyFill="1" applyBorder="1" applyAlignment="1">
      <alignment horizontal="center" vertical="center"/>
    </xf>
    <xf numFmtId="0" fontId="43" fillId="22" borderId="22" xfId="0" applyFont="1" applyFill="1" applyBorder="1" applyAlignment="1">
      <alignment vertical="center"/>
    </xf>
    <xf numFmtId="0" fontId="43" fillId="22" borderId="29" xfId="0" applyFont="1" applyFill="1" applyBorder="1" applyAlignment="1">
      <alignment vertical="center"/>
    </xf>
    <xf numFmtId="0" fontId="4" fillId="22" borderId="28" xfId="0" applyFont="1" applyFill="1" applyBorder="1" applyAlignment="1">
      <alignment horizontal="center" vertical="center" wrapText="1"/>
    </xf>
    <xf numFmtId="0" fontId="13" fillId="22" borderId="28" xfId="0" applyFont="1" applyFill="1" applyBorder="1" applyAlignment="1">
      <alignment horizontal="center" vertical="center" wrapText="1"/>
    </xf>
    <xf numFmtId="0" fontId="69" fillId="22" borderId="28" xfId="0" applyFont="1" applyFill="1" applyBorder="1" applyAlignment="1">
      <alignment vertical="center"/>
    </xf>
    <xf numFmtId="1" fontId="49" fillId="22" borderId="28" xfId="0" quotePrefix="1" applyNumberFormat="1" applyFont="1" applyFill="1" applyBorder="1" applyAlignment="1">
      <alignment horizontal="center" vertical="center"/>
    </xf>
    <xf numFmtId="1" fontId="4" fillId="22" borderId="28" xfId="0" applyNumberFormat="1" applyFont="1" applyFill="1" applyBorder="1" applyAlignment="1">
      <alignment horizontal="center" vertical="center"/>
    </xf>
    <xf numFmtId="3" fontId="4" fillId="22" borderId="28" xfId="0" applyNumberFormat="1" applyFont="1" applyFill="1" applyBorder="1" applyAlignment="1">
      <alignment vertical="center"/>
    </xf>
    <xf numFmtId="3" fontId="4" fillId="22" borderId="28" xfId="0" applyNumberFormat="1" applyFont="1" applyFill="1" applyBorder="1" applyAlignment="1">
      <alignment horizontal="center" vertical="center"/>
    </xf>
    <xf numFmtId="3" fontId="4" fillId="22" borderId="22" xfId="0" applyNumberFormat="1" applyFont="1" applyFill="1" applyBorder="1" applyAlignment="1">
      <alignment vertical="center"/>
    </xf>
    <xf numFmtId="172" fontId="4" fillId="22" borderId="22" xfId="0" applyNumberFormat="1" applyFont="1" applyFill="1" applyBorder="1" applyAlignment="1">
      <alignment vertical="center"/>
    </xf>
    <xf numFmtId="0" fontId="4" fillId="22" borderId="22" xfId="0" applyFont="1" applyFill="1" applyBorder="1" applyAlignment="1">
      <alignment horizontal="center" vertical="center"/>
    </xf>
    <xf numFmtId="3" fontId="4" fillId="22" borderId="29" xfId="0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13" fillId="20" borderId="20" xfId="0" applyFont="1" applyFill="1" applyBorder="1" applyAlignment="1">
      <alignment vertical="center" wrapText="1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3" fontId="9" fillId="20" borderId="20" xfId="0" applyNumberFormat="1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0" xfId="0" applyFont="1" applyFill="1"/>
    <xf numFmtId="0" fontId="43" fillId="0" borderId="0" xfId="0" applyFont="1" applyFill="1" applyAlignment="1">
      <alignment horizontal="center"/>
    </xf>
    <xf numFmtId="0" fontId="9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7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7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341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1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598" t="s">
        <v>186</v>
      </c>
      <c r="B2" s="598"/>
      <c r="C2" s="598"/>
      <c r="D2" s="598"/>
      <c r="E2" s="598"/>
      <c r="F2" s="598"/>
      <c r="G2" s="598"/>
      <c r="H2" s="598"/>
      <c r="I2" s="18"/>
      <c r="J2" s="342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2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599"/>
      <c r="D3" s="599"/>
      <c r="E3" s="4"/>
      <c r="F3" s="37"/>
      <c r="G3" s="4"/>
      <c r="H3" s="45"/>
      <c r="I3" s="45"/>
      <c r="J3" s="378"/>
      <c r="L3" s="45"/>
      <c r="M3" s="45"/>
      <c r="N3" s="45"/>
      <c r="O3" s="45"/>
      <c r="P3" s="45"/>
      <c r="Q3" s="45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600"/>
      <c r="AE3" s="45"/>
      <c r="AF3" s="4"/>
      <c r="AG3" s="599"/>
      <c r="AH3" s="599"/>
      <c r="AI3" s="601"/>
      <c r="AJ3" s="601"/>
    </row>
    <row r="4" spans="1:39" ht="22.5" customHeight="1">
      <c r="A4" s="602" t="s">
        <v>191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602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02" t="s">
        <v>368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602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603"/>
      <c r="E6" s="603"/>
      <c r="F6" s="603"/>
      <c r="G6" s="603"/>
      <c r="H6" s="603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3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343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3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04"/>
      <c r="E8" s="604"/>
      <c r="F8" s="604"/>
      <c r="G8" s="604"/>
      <c r="H8" s="604"/>
      <c r="I8" s="52"/>
      <c r="J8" s="344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4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4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3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272</v>
      </c>
      <c r="I10" s="613" t="s">
        <v>180</v>
      </c>
      <c r="J10" s="615" t="s">
        <v>371</v>
      </c>
      <c r="K10" s="613" t="s">
        <v>268</v>
      </c>
      <c r="L10" s="613" t="s">
        <v>269</v>
      </c>
      <c r="M10" s="613" t="s">
        <v>170</v>
      </c>
      <c r="N10" s="615"/>
      <c r="O10" s="607" t="s">
        <v>148</v>
      </c>
      <c r="P10" s="607" t="s">
        <v>149</v>
      </c>
      <c r="Q10" s="611" t="s">
        <v>150</v>
      </c>
      <c r="R10" s="617" t="s">
        <v>67</v>
      </c>
      <c r="S10" s="618"/>
      <c r="T10" s="618"/>
      <c r="U10" s="618"/>
      <c r="V10" s="619"/>
      <c r="W10" s="620" t="s">
        <v>168</v>
      </c>
      <c r="X10" s="621"/>
      <c r="Y10" s="620" t="s">
        <v>169</v>
      </c>
      <c r="Z10" s="621"/>
      <c r="AA10" s="622" t="s">
        <v>274</v>
      </c>
      <c r="AB10" s="611" t="s">
        <v>154</v>
      </c>
      <c r="AC10" s="624" t="s">
        <v>5</v>
      </c>
      <c r="AD10" s="625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28"/>
      <c r="AL10" s="87"/>
      <c r="AM10" s="79"/>
    </row>
    <row r="11" spans="1:39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6"/>
      <c r="K11" s="614"/>
      <c r="L11" s="614"/>
      <c r="M11" s="614"/>
      <c r="N11" s="616"/>
      <c r="O11" s="608"/>
      <c r="P11" s="608"/>
      <c r="Q11" s="612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0" t="s">
        <v>170</v>
      </c>
      <c r="Y11" s="138" t="s">
        <v>85</v>
      </c>
      <c r="Z11" s="340" t="s">
        <v>170</v>
      </c>
      <c r="AA11" s="623"/>
      <c r="AB11" s="612"/>
      <c r="AC11" s="626"/>
      <c r="AD11" s="627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28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79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63" t="s">
        <v>362</v>
      </c>
      <c r="AB12" s="254" t="s">
        <v>363</v>
      </c>
      <c r="AC12" s="629" t="s">
        <v>172</v>
      </c>
      <c r="AD12" s="630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77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380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66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67"/>
      <c r="AE13" s="102" t="s">
        <v>233</v>
      </c>
      <c r="AF13" s="120"/>
      <c r="AG13" s="116"/>
      <c r="AL13" s="376"/>
    </row>
    <row r="14" spans="1:39" s="377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1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76"/>
      <c r="AF14" s="376"/>
      <c r="AL14" s="376"/>
    </row>
    <row r="15" spans="1:39" s="377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1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68"/>
      <c r="AF15" s="232"/>
      <c r="AG15" s="232"/>
      <c r="AH15" s="110"/>
      <c r="AI15" s="110"/>
      <c r="AL15" s="111"/>
    </row>
    <row r="16" spans="1:39" s="377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1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76"/>
      <c r="AF16" s="376"/>
      <c r="AL16" s="376"/>
    </row>
    <row r="17" spans="1:38" s="377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1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76"/>
    </row>
    <row r="18" spans="1:38" s="377" customFormat="1" ht="42.75" customHeight="1">
      <c r="A18" s="202" t="s">
        <v>37</v>
      </c>
      <c r="B18" s="94" t="s">
        <v>320</v>
      </c>
      <c r="C18" s="95"/>
      <c r="D18" s="112" t="s">
        <v>246</v>
      </c>
      <c r="E18" s="227" t="s">
        <v>337</v>
      </c>
      <c r="F18" s="336" t="s">
        <v>338</v>
      </c>
      <c r="G18" s="97" t="s">
        <v>244</v>
      </c>
      <c r="H18" s="233">
        <v>1</v>
      </c>
      <c r="I18" s="98">
        <v>5060458</v>
      </c>
      <c r="J18" s="381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322</v>
      </c>
      <c r="AF18" s="117"/>
      <c r="AG18" s="144"/>
      <c r="AL18" s="376"/>
    </row>
    <row r="19" spans="1:38" s="377" customFormat="1" ht="31.5" customHeight="1">
      <c r="A19" s="202" t="s">
        <v>38</v>
      </c>
      <c r="B19" s="94" t="s">
        <v>345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1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76"/>
    </row>
    <row r="20" spans="1:38" s="104" customFormat="1" ht="31.5" customHeight="1">
      <c r="A20" s="202" t="s">
        <v>39</v>
      </c>
      <c r="B20" s="94" t="s">
        <v>346</v>
      </c>
      <c r="C20" s="95"/>
      <c r="D20" s="112" t="s">
        <v>347</v>
      </c>
      <c r="E20" s="228"/>
      <c r="F20" s="209"/>
      <c r="G20" s="97" t="s">
        <v>244</v>
      </c>
      <c r="H20" s="233">
        <v>6</v>
      </c>
      <c r="I20" s="98">
        <v>6458569</v>
      </c>
      <c r="J20" s="381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77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1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77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38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1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360</v>
      </c>
      <c r="AE22" s="117">
        <f>3.33*1390000</f>
        <v>4628700</v>
      </c>
      <c r="AF22" s="631"/>
      <c r="AG22" s="632"/>
      <c r="AH22" s="632"/>
      <c r="AL22" s="119"/>
    </row>
    <row r="23" spans="1:38" s="377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1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76"/>
    </row>
    <row r="24" spans="1:38" s="377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1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77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1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77" customFormat="1" ht="30.75" customHeight="1">
      <c r="A26" s="202" t="s">
        <v>27</v>
      </c>
      <c r="B26" s="94" t="s">
        <v>249</v>
      </c>
      <c r="C26" s="95"/>
      <c r="D26" s="112" t="s">
        <v>8</v>
      </c>
      <c r="E26" s="338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1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77" customFormat="1" ht="29.25" customHeight="1">
      <c r="A27" s="202" t="s">
        <v>28</v>
      </c>
      <c r="B27" s="94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1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77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1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76"/>
    </row>
    <row r="29" spans="1:38" s="377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1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1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1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1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77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1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77"/>
      <c r="AL33" s="105"/>
    </row>
    <row r="34" spans="1:38" s="104" customFormat="1" ht="31.5" customHeight="1">
      <c r="A34" s="202" t="s">
        <v>93</v>
      </c>
      <c r="B34" s="94" t="s">
        <v>352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1">
        <f t="shared" si="6"/>
        <v>453582</v>
      </c>
      <c r="K34" s="339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77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1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77"/>
      <c r="AL35" s="105"/>
    </row>
    <row r="36" spans="1:38" s="377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1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77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1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77" t="e">
        <f>#REF!-#REF!</f>
        <v>#REF!</v>
      </c>
      <c r="AI37" s="116"/>
      <c r="AL37" s="376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1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77"/>
      <c r="AL38" s="105"/>
    </row>
    <row r="39" spans="1:38" s="104" customFormat="1" ht="33" customHeight="1">
      <c r="A39" s="202" t="s">
        <v>98</v>
      </c>
      <c r="B39" s="94" t="s">
        <v>329</v>
      </c>
      <c r="C39" s="95"/>
      <c r="D39" s="112" t="s">
        <v>328</v>
      </c>
      <c r="E39" s="228"/>
      <c r="F39" s="336" t="s">
        <v>339</v>
      </c>
      <c r="G39" s="97" t="s">
        <v>244</v>
      </c>
      <c r="H39" s="233">
        <v>1</v>
      </c>
      <c r="I39" s="98">
        <v>5060458</v>
      </c>
      <c r="J39" s="381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5" t="s">
        <v>330</v>
      </c>
      <c r="AF39" s="117"/>
      <c r="AG39" s="144"/>
      <c r="AH39" s="377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1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77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326</v>
      </c>
      <c r="G41" s="97" t="s">
        <v>244</v>
      </c>
      <c r="H41" s="233">
        <v>1</v>
      </c>
      <c r="I41" s="98">
        <v>5060458</v>
      </c>
      <c r="J41" s="381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77"/>
      <c r="AL41" s="105"/>
    </row>
    <row r="42" spans="1:38" s="377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1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361</v>
      </c>
      <c r="AE42" s="117">
        <f>AE22*10.5%</f>
        <v>486013.5</v>
      </c>
      <c r="AF42" s="631"/>
      <c r="AG42" s="632"/>
      <c r="AH42" s="632"/>
      <c r="AI42" s="632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1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1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77"/>
      <c r="AL44" s="105"/>
    </row>
    <row r="45" spans="1:38" s="377" customFormat="1" ht="39" customHeight="1">
      <c r="A45" s="202" t="s">
        <v>104</v>
      </c>
      <c r="B45" s="94" t="s">
        <v>348</v>
      </c>
      <c r="C45" s="95"/>
      <c r="D45" s="112" t="s">
        <v>349</v>
      </c>
      <c r="E45" s="228"/>
      <c r="F45" s="223"/>
      <c r="G45" s="97" t="s">
        <v>247</v>
      </c>
      <c r="H45" s="233">
        <v>4</v>
      </c>
      <c r="I45" s="98">
        <v>5474872</v>
      </c>
      <c r="J45" s="381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76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381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4"/>
      <c r="Y46" s="334"/>
      <c r="Z46" s="334"/>
      <c r="AA46" s="334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77"/>
      <c r="AG46" s="377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1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1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1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77"/>
      <c r="AL49" s="105"/>
    </row>
    <row r="50" spans="1:39" s="104" customFormat="1" ht="28.5" customHeight="1">
      <c r="A50" s="202" t="s">
        <v>263</v>
      </c>
      <c r="B50" s="94" t="s">
        <v>364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1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369</v>
      </c>
      <c r="AF50" s="103"/>
      <c r="AG50" s="144"/>
      <c r="AH50" s="377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1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77"/>
      <c r="AL51" s="105"/>
    </row>
    <row r="52" spans="1:39" s="104" customFormat="1" ht="27" customHeight="1">
      <c r="A52" s="202" t="s">
        <v>265</v>
      </c>
      <c r="B52" s="94" t="s">
        <v>137</v>
      </c>
      <c r="C52" s="331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1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2"/>
      <c r="Y52" s="332"/>
      <c r="Z52" s="332"/>
      <c r="AA52" s="332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327</v>
      </c>
      <c r="G53" s="97" t="s">
        <v>244</v>
      </c>
      <c r="H53" s="233">
        <v>1</v>
      </c>
      <c r="I53" s="98">
        <v>5060458</v>
      </c>
      <c r="J53" s="381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77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366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1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77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366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1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77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1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1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77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1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1">
        <f t="shared" si="6"/>
        <v>519306</v>
      </c>
      <c r="K59" s="339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76"/>
      <c r="AG59" s="377"/>
      <c r="AH59" s="377"/>
      <c r="AL59" s="105"/>
    </row>
    <row r="60" spans="1:39" s="377" customFormat="1" ht="39" customHeight="1">
      <c r="A60" s="202" t="s">
        <v>315</v>
      </c>
      <c r="B60" s="94" t="s">
        <v>350</v>
      </c>
      <c r="C60" s="95"/>
      <c r="D60" s="112" t="s">
        <v>351</v>
      </c>
      <c r="E60" s="228"/>
      <c r="F60" s="209"/>
      <c r="G60" s="97" t="s">
        <v>247</v>
      </c>
      <c r="H60" s="233">
        <v>4</v>
      </c>
      <c r="I60" s="98">
        <v>5474872</v>
      </c>
      <c r="J60" s="381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76"/>
    </row>
    <row r="61" spans="1:39" s="104" customFormat="1" ht="28.5" customHeight="1">
      <c r="A61" s="202" t="s">
        <v>365</v>
      </c>
      <c r="B61" s="318" t="s">
        <v>282</v>
      </c>
      <c r="C61" s="319"/>
      <c r="D61" s="320" t="s">
        <v>283</v>
      </c>
      <c r="E61" s="230"/>
      <c r="F61" s="321"/>
      <c r="G61" s="322" t="s">
        <v>244</v>
      </c>
      <c r="H61" s="323">
        <v>10</v>
      </c>
      <c r="I61" s="236">
        <v>7850431</v>
      </c>
      <c r="J61" s="382">
        <f t="shared" si="6"/>
        <v>471025.86</v>
      </c>
      <c r="K61" s="324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5">
        <v>0</v>
      </c>
      <c r="T61" s="236">
        <v>0</v>
      </c>
      <c r="U61" s="325"/>
      <c r="V61" s="325">
        <f t="shared" si="3"/>
        <v>0</v>
      </c>
      <c r="W61" s="325"/>
      <c r="X61" s="326"/>
      <c r="Y61" s="326"/>
      <c r="Z61" s="326"/>
      <c r="AA61" s="326"/>
      <c r="AB61" s="325">
        <f t="shared" si="4"/>
        <v>7850431</v>
      </c>
      <c r="AC61" s="327" t="str">
        <f t="shared" si="11"/>
        <v>49</v>
      </c>
      <c r="AD61" s="328"/>
      <c r="AE61" s="255" t="s">
        <v>280</v>
      </c>
      <c r="AF61" s="633" t="s">
        <v>332</v>
      </c>
      <c r="AG61" s="634"/>
      <c r="AH61" s="634"/>
      <c r="AL61" s="105"/>
    </row>
    <row r="62" spans="1:39" ht="33" customHeight="1">
      <c r="A62" s="88"/>
      <c r="B62" s="635" t="s">
        <v>11</v>
      </c>
      <c r="C62" s="636"/>
      <c r="D62" s="161"/>
      <c r="E62" s="161"/>
      <c r="F62" s="82"/>
      <c r="G62" s="82"/>
      <c r="H62" s="364">
        <f>SUM(H13:H61)</f>
        <v>212</v>
      </c>
      <c r="I62" s="80">
        <f>SUM(I13:I61)</f>
        <v>282965402</v>
      </c>
      <c r="J62" s="345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5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4"/>
      <c r="K63" s="46"/>
      <c r="L63" s="52"/>
      <c r="M63" s="52"/>
      <c r="N63" s="52"/>
      <c r="O63" s="52"/>
      <c r="P63" s="52"/>
      <c r="Q63" s="52"/>
      <c r="R63" s="345">
        <v>21574227</v>
      </c>
      <c r="S63" s="345">
        <v>4045167</v>
      </c>
      <c r="T63" s="345">
        <v>2696778</v>
      </c>
      <c r="U63" s="344"/>
      <c r="V63" s="345">
        <v>28316172</v>
      </c>
      <c r="W63" s="344"/>
      <c r="X63" s="344"/>
      <c r="Y63" s="344"/>
      <c r="Z63" s="344"/>
      <c r="AA63" s="344"/>
      <c r="AB63" s="345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37" t="s">
        <v>12</v>
      </c>
      <c r="C64" s="637"/>
      <c r="D64" s="17" t="s">
        <v>370</v>
      </c>
      <c r="E64" s="17"/>
      <c r="T64" s="18"/>
      <c r="U64" s="18"/>
      <c r="V64" s="18"/>
      <c r="W64" s="18"/>
      <c r="X64" s="18"/>
      <c r="Y64" s="18"/>
      <c r="Z64" s="18"/>
      <c r="AA64" s="352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37"/>
      <c r="C65" s="637"/>
      <c r="D65" s="163"/>
      <c r="E65" s="163"/>
      <c r="F65" s="206"/>
      <c r="G65" s="49"/>
      <c r="H65" s="49"/>
      <c r="I65" s="50"/>
      <c r="J65" s="346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6"/>
      <c r="AB65" s="50"/>
      <c r="AC65" s="603"/>
      <c r="AD65" s="603"/>
      <c r="AE65" s="50"/>
      <c r="AF65" s="638" t="e">
        <f>1000000-#REF!</f>
        <v>#REF!</v>
      </c>
      <c r="AG65" s="639"/>
      <c r="AH65" s="639"/>
    </row>
    <row r="66" spans="1:40" ht="21" customHeight="1">
      <c r="A66" s="5"/>
      <c r="B66" s="639"/>
      <c r="C66" s="639"/>
      <c r="D66" s="7"/>
      <c r="E66" s="7"/>
      <c r="F66" s="207"/>
      <c r="G66" s="5"/>
      <c r="H66" s="5"/>
      <c r="T66" s="640" t="s">
        <v>367</v>
      </c>
      <c r="U66" s="640"/>
      <c r="V66" s="640"/>
      <c r="W66" s="640"/>
      <c r="X66" s="640"/>
      <c r="Y66" s="640"/>
      <c r="Z66" s="640"/>
      <c r="AA66" s="640"/>
      <c r="AB66" s="640"/>
      <c r="AC66" s="640"/>
      <c r="AD66" s="640"/>
      <c r="AE66" s="641"/>
      <c r="AF66" s="639"/>
      <c r="AG66" s="639"/>
      <c r="AH66" s="639"/>
    </row>
    <row r="67" spans="1:40" ht="15.75" customHeight="1">
      <c r="A67" s="598" t="s">
        <v>13</v>
      </c>
      <c r="B67" s="598"/>
      <c r="C67" s="598"/>
      <c r="D67" s="598"/>
      <c r="E67" s="598"/>
      <c r="F67" s="598"/>
      <c r="G67" s="598"/>
      <c r="H67" s="598"/>
      <c r="I67" s="598" t="s">
        <v>183</v>
      </c>
      <c r="J67" s="598"/>
      <c r="K67" s="598"/>
      <c r="L67" s="598"/>
      <c r="M67" s="598"/>
      <c r="N67" s="598"/>
      <c r="O67" s="598"/>
      <c r="P67" s="598"/>
      <c r="Q67" s="598"/>
      <c r="R67" s="598"/>
      <c r="S67" s="598"/>
      <c r="T67" s="643" t="s">
        <v>14</v>
      </c>
      <c r="U67" s="643"/>
      <c r="V67" s="643"/>
      <c r="W67" s="643"/>
      <c r="X67" s="643"/>
      <c r="Y67" s="643"/>
      <c r="Z67" s="643"/>
      <c r="AA67" s="643"/>
      <c r="AB67" s="643"/>
      <c r="AC67" s="643"/>
      <c r="AD67" s="643"/>
      <c r="AE67" s="642"/>
      <c r="AF67" s="644"/>
      <c r="AG67" s="644"/>
      <c r="AH67" s="644"/>
    </row>
    <row r="68" spans="1:40" ht="15.75" customHeight="1">
      <c r="A68" s="5"/>
      <c r="B68" s="599"/>
      <c r="C68" s="599"/>
      <c r="D68" s="7"/>
      <c r="E68" s="7"/>
      <c r="F68" s="207"/>
      <c r="G68" s="5"/>
      <c r="H68" s="5"/>
      <c r="I68" s="4"/>
      <c r="J68" s="383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599"/>
      <c r="AD68" s="599"/>
      <c r="AE68" s="4"/>
      <c r="AF68" s="639"/>
      <c r="AG68" s="639"/>
      <c r="AH68" s="639"/>
    </row>
    <row r="69" spans="1:40" ht="15.75" customHeight="1">
      <c r="A69" s="5"/>
      <c r="B69" s="639"/>
      <c r="C69" s="639"/>
      <c r="D69" s="7"/>
      <c r="E69" s="7"/>
      <c r="F69" s="207"/>
      <c r="G69" s="5"/>
      <c r="H69" s="5"/>
      <c r="I69" s="4"/>
      <c r="J69" s="383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8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39"/>
      <c r="C71" s="639"/>
      <c r="D71" s="7"/>
      <c r="E71" s="7"/>
      <c r="F71" s="207"/>
      <c r="G71" s="5"/>
      <c r="H71" s="5"/>
      <c r="I71" s="4"/>
      <c r="J71" s="38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99"/>
      <c r="AD71" s="599"/>
      <c r="AE71" s="4"/>
      <c r="AF71" s="638"/>
      <c r="AG71" s="639"/>
      <c r="AH71" s="639"/>
    </row>
    <row r="72" spans="1:40" ht="15.75" customHeight="1">
      <c r="A72" s="5"/>
      <c r="B72" s="639"/>
      <c r="C72" s="639"/>
      <c r="D72" s="7"/>
      <c r="E72" s="7"/>
      <c r="F72" s="207"/>
      <c r="G72" s="5"/>
      <c r="H72" s="5"/>
      <c r="I72" s="4"/>
      <c r="J72" s="38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99"/>
      <c r="AD72" s="599"/>
      <c r="AE72" s="4"/>
      <c r="AF72" s="638"/>
      <c r="AG72" s="639"/>
      <c r="AH72" s="639"/>
    </row>
    <row r="73" spans="1:40" ht="15.75" customHeight="1">
      <c r="A73" s="5"/>
      <c r="B73" s="639"/>
      <c r="C73" s="639"/>
      <c r="D73" s="7"/>
      <c r="E73" s="7"/>
      <c r="F73" s="207"/>
      <c r="G73" s="5"/>
      <c r="H73" s="5"/>
      <c r="I73" s="4"/>
      <c r="J73" s="38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99"/>
      <c r="AD73" s="599"/>
      <c r="AE73" s="4"/>
      <c r="AF73" s="638"/>
      <c r="AG73" s="639"/>
      <c r="AH73" s="639"/>
    </row>
    <row r="74" spans="1:40" ht="15.75" customHeight="1">
      <c r="A74" s="598" t="s">
        <v>227</v>
      </c>
      <c r="B74" s="598"/>
      <c r="C74" s="598"/>
      <c r="D74" s="598"/>
      <c r="E74" s="598"/>
      <c r="F74" s="598"/>
      <c r="G74" s="598"/>
      <c r="H74" s="598"/>
      <c r="I74" s="598" t="s">
        <v>123</v>
      </c>
      <c r="J74" s="598"/>
      <c r="K74" s="598"/>
      <c r="L74" s="598"/>
      <c r="M74" s="598"/>
      <c r="N74" s="598"/>
      <c r="O74" s="598"/>
      <c r="P74" s="598"/>
      <c r="Q74" s="598"/>
      <c r="R74" s="598"/>
      <c r="S74" s="598"/>
      <c r="T74" s="598" t="s">
        <v>120</v>
      </c>
      <c r="U74" s="598"/>
      <c r="V74" s="598"/>
      <c r="W74" s="598"/>
      <c r="X74" s="598"/>
      <c r="Y74" s="598"/>
      <c r="Z74" s="598"/>
      <c r="AA74" s="598"/>
      <c r="AB74" s="598"/>
      <c r="AC74" s="598"/>
      <c r="AD74" s="598"/>
      <c r="AE74" s="8"/>
      <c r="AF74" s="644"/>
      <c r="AG74" s="644"/>
      <c r="AH74" s="644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9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9"/>
      <c r="AB75" s="63"/>
      <c r="AC75" s="645"/>
      <c r="AD75" s="645"/>
      <c r="AE75" s="51"/>
      <c r="AF75" s="638"/>
      <c r="AG75" s="639"/>
      <c r="AH75" s="639"/>
    </row>
    <row r="76" spans="1:40">
      <c r="B76" s="30"/>
      <c r="C76" s="19"/>
      <c r="G76" s="30"/>
      <c r="H76" s="30"/>
      <c r="AC76" s="600"/>
      <c r="AD76" s="600"/>
      <c r="AE76" s="45"/>
      <c r="AF76" s="639"/>
      <c r="AG76" s="639"/>
      <c r="AH76" s="639"/>
    </row>
    <row r="77" spans="1:40">
      <c r="A77" s="5"/>
      <c r="B77" s="639"/>
      <c r="C77" s="639"/>
      <c r="AC77" s="600"/>
      <c r="AD77" s="600"/>
      <c r="AE77" s="45"/>
      <c r="AF77" s="639"/>
      <c r="AG77" s="639"/>
      <c r="AH77" s="639"/>
    </row>
    <row r="78" spans="1:40">
      <c r="A78" s="5"/>
      <c r="B78" s="639"/>
      <c r="C78" s="639"/>
      <c r="AC78" s="600"/>
      <c r="AD78" s="600"/>
      <c r="AE78" s="45"/>
      <c r="AF78" s="639"/>
      <c r="AG78" s="639"/>
      <c r="AH78" s="639"/>
    </row>
    <row r="79" spans="1:40">
      <c r="A79" s="5"/>
      <c r="B79" s="639"/>
      <c r="C79" s="639"/>
      <c r="AC79" s="600"/>
      <c r="AD79" s="600"/>
      <c r="AE79" s="45"/>
      <c r="AF79" s="639"/>
      <c r="AG79" s="639"/>
      <c r="AH79" s="639"/>
    </row>
    <row r="80" spans="1:40">
      <c r="A80" s="5"/>
      <c r="B80" s="639"/>
      <c r="C80" s="639"/>
      <c r="AC80" s="600"/>
      <c r="AD80" s="600"/>
      <c r="AE80" s="45"/>
      <c r="AF80" s="639"/>
      <c r="AG80" s="639"/>
      <c r="AH80" s="639"/>
    </row>
    <row r="81" spans="1:34">
      <c r="A81" s="5"/>
      <c r="B81" s="639"/>
      <c r="C81" s="639"/>
      <c r="AC81" s="600"/>
      <c r="AD81" s="600"/>
      <c r="AE81" s="45"/>
      <c r="AF81" s="639"/>
      <c r="AG81" s="639"/>
      <c r="AH81" s="639"/>
    </row>
    <row r="82" spans="1:34">
      <c r="A82" s="5"/>
      <c r="B82" s="639"/>
      <c r="C82" s="639"/>
      <c r="AC82" s="600"/>
      <c r="AD82" s="600"/>
      <c r="AE82" s="45"/>
      <c r="AF82" s="639"/>
      <c r="AG82" s="639"/>
      <c r="AH82" s="639"/>
    </row>
    <row r="83" spans="1:34">
      <c r="A83" s="5"/>
      <c r="B83" s="639"/>
      <c r="C83" s="639"/>
      <c r="AC83" s="600"/>
      <c r="AD83" s="600"/>
      <c r="AE83" s="45"/>
      <c r="AF83" s="639"/>
      <c r="AG83" s="639"/>
      <c r="AH83" s="639"/>
    </row>
    <row r="84" spans="1:34">
      <c r="A84" s="5"/>
      <c r="B84" s="639"/>
      <c r="C84" s="639"/>
      <c r="AC84" s="600"/>
      <c r="AD84" s="600"/>
      <c r="AE84" s="45"/>
      <c r="AF84" s="639"/>
      <c r="AG84" s="639"/>
      <c r="AH84" s="639"/>
    </row>
    <row r="85" spans="1:34">
      <c r="A85" s="5"/>
      <c r="B85" s="639"/>
      <c r="C85" s="639"/>
      <c r="AC85" s="600"/>
      <c r="AD85" s="600"/>
      <c r="AE85" s="45"/>
      <c r="AF85" s="639"/>
      <c r="AG85" s="639"/>
      <c r="AH85" s="639"/>
    </row>
    <row r="86" spans="1:34">
      <c r="A86" s="5"/>
      <c r="B86" s="639"/>
      <c r="C86" s="639"/>
      <c r="AC86" s="600"/>
      <c r="AD86" s="600"/>
      <c r="AE86" s="45"/>
      <c r="AF86" s="639"/>
      <c r="AG86" s="639"/>
      <c r="AH86" s="639"/>
    </row>
    <row r="87" spans="1:34">
      <c r="A87" s="5"/>
      <c r="B87" s="639"/>
      <c r="C87" s="639"/>
      <c r="AC87" s="600"/>
      <c r="AD87" s="600"/>
      <c r="AE87" s="45"/>
      <c r="AF87" s="639"/>
      <c r="AG87" s="639"/>
      <c r="AH87" s="639"/>
    </row>
    <row r="88" spans="1:34">
      <c r="A88" s="5"/>
      <c r="B88" s="639"/>
      <c r="C88" s="639"/>
      <c r="AC88" s="600"/>
      <c r="AD88" s="600"/>
      <c r="AE88" s="45"/>
      <c r="AF88" s="639"/>
      <c r="AG88" s="639"/>
      <c r="AH88" s="639"/>
    </row>
    <row r="89" spans="1:34">
      <c r="A89" s="5"/>
      <c r="B89" s="639"/>
      <c r="C89" s="639"/>
      <c r="AC89" s="600"/>
      <c r="AD89" s="600"/>
      <c r="AE89" s="45"/>
      <c r="AF89" s="639"/>
      <c r="AG89" s="639"/>
      <c r="AH89" s="639"/>
    </row>
    <row r="90" spans="1:34">
      <c r="A90" s="5"/>
      <c r="B90" s="639"/>
      <c r="C90" s="639"/>
      <c r="AC90" s="600"/>
      <c r="AD90" s="600"/>
      <c r="AE90" s="45"/>
      <c r="AF90" s="639"/>
      <c r="AG90" s="639"/>
      <c r="AH90" s="639"/>
    </row>
    <row r="91" spans="1:34">
      <c r="A91" s="5"/>
      <c r="B91" s="639"/>
      <c r="C91" s="639"/>
      <c r="AC91" s="600"/>
      <c r="AD91" s="600"/>
      <c r="AE91" s="45"/>
      <c r="AF91" s="639"/>
      <c r="AG91" s="639"/>
      <c r="AH91" s="639"/>
    </row>
    <row r="92" spans="1:34">
      <c r="A92" s="5"/>
      <c r="B92" s="639"/>
      <c r="C92" s="639"/>
      <c r="AC92" s="600"/>
      <c r="AD92" s="600"/>
      <c r="AE92" s="45"/>
      <c r="AF92" s="639"/>
      <c r="AG92" s="639"/>
      <c r="AH92" s="639"/>
    </row>
    <row r="93" spans="1:34">
      <c r="A93" s="5"/>
      <c r="B93" s="639"/>
      <c r="C93" s="639"/>
      <c r="AC93" s="600"/>
      <c r="AD93" s="600"/>
      <c r="AE93" s="45"/>
      <c r="AF93" s="639"/>
      <c r="AG93" s="639"/>
      <c r="AH93" s="639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7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598" t="s">
        <v>186</v>
      </c>
      <c r="B2" s="598"/>
      <c r="C2" s="598"/>
      <c r="D2" s="598"/>
      <c r="E2" s="598"/>
      <c r="F2" s="598"/>
      <c r="G2" s="598"/>
      <c r="H2" s="598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599"/>
      <c r="D3" s="59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45"/>
      <c r="AE3" s="4"/>
      <c r="AF3" s="599"/>
      <c r="AG3" s="599"/>
      <c r="AH3" s="601"/>
      <c r="AI3" s="601"/>
    </row>
    <row r="4" spans="1:38" ht="22.5" customHeight="1">
      <c r="A4" s="602" t="s">
        <v>396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02" t="s">
        <v>375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603"/>
      <c r="E6" s="603"/>
      <c r="F6" s="603"/>
      <c r="G6" s="603"/>
      <c r="H6" s="603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272</v>
      </c>
      <c r="I10" s="613" t="s">
        <v>180</v>
      </c>
      <c r="J10" s="613" t="s">
        <v>268</v>
      </c>
      <c r="K10" s="613" t="s">
        <v>269</v>
      </c>
      <c r="L10" s="613" t="s">
        <v>170</v>
      </c>
      <c r="M10" s="615"/>
      <c r="N10" s="607" t="s">
        <v>148</v>
      </c>
      <c r="O10" s="607" t="s">
        <v>149</v>
      </c>
      <c r="P10" s="611" t="s">
        <v>150</v>
      </c>
      <c r="Q10" s="617" t="s">
        <v>67</v>
      </c>
      <c r="R10" s="618"/>
      <c r="S10" s="618"/>
      <c r="T10" s="618"/>
      <c r="U10" s="619"/>
      <c r="V10" s="620" t="s">
        <v>168</v>
      </c>
      <c r="W10" s="621"/>
      <c r="X10" s="620" t="s">
        <v>169</v>
      </c>
      <c r="Y10" s="621"/>
      <c r="Z10" s="622" t="s">
        <v>274</v>
      </c>
      <c r="AA10" s="611" t="s">
        <v>154</v>
      </c>
      <c r="AB10" s="624" t="s">
        <v>5</v>
      </c>
      <c r="AC10" s="625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28"/>
      <c r="AK10" s="87"/>
      <c r="AL10" s="79"/>
    </row>
    <row r="11" spans="1:38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4"/>
      <c r="K11" s="614"/>
      <c r="L11" s="614"/>
      <c r="M11" s="616"/>
      <c r="N11" s="608"/>
      <c r="O11" s="608"/>
      <c r="P11" s="612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3"/>
      <c r="AA11" s="612"/>
      <c r="AB11" s="626"/>
      <c r="AC11" s="627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28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29" t="s">
        <v>172</v>
      </c>
      <c r="AC12" s="630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3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66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67"/>
      <c r="AD13" s="102" t="s">
        <v>233</v>
      </c>
      <c r="AE13" s="120"/>
      <c r="AF13" s="116"/>
      <c r="AK13" s="412"/>
    </row>
    <row r="14" spans="1:38" s="413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2"/>
      <c r="AE14" s="412"/>
      <c r="AK14" s="412"/>
    </row>
    <row r="15" spans="1:38" s="413" customFormat="1" ht="42.75" customHeight="1">
      <c r="A15" s="202" t="s">
        <v>34</v>
      </c>
      <c r="B15" s="397" t="s">
        <v>245</v>
      </c>
      <c r="C15" s="398"/>
      <c r="D15" s="399" t="s">
        <v>246</v>
      </c>
      <c r="E15" s="400"/>
      <c r="F15" s="401"/>
      <c r="G15" s="402" t="s">
        <v>244</v>
      </c>
      <c r="H15" s="403">
        <v>3</v>
      </c>
      <c r="I15" s="404">
        <v>5579155</v>
      </c>
      <c r="J15" s="405"/>
      <c r="K15" s="404"/>
      <c r="L15" s="404">
        <f t="shared" si="0"/>
        <v>5579155</v>
      </c>
      <c r="M15" s="404"/>
      <c r="N15" s="404">
        <f t="shared" si="1"/>
        <v>0</v>
      </c>
      <c r="O15" s="404"/>
      <c r="P15" s="404">
        <f t="shared" si="2"/>
        <v>5579155</v>
      </c>
      <c r="Q15" s="404"/>
      <c r="R15" s="406"/>
      <c r="S15" s="404"/>
      <c r="T15" s="406"/>
      <c r="U15" s="406">
        <f t="shared" si="3"/>
        <v>0</v>
      </c>
      <c r="V15" s="406"/>
      <c r="W15" s="406"/>
      <c r="X15" s="406"/>
      <c r="Y15" s="406"/>
      <c r="Z15" s="406"/>
      <c r="AA15" s="406">
        <f t="shared" si="4"/>
        <v>5579155</v>
      </c>
      <c r="AB15" s="407" t="str">
        <f t="shared" si="5"/>
        <v>03</v>
      </c>
      <c r="AC15" s="408" t="s">
        <v>378</v>
      </c>
      <c r="AD15" s="368"/>
      <c r="AE15" s="232"/>
      <c r="AF15" s="232"/>
      <c r="AG15" s="110"/>
      <c r="AH15" s="110"/>
      <c r="AK15" s="111"/>
    </row>
    <row r="16" spans="1:38" s="413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2"/>
      <c r="AE16" s="412"/>
      <c r="AK16" s="412"/>
    </row>
    <row r="17" spans="1:37" s="413" customFormat="1" ht="42.75" customHeight="1">
      <c r="A17" s="202" t="s">
        <v>36</v>
      </c>
      <c r="B17" s="94" t="s">
        <v>320</v>
      </c>
      <c r="C17" s="95"/>
      <c r="D17" s="112" t="s">
        <v>246</v>
      </c>
      <c r="E17" s="227" t="s">
        <v>337</v>
      </c>
      <c r="F17" s="336" t="s">
        <v>338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322</v>
      </c>
      <c r="AE17" s="117"/>
      <c r="AF17" s="144"/>
      <c r="AK17" s="412"/>
    </row>
    <row r="18" spans="1:37" s="413" customFormat="1" ht="31.5" customHeight="1">
      <c r="A18" s="202" t="s">
        <v>37</v>
      </c>
      <c r="B18" s="94" t="s">
        <v>345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2"/>
    </row>
    <row r="19" spans="1:37" s="104" customFormat="1" ht="31.5" customHeight="1">
      <c r="A19" s="202" t="s">
        <v>38</v>
      </c>
      <c r="B19" s="94" t="s">
        <v>346</v>
      </c>
      <c r="C19" s="95"/>
      <c r="D19" s="112" t="s">
        <v>347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3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13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38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360</v>
      </c>
      <c r="AD21" s="117">
        <f>3.33*1390000</f>
        <v>4628700</v>
      </c>
      <c r="AE21" s="631"/>
      <c r="AF21" s="632"/>
      <c r="AG21" s="632"/>
      <c r="AK21" s="119"/>
    </row>
    <row r="22" spans="1:37" s="413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2"/>
    </row>
    <row r="23" spans="1:37" s="413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13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3" customFormat="1" ht="30.75" customHeight="1">
      <c r="A25" s="202" t="s">
        <v>31</v>
      </c>
      <c r="B25" s="94" t="s">
        <v>249</v>
      </c>
      <c r="C25" s="95"/>
      <c r="D25" s="112" t="s">
        <v>8</v>
      </c>
      <c r="E25" s="338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3" customFormat="1" ht="29.25" customHeight="1">
      <c r="A26" s="202" t="s">
        <v>27</v>
      </c>
      <c r="B26" s="94" t="s">
        <v>250</v>
      </c>
      <c r="C26" s="95"/>
      <c r="D26" s="112" t="s">
        <v>8</v>
      </c>
      <c r="E26" s="338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3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2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397" t="s">
        <v>278</v>
      </c>
      <c r="C30" s="409"/>
      <c r="D30" s="399" t="s">
        <v>279</v>
      </c>
      <c r="E30" s="400"/>
      <c r="F30" s="401"/>
      <c r="G30" s="402" t="s">
        <v>248</v>
      </c>
      <c r="H30" s="403">
        <v>1</v>
      </c>
      <c r="I30" s="404">
        <v>4641000</v>
      </c>
      <c r="J30" s="405"/>
      <c r="K30" s="404"/>
      <c r="L30" s="404">
        <f t="shared" si="0"/>
        <v>4641000</v>
      </c>
      <c r="M30" s="404"/>
      <c r="N30" s="404">
        <f t="shared" si="1"/>
        <v>0</v>
      </c>
      <c r="O30" s="404"/>
      <c r="P30" s="404">
        <f t="shared" si="2"/>
        <v>4641000</v>
      </c>
      <c r="Q30" s="404">
        <f t="shared" si="6"/>
        <v>371280</v>
      </c>
      <c r="R30" s="406">
        <f t="shared" si="7"/>
        <v>69615</v>
      </c>
      <c r="S30" s="404">
        <f t="shared" si="8"/>
        <v>46410</v>
      </c>
      <c r="T30" s="406"/>
      <c r="U30" s="406">
        <f t="shared" si="3"/>
        <v>487305</v>
      </c>
      <c r="V30" s="406"/>
      <c r="W30" s="410"/>
      <c r="X30" s="410"/>
      <c r="Y30" s="410"/>
      <c r="Z30" s="410"/>
      <c r="AA30" s="406">
        <f t="shared" si="4"/>
        <v>4153695</v>
      </c>
      <c r="AB30" s="407" t="str">
        <f t="shared" si="5"/>
        <v>18</v>
      </c>
      <c r="AC30" s="411" t="s">
        <v>379</v>
      </c>
      <c r="AD30" s="255" t="s">
        <v>280</v>
      </c>
      <c r="AE30" s="117"/>
      <c r="AF30" s="144"/>
      <c r="AG30" s="413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13"/>
      <c r="AK31" s="105"/>
    </row>
    <row r="32" spans="1:37" s="104" customFormat="1" ht="31.5" customHeight="1">
      <c r="A32" s="202" t="s">
        <v>91</v>
      </c>
      <c r="B32" s="94" t="s">
        <v>352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39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3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13"/>
      <c r="AK33" s="105"/>
    </row>
    <row r="34" spans="1:37" s="104" customFormat="1" ht="39.75" customHeight="1">
      <c r="A34" s="202" t="s">
        <v>93</v>
      </c>
      <c r="B34" s="384" t="s">
        <v>372</v>
      </c>
      <c r="C34" s="385"/>
      <c r="D34" s="386" t="s">
        <v>373</v>
      </c>
      <c r="E34" s="387"/>
      <c r="F34" s="388"/>
      <c r="G34" s="389" t="s">
        <v>248</v>
      </c>
      <c r="H34" s="390">
        <v>1</v>
      </c>
      <c r="I34" s="391">
        <v>4420000</v>
      </c>
      <c r="J34" s="392"/>
      <c r="K34" s="391"/>
      <c r="L34" s="391">
        <f t="shared" si="0"/>
        <v>4420000</v>
      </c>
      <c r="M34" s="391"/>
      <c r="N34" s="391">
        <f t="shared" si="1"/>
        <v>0</v>
      </c>
      <c r="O34" s="391"/>
      <c r="P34" s="391">
        <f t="shared" si="2"/>
        <v>4420000</v>
      </c>
      <c r="Q34" s="391">
        <f t="shared" si="6"/>
        <v>353600</v>
      </c>
      <c r="R34" s="393">
        <f t="shared" si="7"/>
        <v>66300</v>
      </c>
      <c r="S34" s="391">
        <f t="shared" si="8"/>
        <v>44200</v>
      </c>
      <c r="T34" s="393"/>
      <c r="U34" s="393">
        <f t="shared" si="3"/>
        <v>464100</v>
      </c>
      <c r="V34" s="393"/>
      <c r="W34" s="394"/>
      <c r="X34" s="394"/>
      <c r="Y34" s="394"/>
      <c r="Z34" s="394"/>
      <c r="AA34" s="393">
        <f t="shared" si="4"/>
        <v>3955900</v>
      </c>
      <c r="AB34" s="395" t="str">
        <f>A34</f>
        <v>22</v>
      </c>
      <c r="AC34" s="396" t="s">
        <v>376</v>
      </c>
      <c r="AD34" s="255"/>
      <c r="AE34" s="117"/>
      <c r="AF34" s="144"/>
      <c r="AG34" s="413"/>
      <c r="AK34" s="105"/>
    </row>
    <row r="35" spans="1:37" s="413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3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13" t="e">
        <f>#REF!-#REF!</f>
        <v>#REF!</v>
      </c>
      <c r="AH36" s="116"/>
      <c r="AK36" s="412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13"/>
      <c r="AK37" s="105"/>
    </row>
    <row r="38" spans="1:37" s="104" customFormat="1" ht="33" customHeight="1">
      <c r="A38" s="202" t="s">
        <v>97</v>
      </c>
      <c r="B38" s="94" t="s">
        <v>329</v>
      </c>
      <c r="C38" s="95"/>
      <c r="D38" s="112" t="s">
        <v>328</v>
      </c>
      <c r="E38" s="228"/>
      <c r="F38" s="336" t="s">
        <v>339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5" t="s">
        <v>330</v>
      </c>
      <c r="AE38" s="117"/>
      <c r="AF38" s="144"/>
      <c r="AG38" s="413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3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326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13"/>
      <c r="AK40" s="105"/>
    </row>
    <row r="41" spans="1:37" s="413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361</v>
      </c>
      <c r="AD41" s="117">
        <f>AD21*10.5%</f>
        <v>486013.5</v>
      </c>
      <c r="AE41" s="631"/>
      <c r="AF41" s="632"/>
      <c r="AG41" s="632"/>
      <c r="AH41" s="632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13"/>
      <c r="AK43" s="105"/>
    </row>
    <row r="44" spans="1:37" s="413" customFormat="1" ht="39" customHeight="1">
      <c r="A44" s="202" t="s">
        <v>103</v>
      </c>
      <c r="B44" s="94" t="s">
        <v>348</v>
      </c>
      <c r="C44" s="95"/>
      <c r="D44" s="112" t="s">
        <v>349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2"/>
    </row>
    <row r="45" spans="1:37" s="413" customFormat="1" ht="41.25" customHeight="1">
      <c r="A45" s="202" t="s">
        <v>104</v>
      </c>
      <c r="B45" s="94" t="s">
        <v>135</v>
      </c>
      <c r="C45" s="95" t="s">
        <v>56</v>
      </c>
      <c r="D45" s="112" t="s">
        <v>349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4"/>
      <c r="X46" s="334"/>
      <c r="Y46" s="334"/>
      <c r="Z46" s="334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13"/>
      <c r="AF46" s="413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3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13"/>
      <c r="AK50" s="105"/>
    </row>
    <row r="51" spans="1:37" s="104" customFormat="1" ht="27" customHeight="1">
      <c r="A51" s="202" t="s">
        <v>264</v>
      </c>
      <c r="B51" s="94" t="s">
        <v>137</v>
      </c>
      <c r="C51" s="331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2"/>
      <c r="X51" s="332"/>
      <c r="Y51" s="332"/>
      <c r="Z51" s="332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327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13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366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13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366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13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13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39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2"/>
      <c r="AF58" s="413"/>
      <c r="AG58" s="413"/>
      <c r="AK58" s="105"/>
    </row>
    <row r="59" spans="1:37" s="413" customFormat="1" ht="39" customHeight="1">
      <c r="A59" s="202" t="s">
        <v>295</v>
      </c>
      <c r="B59" s="94" t="s">
        <v>350</v>
      </c>
      <c r="C59" s="95"/>
      <c r="D59" s="112" t="s">
        <v>351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2"/>
    </row>
    <row r="60" spans="1:37" s="413" customFormat="1" ht="29.25" customHeight="1">
      <c r="A60" s="202" t="s">
        <v>315</v>
      </c>
      <c r="B60" s="94" t="s">
        <v>308</v>
      </c>
      <c r="C60" s="95"/>
      <c r="D60" s="112" t="s">
        <v>380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2"/>
    </row>
    <row r="61" spans="1:37" s="415" customFormat="1" ht="29.25" customHeight="1">
      <c r="A61" s="202" t="s">
        <v>365</v>
      </c>
      <c r="B61" s="416" t="s">
        <v>381</v>
      </c>
      <c r="C61" s="417"/>
      <c r="D61" s="112" t="s">
        <v>380</v>
      </c>
      <c r="E61" s="266"/>
      <c r="F61" s="418"/>
      <c r="G61" s="97" t="s">
        <v>244</v>
      </c>
      <c r="H61" s="233">
        <v>1</v>
      </c>
      <c r="I61" s="98">
        <v>5060458</v>
      </c>
      <c r="J61" s="419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0"/>
      <c r="U61" s="99">
        <f t="shared" ref="U61:U67" si="17">SUM(Q61:T61)</f>
        <v>531348.09</v>
      </c>
      <c r="V61" s="420"/>
      <c r="W61" s="420"/>
      <c r="X61" s="421"/>
      <c r="Y61" s="420"/>
      <c r="Z61" s="420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4"/>
    </row>
    <row r="62" spans="1:37" s="415" customFormat="1" ht="29.25" customHeight="1">
      <c r="A62" s="202" t="s">
        <v>388</v>
      </c>
      <c r="B62" s="416" t="s">
        <v>382</v>
      </c>
      <c r="C62" s="417"/>
      <c r="D62" s="112" t="s">
        <v>380</v>
      </c>
      <c r="E62" s="266"/>
      <c r="F62" s="418"/>
      <c r="G62" s="97" t="s">
        <v>244</v>
      </c>
      <c r="H62" s="233">
        <v>1</v>
      </c>
      <c r="I62" s="98">
        <v>5060458</v>
      </c>
      <c r="J62" s="419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0"/>
      <c r="U62" s="99">
        <f t="shared" si="17"/>
        <v>531348.09</v>
      </c>
      <c r="V62" s="420"/>
      <c r="W62" s="420"/>
      <c r="X62" s="421"/>
      <c r="Y62" s="420"/>
      <c r="Z62" s="420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4"/>
    </row>
    <row r="63" spans="1:37" s="415" customFormat="1" ht="29.25" customHeight="1">
      <c r="A63" s="202" t="s">
        <v>389</v>
      </c>
      <c r="B63" s="416" t="s">
        <v>383</v>
      </c>
      <c r="C63" s="417"/>
      <c r="D63" s="112" t="s">
        <v>380</v>
      </c>
      <c r="E63" s="266"/>
      <c r="F63" s="418"/>
      <c r="G63" s="97" t="s">
        <v>244</v>
      </c>
      <c r="H63" s="233">
        <v>1</v>
      </c>
      <c r="I63" s="98">
        <v>5060458</v>
      </c>
      <c r="J63" s="419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0"/>
      <c r="U63" s="99">
        <f t="shared" si="17"/>
        <v>531348.09</v>
      </c>
      <c r="V63" s="420"/>
      <c r="W63" s="420"/>
      <c r="X63" s="421"/>
      <c r="Y63" s="420"/>
      <c r="Z63" s="420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4"/>
    </row>
    <row r="64" spans="1:37" s="415" customFormat="1" ht="29.25" customHeight="1">
      <c r="A64" s="202" t="s">
        <v>390</v>
      </c>
      <c r="B64" s="416" t="s">
        <v>384</v>
      </c>
      <c r="C64" s="417"/>
      <c r="D64" s="112" t="s">
        <v>380</v>
      </c>
      <c r="E64" s="266"/>
      <c r="F64" s="418"/>
      <c r="G64" s="97" t="s">
        <v>244</v>
      </c>
      <c r="H64" s="233">
        <v>1</v>
      </c>
      <c r="I64" s="98">
        <v>5060458</v>
      </c>
      <c r="J64" s="419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0"/>
      <c r="U64" s="99">
        <f t="shared" si="17"/>
        <v>531348.09</v>
      </c>
      <c r="V64" s="420"/>
      <c r="W64" s="420"/>
      <c r="X64" s="421"/>
      <c r="Y64" s="420"/>
      <c r="Z64" s="420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4"/>
    </row>
    <row r="65" spans="1:39" s="415" customFormat="1" ht="29.25" customHeight="1">
      <c r="A65" s="202" t="s">
        <v>391</v>
      </c>
      <c r="B65" s="416" t="s">
        <v>385</v>
      </c>
      <c r="C65" s="417"/>
      <c r="D65" s="112" t="s">
        <v>380</v>
      </c>
      <c r="E65" s="266"/>
      <c r="F65" s="418"/>
      <c r="G65" s="97" t="s">
        <v>244</v>
      </c>
      <c r="H65" s="233">
        <v>1</v>
      </c>
      <c r="I65" s="98">
        <v>5060458</v>
      </c>
      <c r="J65" s="419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0"/>
      <c r="U65" s="99">
        <f t="shared" si="17"/>
        <v>531348.09</v>
      </c>
      <c r="V65" s="420"/>
      <c r="W65" s="420"/>
      <c r="X65" s="421"/>
      <c r="Y65" s="420"/>
      <c r="Z65" s="420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4"/>
    </row>
    <row r="66" spans="1:39" s="415" customFormat="1" ht="29.25" customHeight="1">
      <c r="A66" s="202" t="s">
        <v>392</v>
      </c>
      <c r="B66" s="416" t="s">
        <v>386</v>
      </c>
      <c r="C66" s="417"/>
      <c r="D66" s="112" t="s">
        <v>380</v>
      </c>
      <c r="E66" s="266"/>
      <c r="F66" s="418"/>
      <c r="G66" s="97" t="s">
        <v>244</v>
      </c>
      <c r="H66" s="233">
        <v>1</v>
      </c>
      <c r="I66" s="98">
        <v>5060458</v>
      </c>
      <c r="J66" s="419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0"/>
      <c r="U66" s="99">
        <f t="shared" si="17"/>
        <v>531348.09</v>
      </c>
      <c r="V66" s="420"/>
      <c r="W66" s="420"/>
      <c r="X66" s="421"/>
      <c r="Y66" s="420"/>
      <c r="Z66" s="420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4"/>
    </row>
    <row r="67" spans="1:39" s="415" customFormat="1" ht="29.25" customHeight="1">
      <c r="A67" s="202" t="s">
        <v>393</v>
      </c>
      <c r="B67" s="416" t="s">
        <v>387</v>
      </c>
      <c r="C67" s="417"/>
      <c r="D67" s="112" t="s">
        <v>380</v>
      </c>
      <c r="E67" s="266"/>
      <c r="F67" s="418"/>
      <c r="G67" s="97" t="s">
        <v>244</v>
      </c>
      <c r="H67" s="233">
        <v>1</v>
      </c>
      <c r="I67" s="98">
        <v>5060458</v>
      </c>
      <c r="J67" s="419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0"/>
      <c r="U67" s="99">
        <f t="shared" si="17"/>
        <v>531348.09</v>
      </c>
      <c r="V67" s="420"/>
      <c r="W67" s="420"/>
      <c r="X67" s="421"/>
      <c r="Y67" s="420"/>
      <c r="Z67" s="420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4"/>
    </row>
    <row r="68" spans="1:39" s="104" customFormat="1" ht="28.5" customHeight="1">
      <c r="A68" s="202" t="s">
        <v>394</v>
      </c>
      <c r="B68" s="318" t="s">
        <v>282</v>
      </c>
      <c r="C68" s="319"/>
      <c r="D68" s="320" t="s">
        <v>283</v>
      </c>
      <c r="E68" s="230"/>
      <c r="F68" s="321"/>
      <c r="G68" s="322" t="s">
        <v>244</v>
      </c>
      <c r="H68" s="323">
        <v>10</v>
      </c>
      <c r="I68" s="236">
        <v>7850431</v>
      </c>
      <c r="J68" s="324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5"/>
      <c r="U68" s="99">
        <f>SUM(Q68:T68)</f>
        <v>0</v>
      </c>
      <c r="V68" s="325"/>
      <c r="W68" s="326"/>
      <c r="X68" s="326"/>
      <c r="Y68" s="326"/>
      <c r="Z68" s="326"/>
      <c r="AA68" s="325">
        <f t="shared" si="4"/>
        <v>7850431</v>
      </c>
      <c r="AB68" s="101" t="str">
        <f t="shared" si="19"/>
        <v>56</v>
      </c>
      <c r="AC68" s="328"/>
      <c r="AD68" s="255" t="s">
        <v>280</v>
      </c>
      <c r="AE68" s="633" t="s">
        <v>332</v>
      </c>
      <c r="AF68" s="634"/>
      <c r="AG68" s="634"/>
      <c r="AK68" s="105"/>
    </row>
    <row r="69" spans="1:39" ht="33" customHeight="1">
      <c r="A69" s="88"/>
      <c r="B69" s="635" t="s">
        <v>11</v>
      </c>
      <c r="C69" s="636"/>
      <c r="D69" s="161"/>
      <c r="E69" s="161"/>
      <c r="F69" s="82"/>
      <c r="G69" s="82"/>
      <c r="H69" s="364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5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37" t="s">
        <v>12</v>
      </c>
      <c r="C71" s="637"/>
      <c r="D71" s="17" t="s">
        <v>395</v>
      </c>
      <c r="E71" s="17"/>
      <c r="S71" s="18"/>
      <c r="T71" s="18"/>
      <c r="U71" s="18"/>
      <c r="V71" s="18"/>
      <c r="W71" s="18"/>
      <c r="X71" s="18"/>
      <c r="Y71" s="18"/>
      <c r="Z71" s="352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37"/>
      <c r="C72" s="637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6"/>
      <c r="AA72" s="50"/>
      <c r="AB72" s="603"/>
      <c r="AC72" s="603"/>
      <c r="AD72" s="50"/>
      <c r="AE72" s="638" t="e">
        <f>1000000-#REF!</f>
        <v>#REF!</v>
      </c>
      <c r="AF72" s="639"/>
      <c r="AG72" s="639"/>
    </row>
    <row r="73" spans="1:39" ht="21" customHeight="1">
      <c r="A73" s="5"/>
      <c r="B73" s="639"/>
      <c r="C73" s="639"/>
      <c r="D73" s="7"/>
      <c r="E73" s="7"/>
      <c r="F73" s="207"/>
      <c r="G73" s="5"/>
      <c r="H73" s="5"/>
      <c r="S73" s="640" t="s">
        <v>374</v>
      </c>
      <c r="T73" s="640"/>
      <c r="U73" s="640"/>
      <c r="V73" s="640"/>
      <c r="W73" s="640"/>
      <c r="X73" s="640"/>
      <c r="Y73" s="640"/>
      <c r="Z73" s="640"/>
      <c r="AA73" s="640"/>
      <c r="AB73" s="640"/>
      <c r="AC73" s="640"/>
      <c r="AD73" s="641"/>
      <c r="AE73" s="639"/>
      <c r="AF73" s="639"/>
      <c r="AG73" s="639"/>
    </row>
    <row r="74" spans="1:39" ht="15.75" customHeight="1">
      <c r="A74" s="598" t="s">
        <v>13</v>
      </c>
      <c r="B74" s="598"/>
      <c r="C74" s="598"/>
      <c r="D74" s="598"/>
      <c r="E74" s="598"/>
      <c r="F74" s="598"/>
      <c r="G74" s="598"/>
      <c r="H74" s="598"/>
      <c r="I74" s="598" t="s">
        <v>183</v>
      </c>
      <c r="J74" s="598"/>
      <c r="K74" s="598"/>
      <c r="L74" s="598"/>
      <c r="M74" s="598"/>
      <c r="N74" s="598"/>
      <c r="O74" s="598"/>
      <c r="P74" s="598"/>
      <c r="Q74" s="598"/>
      <c r="R74" s="598"/>
      <c r="S74" s="643" t="s">
        <v>14</v>
      </c>
      <c r="T74" s="643"/>
      <c r="U74" s="643"/>
      <c r="V74" s="643"/>
      <c r="W74" s="643"/>
      <c r="X74" s="643"/>
      <c r="Y74" s="643"/>
      <c r="Z74" s="643"/>
      <c r="AA74" s="643"/>
      <c r="AB74" s="643"/>
      <c r="AC74" s="643"/>
      <c r="AD74" s="642"/>
      <c r="AE74" s="644"/>
      <c r="AF74" s="644"/>
      <c r="AG74" s="644"/>
    </row>
    <row r="75" spans="1:39" ht="15.75" customHeight="1">
      <c r="A75" s="5"/>
      <c r="B75" s="599"/>
      <c r="C75" s="599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599"/>
      <c r="AC75" s="599"/>
      <c r="AD75" s="4"/>
      <c r="AE75" s="639"/>
      <c r="AF75" s="639"/>
      <c r="AG75" s="639"/>
    </row>
    <row r="76" spans="1:39" ht="15.75" customHeight="1">
      <c r="A76" s="5"/>
      <c r="B76" s="639"/>
      <c r="C76" s="639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8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39"/>
      <c r="C78" s="639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99"/>
      <c r="AC78" s="599"/>
      <c r="AD78" s="4"/>
      <c r="AE78" s="638"/>
      <c r="AF78" s="639"/>
      <c r="AG78" s="639"/>
    </row>
    <row r="79" spans="1:39" ht="15.75" customHeight="1">
      <c r="A79" s="5"/>
      <c r="B79" s="639"/>
      <c r="C79" s="639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99"/>
      <c r="AC79" s="599"/>
      <c r="AD79" s="4"/>
      <c r="AE79" s="638"/>
      <c r="AF79" s="639"/>
      <c r="AG79" s="639"/>
    </row>
    <row r="80" spans="1:39" ht="15.75" customHeight="1">
      <c r="A80" s="5"/>
      <c r="B80" s="639"/>
      <c r="C80" s="639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99"/>
      <c r="AC80" s="599"/>
      <c r="AD80" s="4"/>
      <c r="AE80" s="638"/>
      <c r="AF80" s="639"/>
      <c r="AG80" s="639"/>
    </row>
    <row r="81" spans="1:33" ht="15.75" customHeight="1">
      <c r="A81" s="598" t="s">
        <v>227</v>
      </c>
      <c r="B81" s="598"/>
      <c r="C81" s="598"/>
      <c r="D81" s="598"/>
      <c r="E81" s="598"/>
      <c r="F81" s="598"/>
      <c r="G81" s="598"/>
      <c r="H81" s="598"/>
      <c r="I81" s="598" t="s">
        <v>123</v>
      </c>
      <c r="J81" s="598"/>
      <c r="K81" s="598"/>
      <c r="L81" s="598"/>
      <c r="M81" s="598"/>
      <c r="N81" s="598"/>
      <c r="O81" s="598"/>
      <c r="P81" s="598"/>
      <c r="Q81" s="598"/>
      <c r="R81" s="598"/>
      <c r="S81" s="598" t="s">
        <v>120</v>
      </c>
      <c r="T81" s="598"/>
      <c r="U81" s="598"/>
      <c r="V81" s="598"/>
      <c r="W81" s="598"/>
      <c r="X81" s="598"/>
      <c r="Y81" s="598"/>
      <c r="Z81" s="598"/>
      <c r="AA81" s="598"/>
      <c r="AB81" s="598"/>
      <c r="AC81" s="598"/>
      <c r="AD81" s="8"/>
      <c r="AE81" s="644"/>
      <c r="AF81" s="644"/>
      <c r="AG81" s="644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9"/>
      <c r="AA82" s="63"/>
      <c r="AB82" s="645"/>
      <c r="AC82" s="645"/>
      <c r="AD82" s="51"/>
      <c r="AE82" s="638"/>
      <c r="AF82" s="639"/>
      <c r="AG82" s="639"/>
    </row>
    <row r="83" spans="1:33">
      <c r="B83" s="30"/>
      <c r="C83" s="19"/>
      <c r="G83" s="30"/>
      <c r="H83" s="30"/>
      <c r="AB83" s="600"/>
      <c r="AC83" s="600"/>
      <c r="AD83" s="45"/>
      <c r="AE83" s="639"/>
      <c r="AF83" s="639"/>
      <c r="AG83" s="639"/>
    </row>
    <row r="84" spans="1:33">
      <c r="A84" s="5"/>
      <c r="B84" s="639"/>
      <c r="C84" s="639"/>
      <c r="AB84" s="600"/>
      <c r="AC84" s="600"/>
      <c r="AD84" s="45"/>
      <c r="AE84" s="639"/>
      <c r="AF84" s="639"/>
      <c r="AG84" s="639"/>
    </row>
    <row r="85" spans="1:33">
      <c r="A85" s="5"/>
      <c r="B85" s="639"/>
      <c r="C85" s="639"/>
      <c r="AB85" s="600"/>
      <c r="AC85" s="600"/>
      <c r="AD85" s="45"/>
      <c r="AE85" s="639"/>
      <c r="AF85" s="639"/>
      <c r="AG85" s="639"/>
    </row>
    <row r="86" spans="1:33">
      <c r="A86" s="5"/>
      <c r="B86" s="639"/>
      <c r="C86" s="639"/>
      <c r="AB86" s="600"/>
      <c r="AC86" s="600"/>
      <c r="AD86" s="45"/>
      <c r="AE86" s="639"/>
      <c r="AF86" s="639"/>
      <c r="AG86" s="639"/>
    </row>
    <row r="87" spans="1:33">
      <c r="A87" s="5"/>
      <c r="B87" s="639"/>
      <c r="C87" s="639"/>
      <c r="AB87" s="600"/>
      <c r="AC87" s="600"/>
      <c r="AD87" s="45"/>
      <c r="AE87" s="639"/>
      <c r="AF87" s="639"/>
      <c r="AG87" s="639"/>
    </row>
    <row r="88" spans="1:33">
      <c r="A88" s="5"/>
      <c r="B88" s="639"/>
      <c r="C88" s="639"/>
      <c r="AB88" s="600"/>
      <c r="AC88" s="600"/>
      <c r="AD88" s="45"/>
      <c r="AE88" s="639"/>
      <c r="AF88" s="639"/>
      <c r="AG88" s="639"/>
    </row>
    <row r="89" spans="1:33">
      <c r="A89" s="5"/>
      <c r="B89" s="639"/>
      <c r="C89" s="639"/>
      <c r="AB89" s="600"/>
      <c r="AC89" s="600"/>
      <c r="AD89" s="45"/>
      <c r="AE89" s="639"/>
      <c r="AF89" s="639"/>
      <c r="AG89" s="639"/>
    </row>
    <row r="90" spans="1:33">
      <c r="A90" s="5"/>
      <c r="B90" s="639"/>
      <c r="C90" s="639"/>
      <c r="AB90" s="600"/>
      <c r="AC90" s="600"/>
      <c r="AD90" s="45"/>
      <c r="AE90" s="639"/>
      <c r="AF90" s="639"/>
      <c r="AG90" s="639"/>
    </row>
    <row r="91" spans="1:33">
      <c r="A91" s="5"/>
      <c r="B91" s="639"/>
      <c r="C91" s="639"/>
      <c r="AB91" s="600"/>
      <c r="AC91" s="600"/>
      <c r="AD91" s="45"/>
      <c r="AE91" s="639"/>
      <c r="AF91" s="639"/>
      <c r="AG91" s="639"/>
    </row>
    <row r="92" spans="1:33">
      <c r="A92" s="5"/>
      <c r="B92" s="639"/>
      <c r="C92" s="639"/>
      <c r="AB92" s="600"/>
      <c r="AC92" s="600"/>
      <c r="AD92" s="45"/>
      <c r="AE92" s="639"/>
      <c r="AF92" s="639"/>
      <c r="AG92" s="639"/>
    </row>
    <row r="93" spans="1:33">
      <c r="A93" s="5"/>
      <c r="B93" s="639"/>
      <c r="C93" s="639"/>
      <c r="AB93" s="600"/>
      <c r="AC93" s="600"/>
      <c r="AD93" s="45"/>
      <c r="AE93" s="639"/>
      <c r="AF93" s="639"/>
      <c r="AG93" s="639"/>
    </row>
    <row r="94" spans="1:33">
      <c r="A94" s="5"/>
      <c r="B94" s="639"/>
      <c r="C94" s="639"/>
      <c r="AB94" s="600"/>
      <c r="AC94" s="600"/>
      <c r="AD94" s="45"/>
      <c r="AE94" s="639"/>
      <c r="AF94" s="639"/>
      <c r="AG94" s="639"/>
    </row>
    <row r="95" spans="1:33">
      <c r="A95" s="5"/>
      <c r="B95" s="639"/>
      <c r="C95" s="639"/>
      <c r="AB95" s="600"/>
      <c r="AC95" s="600"/>
      <c r="AD95" s="45"/>
      <c r="AE95" s="639"/>
      <c r="AF95" s="639"/>
      <c r="AG95" s="639"/>
    </row>
    <row r="96" spans="1:33">
      <c r="A96" s="5"/>
      <c r="B96" s="639"/>
      <c r="C96" s="639"/>
      <c r="AB96" s="600"/>
      <c r="AC96" s="600"/>
      <c r="AD96" s="45"/>
      <c r="AE96" s="639"/>
      <c r="AF96" s="639"/>
      <c r="AG96" s="639"/>
    </row>
    <row r="97" spans="1:33">
      <c r="A97" s="5"/>
      <c r="B97" s="639"/>
      <c r="C97" s="639"/>
      <c r="AB97" s="600"/>
      <c r="AC97" s="600"/>
      <c r="AD97" s="45"/>
      <c r="AE97" s="639"/>
      <c r="AF97" s="639"/>
      <c r="AG97" s="639"/>
    </row>
    <row r="98" spans="1:33">
      <c r="A98" s="5"/>
      <c r="B98" s="639"/>
      <c r="C98" s="639"/>
      <c r="AB98" s="600"/>
      <c r="AC98" s="600"/>
      <c r="AD98" s="45"/>
      <c r="AE98" s="639"/>
      <c r="AF98" s="639"/>
      <c r="AG98" s="639"/>
    </row>
    <row r="99" spans="1:33">
      <c r="A99" s="5"/>
      <c r="B99" s="639"/>
      <c r="C99" s="639"/>
      <c r="AB99" s="600"/>
      <c r="AC99" s="600"/>
      <c r="AD99" s="45"/>
      <c r="AE99" s="639"/>
      <c r="AF99" s="639"/>
      <c r="AG99" s="639"/>
    </row>
    <row r="100" spans="1:33">
      <c r="A100" s="5"/>
      <c r="B100" s="639"/>
      <c r="C100" s="639"/>
      <c r="AB100" s="600"/>
      <c r="AC100" s="600"/>
      <c r="AD100" s="45"/>
      <c r="AE100" s="639"/>
      <c r="AF100" s="639"/>
      <c r="AG100" s="639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2"/>
  <sheetViews>
    <sheetView topLeftCell="A7" workbookViewId="0">
      <selection activeCell="Q25" sqref="Q25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25" style="44" bestFit="1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7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1"/>
      <c r="AA1" s="17"/>
      <c r="AB1" s="17"/>
      <c r="AC1" s="17"/>
      <c r="AD1" s="8"/>
    </row>
    <row r="2" spans="1:41">
      <c r="A2" s="598" t="s">
        <v>186</v>
      </c>
      <c r="B2" s="598"/>
      <c r="C2" s="598"/>
      <c r="D2" s="598"/>
      <c r="E2" s="598"/>
      <c r="F2" s="598"/>
      <c r="G2" s="598"/>
      <c r="H2" s="598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2"/>
      <c r="AA2" s="18"/>
      <c r="AB2" s="18"/>
      <c r="AC2" s="18"/>
      <c r="AD2" s="24"/>
    </row>
    <row r="3" spans="1:41" ht="3.75" customHeight="1">
      <c r="A3" s="4"/>
      <c r="B3" s="45"/>
      <c r="C3" s="599"/>
      <c r="D3" s="59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45"/>
    </row>
    <row r="4" spans="1:41" ht="22.5" customHeight="1">
      <c r="A4" s="602" t="s">
        <v>410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72"/>
    </row>
    <row r="5" spans="1:41" ht="22.5" customHeight="1">
      <c r="A5" s="602" t="s">
        <v>446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72"/>
    </row>
    <row r="6" spans="1:41" ht="18" customHeight="1">
      <c r="A6" s="8"/>
      <c r="B6" s="50"/>
      <c r="C6" s="8" t="s">
        <v>87</v>
      </c>
      <c r="D6" s="603"/>
      <c r="E6" s="603"/>
      <c r="F6" s="603"/>
      <c r="G6" s="603"/>
      <c r="H6" s="603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3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3"/>
      <c r="AA7" s="48"/>
      <c r="AB7" s="48"/>
    </row>
    <row r="8" spans="1:41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4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3"/>
      <c r="AA9" s="48"/>
      <c r="AB9" s="53"/>
    </row>
    <row r="10" spans="1:41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272</v>
      </c>
      <c r="I10" s="613" t="s">
        <v>180</v>
      </c>
      <c r="J10" s="613" t="s">
        <v>268</v>
      </c>
      <c r="K10" s="613" t="s">
        <v>269</v>
      </c>
      <c r="L10" s="613" t="s">
        <v>170</v>
      </c>
      <c r="M10" s="615"/>
      <c r="N10" s="607" t="s">
        <v>148</v>
      </c>
      <c r="O10" s="607" t="s">
        <v>149</v>
      </c>
      <c r="P10" s="611" t="s">
        <v>150</v>
      </c>
      <c r="Q10" s="617" t="s">
        <v>67</v>
      </c>
      <c r="R10" s="618"/>
      <c r="S10" s="618"/>
      <c r="T10" s="618"/>
      <c r="U10" s="619"/>
      <c r="V10" s="620" t="s">
        <v>168</v>
      </c>
      <c r="W10" s="621"/>
      <c r="X10" s="620" t="s">
        <v>169</v>
      </c>
      <c r="Y10" s="621"/>
      <c r="Z10" s="624" t="s">
        <v>274</v>
      </c>
      <c r="AA10" s="611" t="s">
        <v>154</v>
      </c>
      <c r="AB10" s="624" t="s">
        <v>5</v>
      </c>
      <c r="AC10" s="625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4"/>
      <c r="K11" s="614"/>
      <c r="L11" s="614"/>
      <c r="M11" s="616"/>
      <c r="N11" s="608"/>
      <c r="O11" s="608"/>
      <c r="P11" s="612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6"/>
      <c r="AA11" s="612"/>
      <c r="AB11" s="626"/>
      <c r="AC11" s="627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0"/>
      <c r="AA12" s="254" t="s">
        <v>178</v>
      </c>
      <c r="AB12" s="629" t="s">
        <v>172</v>
      </c>
      <c r="AC12" s="630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40.5" customHeight="1">
      <c r="A13" s="560" t="s">
        <v>32</v>
      </c>
      <c r="B13" s="561" t="s">
        <v>132</v>
      </c>
      <c r="C13" s="562" t="s">
        <v>78</v>
      </c>
      <c r="D13" s="563" t="s">
        <v>359</v>
      </c>
      <c r="E13" s="564" t="str">
        <f>VLOOKUP(B13,[2]T3!$B$2:$D$328,3,FALSE)</f>
        <v>079083003027</v>
      </c>
      <c r="F13" s="565" t="s">
        <v>205</v>
      </c>
      <c r="G13" s="566" t="s">
        <v>248</v>
      </c>
      <c r="H13" s="567">
        <v>8</v>
      </c>
      <c r="I13" s="568">
        <v>6585230</v>
      </c>
      <c r="J13" s="569"/>
      <c r="K13" s="568"/>
      <c r="L13" s="568">
        <f t="shared" ref="L13:L20" si="0">ROUND(I13+K13,0)</f>
        <v>6585230</v>
      </c>
      <c r="M13" s="568">
        <v>17</v>
      </c>
      <c r="N13" s="568">
        <f>L13/26*M13</f>
        <v>4305727.307692308</v>
      </c>
      <c r="O13" s="568"/>
      <c r="P13" s="568">
        <f t="shared" ref="P13:P20" si="1">L13-N13+O13</f>
        <v>2279502.692307692</v>
      </c>
      <c r="Q13" s="568">
        <v>0</v>
      </c>
      <c r="R13" s="570">
        <v>0</v>
      </c>
      <c r="S13" s="568">
        <v>0</v>
      </c>
      <c r="T13" s="570"/>
      <c r="U13" s="570">
        <f t="shared" ref="U13:U20" si="2">SUM(Q13:T13)</f>
        <v>0</v>
      </c>
      <c r="V13" s="570"/>
      <c r="W13" s="570"/>
      <c r="X13" s="571"/>
      <c r="Y13" s="570"/>
      <c r="Z13" s="570"/>
      <c r="AA13" s="570">
        <f t="shared" ref="AA13:AA20" si="3">P13-U13+W13+Y13+Z13</f>
        <v>2279502.692307692</v>
      </c>
      <c r="AB13" s="572" t="str">
        <f t="shared" ref="AB13:AB20" si="4">A13</f>
        <v>01</v>
      </c>
      <c r="AC13" s="573" t="s">
        <v>439</v>
      </c>
      <c r="AD13" s="120" t="s">
        <v>86</v>
      </c>
    </row>
    <row r="14" spans="1:41" s="104" customFormat="1" ht="30" customHeight="1">
      <c r="A14" s="202" t="s">
        <v>33</v>
      </c>
      <c r="B14" s="94" t="s">
        <v>253</v>
      </c>
      <c r="C14" s="95"/>
      <c r="D14" s="112" t="s">
        <v>359</v>
      </c>
      <c r="E14" s="228"/>
      <c r="F14" s="209" t="str">
        <f>VLOOKUP(B14,[1]LuongBC_T01!$B$277:$C$292,2,FALSE)</f>
        <v>0016100006651008</v>
      </c>
      <c r="G14" s="97" t="s">
        <v>248</v>
      </c>
      <c r="H14" s="233">
        <v>6</v>
      </c>
      <c r="I14" s="98">
        <v>5972998</v>
      </c>
      <c r="J14" s="113"/>
      <c r="K14" s="98"/>
      <c r="L14" s="98">
        <f t="shared" si="0"/>
        <v>5972998</v>
      </c>
      <c r="M14" s="98"/>
      <c r="N14" s="98">
        <f>L14/26*M14</f>
        <v>0</v>
      </c>
      <c r="O14" s="98"/>
      <c r="P14" s="98">
        <f t="shared" si="1"/>
        <v>5972998</v>
      </c>
      <c r="Q14" s="98">
        <f t="shared" ref="Q14:Q20" si="5">L14*8%</f>
        <v>477839.84</v>
      </c>
      <c r="R14" s="99">
        <f t="shared" ref="R14:R20" si="6">L14*1.5%</f>
        <v>89594.97</v>
      </c>
      <c r="S14" s="98">
        <f t="shared" ref="S14:S20" si="7">L14*1%</f>
        <v>59729.98</v>
      </c>
      <c r="T14" s="99"/>
      <c r="U14" s="99">
        <f t="shared" si="2"/>
        <v>627164.79</v>
      </c>
      <c r="V14" s="99"/>
      <c r="W14" s="99"/>
      <c r="X14" s="151"/>
      <c r="Y14" s="99"/>
      <c r="Z14" s="99"/>
      <c r="AA14" s="99">
        <f t="shared" si="3"/>
        <v>5345833.21</v>
      </c>
      <c r="AB14" s="101" t="str">
        <f t="shared" si="4"/>
        <v>02</v>
      </c>
      <c r="AC14" s="102"/>
      <c r="AD14" s="120"/>
    </row>
    <row r="15" spans="1:41" s="104" customFormat="1" ht="30.75" customHeight="1">
      <c r="A15" s="202" t="s">
        <v>34</v>
      </c>
      <c r="B15" s="94" t="s">
        <v>254</v>
      </c>
      <c r="C15" s="95"/>
      <c r="D15" s="112" t="s">
        <v>359</v>
      </c>
      <c r="E15" s="228"/>
      <c r="F15" s="209" t="str">
        <f>VLOOKUP(B15,[1]LuongBC_T01!$B$277:$C$292,2,FALSE)</f>
        <v>0016100006666005</v>
      </c>
      <c r="G15" s="97" t="s">
        <v>248</v>
      </c>
      <c r="H15" s="233">
        <v>6</v>
      </c>
      <c r="I15" s="98">
        <v>5972998</v>
      </c>
      <c r="J15" s="113"/>
      <c r="K15" s="98"/>
      <c r="L15" s="98">
        <f t="shared" si="0"/>
        <v>5972998</v>
      </c>
      <c r="M15" s="98"/>
      <c r="N15" s="98">
        <f t="shared" ref="N15:N20" si="8">L15/26*M15</f>
        <v>0</v>
      </c>
      <c r="O15" s="98"/>
      <c r="P15" s="98">
        <f t="shared" si="1"/>
        <v>5972998</v>
      </c>
      <c r="Q15" s="98">
        <f t="shared" si="5"/>
        <v>477839.84</v>
      </c>
      <c r="R15" s="99">
        <f t="shared" si="6"/>
        <v>89594.97</v>
      </c>
      <c r="S15" s="98">
        <f t="shared" si="7"/>
        <v>59729.98</v>
      </c>
      <c r="T15" s="99"/>
      <c r="U15" s="99">
        <f t="shared" si="2"/>
        <v>627164.79</v>
      </c>
      <c r="V15" s="99"/>
      <c r="W15" s="99"/>
      <c r="X15" s="151"/>
      <c r="Y15" s="99"/>
      <c r="Z15" s="99"/>
      <c r="AA15" s="99">
        <f t="shared" si="3"/>
        <v>5345833.21</v>
      </c>
      <c r="AB15" s="101" t="str">
        <f t="shared" si="4"/>
        <v>03</v>
      </c>
      <c r="AC15" s="102"/>
      <c r="AD15" s="120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359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8"/>
        <v>0</v>
      </c>
      <c r="O16" s="98"/>
      <c r="P16" s="98">
        <f t="shared" si="1"/>
        <v>4914000</v>
      </c>
      <c r="Q16" s="98">
        <f t="shared" si="5"/>
        <v>393120</v>
      </c>
      <c r="R16" s="99">
        <f t="shared" si="6"/>
        <v>73710</v>
      </c>
      <c r="S16" s="98">
        <f t="shared" si="7"/>
        <v>49140</v>
      </c>
      <c r="T16" s="99"/>
      <c r="U16" s="99">
        <f t="shared" si="2"/>
        <v>515970</v>
      </c>
      <c r="V16" s="99"/>
      <c r="W16" s="99"/>
      <c r="X16" s="151"/>
      <c r="Y16" s="99"/>
      <c r="Z16" s="99"/>
      <c r="AA16" s="99">
        <f t="shared" si="3"/>
        <v>4398030</v>
      </c>
      <c r="AB16" s="101" t="str">
        <f t="shared" si="4"/>
        <v>04</v>
      </c>
      <c r="AC16" s="102"/>
      <c r="AD16" s="102" t="s">
        <v>229</v>
      </c>
    </row>
    <row r="17" spans="1:30" s="104" customFormat="1" ht="28.5" customHeight="1">
      <c r="A17" s="202" t="s">
        <v>36</v>
      </c>
      <c r="B17" s="94" t="s">
        <v>291</v>
      </c>
      <c r="C17" s="95"/>
      <c r="D17" s="112" t="s">
        <v>357</v>
      </c>
      <c r="E17" s="266"/>
      <c r="F17" s="223" t="s">
        <v>325</v>
      </c>
      <c r="G17" s="97" t="s">
        <v>248</v>
      </c>
      <c r="H17" s="233">
        <v>3</v>
      </c>
      <c r="I17" s="98">
        <v>5159700</v>
      </c>
      <c r="J17" s="113"/>
      <c r="K17" s="98"/>
      <c r="L17" s="267">
        <f t="shared" si="0"/>
        <v>5159700</v>
      </c>
      <c r="M17" s="98"/>
      <c r="N17" s="98">
        <f t="shared" si="8"/>
        <v>0</v>
      </c>
      <c r="O17" s="98"/>
      <c r="P17" s="98">
        <f t="shared" si="1"/>
        <v>5159700</v>
      </c>
      <c r="Q17" s="98">
        <f t="shared" si="5"/>
        <v>412776</v>
      </c>
      <c r="R17" s="99">
        <f t="shared" si="6"/>
        <v>77395.5</v>
      </c>
      <c r="S17" s="98">
        <f t="shared" si="7"/>
        <v>51597</v>
      </c>
      <c r="T17" s="99"/>
      <c r="U17" s="99">
        <f t="shared" si="2"/>
        <v>541768.5</v>
      </c>
      <c r="V17" s="99"/>
      <c r="W17" s="100"/>
      <c r="X17" s="100"/>
      <c r="Y17" s="100"/>
      <c r="Z17" s="100"/>
      <c r="AA17" s="99">
        <f t="shared" si="3"/>
        <v>4617931.5</v>
      </c>
      <c r="AB17" s="101" t="str">
        <f t="shared" si="4"/>
        <v>05</v>
      </c>
      <c r="AC17" s="102"/>
      <c r="AD17" s="255" t="s">
        <v>286</v>
      </c>
    </row>
    <row r="18" spans="1:30" s="104" customFormat="1" ht="36.75" customHeight="1">
      <c r="A18" s="202" t="s">
        <v>37</v>
      </c>
      <c r="B18" s="94" t="s">
        <v>288</v>
      </c>
      <c r="C18" s="95"/>
      <c r="D18" s="112" t="s">
        <v>358</v>
      </c>
      <c r="E18" s="266"/>
      <c r="F18" s="223" t="s">
        <v>324</v>
      </c>
      <c r="G18" s="97" t="s">
        <v>247</v>
      </c>
      <c r="H18" s="233">
        <v>2</v>
      </c>
      <c r="I18" s="98">
        <v>5257980</v>
      </c>
      <c r="J18" s="113"/>
      <c r="K18" s="98"/>
      <c r="L18" s="267">
        <f t="shared" si="0"/>
        <v>5257980</v>
      </c>
      <c r="M18" s="98"/>
      <c r="N18" s="98">
        <f t="shared" si="8"/>
        <v>0</v>
      </c>
      <c r="O18" s="98"/>
      <c r="P18" s="98">
        <f t="shared" si="1"/>
        <v>5257980</v>
      </c>
      <c r="Q18" s="98">
        <f t="shared" si="5"/>
        <v>420638.4</v>
      </c>
      <c r="R18" s="99">
        <f t="shared" si="6"/>
        <v>78869.7</v>
      </c>
      <c r="S18" s="98">
        <f t="shared" si="7"/>
        <v>52579.8</v>
      </c>
      <c r="T18" s="99"/>
      <c r="U18" s="99">
        <f t="shared" si="2"/>
        <v>552087.9</v>
      </c>
      <c r="V18" s="99"/>
      <c r="W18" s="100"/>
      <c r="X18" s="100"/>
      <c r="Y18" s="100"/>
      <c r="Z18" s="100"/>
      <c r="AA18" s="99">
        <f t="shared" si="3"/>
        <v>4705892.0999999996</v>
      </c>
      <c r="AB18" s="101" t="str">
        <f t="shared" si="4"/>
        <v>06</v>
      </c>
      <c r="AC18" s="102"/>
      <c r="AD18" s="255" t="s">
        <v>286</v>
      </c>
    </row>
    <row r="19" spans="1:30" s="104" customFormat="1" ht="30.75" customHeight="1">
      <c r="A19" s="202" t="s">
        <v>38</v>
      </c>
      <c r="B19" s="94" t="s">
        <v>321</v>
      </c>
      <c r="C19" s="95"/>
      <c r="D19" s="112" t="s">
        <v>279</v>
      </c>
      <c r="E19" s="527" t="s">
        <v>334</v>
      </c>
      <c r="F19" s="336" t="s">
        <v>333</v>
      </c>
      <c r="G19" s="97" t="s">
        <v>248</v>
      </c>
      <c r="H19" s="233">
        <v>1</v>
      </c>
      <c r="I19" s="98">
        <v>4914000</v>
      </c>
      <c r="J19" s="113"/>
      <c r="K19" s="98"/>
      <c r="L19" s="267">
        <f t="shared" si="0"/>
        <v>4914000</v>
      </c>
      <c r="M19" s="98"/>
      <c r="N19" s="98">
        <f t="shared" si="8"/>
        <v>0</v>
      </c>
      <c r="O19" s="98"/>
      <c r="P19" s="98">
        <f t="shared" si="1"/>
        <v>4914000</v>
      </c>
      <c r="Q19" s="98">
        <f t="shared" si="5"/>
        <v>393120</v>
      </c>
      <c r="R19" s="99">
        <f t="shared" si="6"/>
        <v>73710</v>
      </c>
      <c r="S19" s="98">
        <f t="shared" si="7"/>
        <v>49140</v>
      </c>
      <c r="T19" s="99"/>
      <c r="U19" s="99">
        <f t="shared" si="2"/>
        <v>515970</v>
      </c>
      <c r="V19" s="99"/>
      <c r="W19" s="100"/>
      <c r="X19" s="100"/>
      <c r="Y19" s="100"/>
      <c r="Z19" s="100"/>
      <c r="AA19" s="99">
        <f t="shared" si="3"/>
        <v>4398030</v>
      </c>
      <c r="AB19" s="101" t="str">
        <f t="shared" si="4"/>
        <v>07</v>
      </c>
      <c r="AC19" s="102"/>
      <c r="AD19" s="255" t="s">
        <v>322</v>
      </c>
    </row>
    <row r="20" spans="1:30" s="104" customFormat="1" ht="29.25" customHeight="1">
      <c r="A20" s="202" t="s">
        <v>39</v>
      </c>
      <c r="B20" s="94" t="s">
        <v>323</v>
      </c>
      <c r="C20" s="95"/>
      <c r="D20" s="112" t="s">
        <v>279</v>
      </c>
      <c r="E20" s="527" t="s">
        <v>335</v>
      </c>
      <c r="F20" s="336" t="s">
        <v>336</v>
      </c>
      <c r="G20" s="97" t="s">
        <v>248</v>
      </c>
      <c r="H20" s="233">
        <v>1</v>
      </c>
      <c r="I20" s="98">
        <v>4914000</v>
      </c>
      <c r="J20" s="113"/>
      <c r="K20" s="98"/>
      <c r="L20" s="267">
        <f t="shared" si="0"/>
        <v>4914000</v>
      </c>
      <c r="M20" s="98"/>
      <c r="N20" s="98">
        <f t="shared" si="8"/>
        <v>0</v>
      </c>
      <c r="O20" s="98"/>
      <c r="P20" s="98">
        <f t="shared" si="1"/>
        <v>4914000</v>
      </c>
      <c r="Q20" s="98">
        <f t="shared" si="5"/>
        <v>393120</v>
      </c>
      <c r="R20" s="99">
        <f t="shared" si="6"/>
        <v>73710</v>
      </c>
      <c r="S20" s="98">
        <f t="shared" si="7"/>
        <v>49140</v>
      </c>
      <c r="T20" s="99"/>
      <c r="U20" s="99">
        <f t="shared" si="2"/>
        <v>515970</v>
      </c>
      <c r="V20" s="99"/>
      <c r="W20" s="100"/>
      <c r="X20" s="100"/>
      <c r="Y20" s="100"/>
      <c r="Z20" s="100"/>
      <c r="AA20" s="99">
        <f t="shared" si="3"/>
        <v>4398030</v>
      </c>
      <c r="AB20" s="101" t="str">
        <f t="shared" si="4"/>
        <v>08</v>
      </c>
      <c r="AC20" s="102"/>
      <c r="AD20" s="255" t="s">
        <v>322</v>
      </c>
    </row>
    <row r="21" spans="1:30" ht="24.75" customHeight="1">
      <c r="A21" s="88"/>
      <c r="B21" s="635" t="s">
        <v>11</v>
      </c>
      <c r="C21" s="636"/>
      <c r="D21" s="161"/>
      <c r="E21" s="161"/>
      <c r="F21" s="82"/>
      <c r="G21" s="82"/>
      <c r="H21" s="89">
        <f>SUM(H13:H20)</f>
        <v>29</v>
      </c>
      <c r="I21" s="80">
        <f>SUM(I13:I20)</f>
        <v>43690906</v>
      </c>
      <c r="J21" s="153">
        <f>SUM(J13:J20)</f>
        <v>0</v>
      </c>
      <c r="K21" s="80">
        <f>SUM(K13:K20)</f>
        <v>0</v>
      </c>
      <c r="L21" s="80">
        <f>SUM(L13:L20)</f>
        <v>43690906</v>
      </c>
      <c r="M21" s="80"/>
      <c r="N21" s="80">
        <f t="shared" ref="N21:Y21" si="9">SUM(N13:N20)</f>
        <v>4305727.307692308</v>
      </c>
      <c r="O21" s="80">
        <f t="shared" si="9"/>
        <v>0</v>
      </c>
      <c r="P21" s="80">
        <f t="shared" si="9"/>
        <v>39385178.692307696</v>
      </c>
      <c r="Q21" s="80">
        <f t="shared" si="9"/>
        <v>2968454.08</v>
      </c>
      <c r="R21" s="80">
        <f t="shared" si="9"/>
        <v>556585.14</v>
      </c>
      <c r="S21" s="80">
        <f t="shared" si="9"/>
        <v>371056.76</v>
      </c>
      <c r="T21" s="153">
        <f t="shared" si="9"/>
        <v>0</v>
      </c>
      <c r="U21" s="80">
        <f t="shared" si="9"/>
        <v>3896095.98</v>
      </c>
      <c r="V21" s="93">
        <f t="shared" si="9"/>
        <v>0</v>
      </c>
      <c r="W21" s="80">
        <f t="shared" si="9"/>
        <v>0</v>
      </c>
      <c r="X21" s="93">
        <f t="shared" si="9"/>
        <v>0</v>
      </c>
      <c r="Y21" s="80">
        <f t="shared" si="9"/>
        <v>0</v>
      </c>
      <c r="Z21" s="345"/>
      <c r="AA21" s="80">
        <f>SUM(AA13:AA20)</f>
        <v>35489082.712307692</v>
      </c>
      <c r="AB21" s="90"/>
      <c r="AC21" s="91"/>
      <c r="AD21" s="507"/>
    </row>
    <row r="22" spans="1:30" ht="6.75" customHeight="1">
      <c r="A22" s="6"/>
      <c r="B22" s="142"/>
      <c r="C22" s="64"/>
      <c r="D22" s="162"/>
      <c r="E22" s="162"/>
      <c r="F22" s="204"/>
      <c r="G22" s="47"/>
      <c r="H22" s="46"/>
      <c r="I22" s="52"/>
      <c r="J22" s="46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344"/>
      <c r="AA22" s="52"/>
      <c r="AB22" s="54"/>
      <c r="AC22" s="68"/>
      <c r="AD22" s="117"/>
    </row>
    <row r="23" spans="1:30" ht="18.75" customHeight="1">
      <c r="A23" s="5"/>
      <c r="B23" s="637" t="s">
        <v>12</v>
      </c>
      <c r="C23" s="637"/>
      <c r="D23" s="17" t="s">
        <v>447</v>
      </c>
      <c r="E23" s="17"/>
      <c r="S23" s="18"/>
      <c r="T23" s="18"/>
      <c r="U23" s="18"/>
      <c r="V23" s="18"/>
      <c r="W23" s="18"/>
      <c r="X23" s="18"/>
      <c r="Y23" s="18"/>
      <c r="Z23" s="342"/>
      <c r="AA23" s="18"/>
      <c r="AB23" s="17"/>
      <c r="AC23" s="67"/>
      <c r="AD23" s="508"/>
    </row>
    <row r="24" spans="1:30" ht="7.5" customHeight="1">
      <c r="A24" s="5"/>
      <c r="B24" s="637"/>
      <c r="C24" s="637"/>
      <c r="D24" s="163"/>
      <c r="E24" s="163"/>
      <c r="F24" s="206"/>
      <c r="G24" s="49"/>
      <c r="H24" s="49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346"/>
      <c r="AA24" s="50"/>
      <c r="AB24" s="603"/>
      <c r="AC24" s="603"/>
      <c r="AD24" s="356"/>
    </row>
    <row r="25" spans="1:30" ht="21" customHeight="1">
      <c r="A25" s="5"/>
      <c r="B25" s="639"/>
      <c r="C25" s="639"/>
      <c r="D25" s="7"/>
      <c r="E25" s="7"/>
      <c r="F25" s="207"/>
      <c r="G25" s="5"/>
      <c r="H25" s="5"/>
      <c r="S25" s="640" t="s">
        <v>445</v>
      </c>
      <c r="T25" s="640"/>
      <c r="U25" s="640"/>
      <c r="V25" s="640"/>
      <c r="W25" s="640"/>
      <c r="X25" s="640"/>
      <c r="Y25" s="640"/>
      <c r="Z25" s="640"/>
      <c r="AA25" s="640"/>
      <c r="AB25" s="640"/>
      <c r="AC25" s="640"/>
      <c r="AD25" s="646"/>
    </row>
    <row r="26" spans="1:30" ht="15.75" customHeight="1">
      <c r="A26" s="598" t="s">
        <v>13</v>
      </c>
      <c r="B26" s="598"/>
      <c r="C26" s="598"/>
      <c r="D26" s="598"/>
      <c r="E26" s="598"/>
      <c r="F26" s="598"/>
      <c r="G26" s="598"/>
      <c r="H26" s="598"/>
      <c r="I26" s="598" t="s">
        <v>183</v>
      </c>
      <c r="J26" s="598"/>
      <c r="K26" s="598"/>
      <c r="L26" s="598"/>
      <c r="M26" s="598"/>
      <c r="N26" s="598"/>
      <c r="O26" s="598"/>
      <c r="P26" s="598"/>
      <c r="Q26" s="598"/>
      <c r="R26" s="598"/>
      <c r="S26" s="643" t="s">
        <v>14</v>
      </c>
      <c r="T26" s="643"/>
      <c r="U26" s="643"/>
      <c r="V26" s="643"/>
      <c r="W26" s="643"/>
      <c r="X26" s="643"/>
      <c r="Y26" s="643"/>
      <c r="Z26" s="643"/>
      <c r="AA26" s="643"/>
      <c r="AB26" s="643"/>
      <c r="AC26" s="643"/>
      <c r="AD26" s="647"/>
    </row>
    <row r="27" spans="1:30" ht="15.75" customHeight="1">
      <c r="A27" s="5"/>
      <c r="B27" s="599"/>
      <c r="C27" s="599"/>
      <c r="D27" s="7"/>
      <c r="E27" s="7"/>
      <c r="F27" s="207"/>
      <c r="G27" s="5"/>
      <c r="H27" s="5"/>
      <c r="I27" s="4"/>
      <c r="J27" s="4"/>
      <c r="K27" s="4"/>
      <c r="L27" s="4"/>
      <c r="M27" s="4"/>
      <c r="N27" s="4"/>
      <c r="O27" s="4"/>
      <c r="P27" s="4"/>
      <c r="Q27" s="70"/>
      <c r="R27" s="4"/>
      <c r="S27" s="4"/>
      <c r="T27" s="4"/>
      <c r="U27" s="4"/>
      <c r="V27" s="4"/>
      <c r="AB27" s="599"/>
      <c r="AC27" s="599"/>
      <c r="AD27" s="509"/>
    </row>
    <row r="28" spans="1:30" ht="15.75" customHeight="1">
      <c r="A28" s="5"/>
      <c r="B28" s="639"/>
      <c r="C28" s="639"/>
      <c r="D28" s="7"/>
      <c r="E28" s="7"/>
      <c r="F28" s="207"/>
      <c r="G28" s="5"/>
      <c r="H28" s="5"/>
      <c r="I28" s="4"/>
      <c r="J28" s="4"/>
      <c r="K28" s="4"/>
      <c r="L28" s="4"/>
      <c r="M28" s="4"/>
      <c r="N28" s="4"/>
      <c r="O28" s="4"/>
      <c r="P28" s="4"/>
      <c r="Q28" s="4"/>
      <c r="S28" s="157"/>
      <c r="T28" s="157"/>
      <c r="U28" s="157"/>
      <c r="V28" s="157"/>
      <c r="W28" s="157"/>
      <c r="X28" s="157"/>
      <c r="Y28" s="157"/>
      <c r="Z28" s="348"/>
      <c r="AA28" s="157"/>
      <c r="AB28" s="157"/>
      <c r="AC28" s="157"/>
      <c r="AD28" s="157"/>
    </row>
    <row r="29" spans="1:30" ht="15.75" customHeight="1">
      <c r="A29" s="5"/>
      <c r="C29" s="5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AC29" s="75"/>
      <c r="AD29" s="75"/>
    </row>
    <row r="30" spans="1:30" ht="9.75" customHeight="1">
      <c r="A30" s="5"/>
      <c r="B30" s="639"/>
      <c r="C30" s="639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AB30" s="599"/>
      <c r="AC30" s="599"/>
      <c r="AD30" s="4"/>
    </row>
    <row r="31" spans="1:30" ht="15.75" customHeight="1">
      <c r="A31" s="5"/>
      <c r="B31" s="639"/>
      <c r="C31" s="639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B31" s="599"/>
      <c r="AC31" s="599"/>
      <c r="AD31" s="4"/>
    </row>
    <row r="32" spans="1:30" ht="15.75" customHeight="1">
      <c r="A32" s="5"/>
      <c r="B32" s="639"/>
      <c r="C32" s="639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599"/>
      <c r="AC32" s="599"/>
      <c r="AD32" s="4"/>
    </row>
    <row r="33" spans="1:30" ht="15.75" customHeight="1">
      <c r="A33" s="598" t="s">
        <v>227</v>
      </c>
      <c r="B33" s="598"/>
      <c r="C33" s="598"/>
      <c r="D33" s="598"/>
      <c r="E33" s="598"/>
      <c r="F33" s="598"/>
      <c r="G33" s="598"/>
      <c r="H33" s="598"/>
      <c r="I33" s="598" t="s">
        <v>123</v>
      </c>
      <c r="J33" s="598"/>
      <c r="K33" s="598"/>
      <c r="L33" s="598"/>
      <c r="M33" s="598"/>
      <c r="N33" s="598"/>
      <c r="O33" s="598"/>
      <c r="P33" s="598"/>
      <c r="Q33" s="598"/>
      <c r="R33" s="598"/>
      <c r="S33" s="598" t="s">
        <v>120</v>
      </c>
      <c r="T33" s="598"/>
      <c r="U33" s="598"/>
      <c r="V33" s="598"/>
      <c r="W33" s="598"/>
      <c r="X33" s="598"/>
      <c r="Y33" s="598"/>
      <c r="Z33" s="598"/>
      <c r="AA33" s="598"/>
      <c r="AB33" s="598"/>
      <c r="AC33" s="598"/>
      <c r="AD33" s="8"/>
    </row>
    <row r="34" spans="1:30">
      <c r="A34" s="61"/>
      <c r="B34" s="63"/>
      <c r="C34" s="62"/>
      <c r="D34" s="164"/>
      <c r="E34" s="164"/>
      <c r="F34" s="208"/>
      <c r="G34" s="63"/>
      <c r="H34" s="63"/>
      <c r="I34" s="63"/>
      <c r="J34" s="51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49"/>
      <c r="AA34" s="63"/>
      <c r="AB34" s="645"/>
      <c r="AC34" s="645"/>
      <c r="AD34" s="51"/>
    </row>
    <row r="35" spans="1:30">
      <c r="B35" s="30"/>
      <c r="C35" s="19"/>
      <c r="G35" s="30"/>
      <c r="H35" s="30"/>
      <c r="AB35" s="600"/>
      <c r="AC35" s="600"/>
      <c r="AD35" s="45"/>
    </row>
    <row r="36" spans="1:30">
      <c r="A36" s="5"/>
      <c r="B36" s="639"/>
      <c r="C36" s="639"/>
      <c r="AB36" s="600"/>
      <c r="AC36" s="600"/>
      <c r="AD36" s="45"/>
    </row>
    <row r="37" spans="1:30">
      <c r="A37" s="5"/>
      <c r="B37" s="639"/>
      <c r="C37" s="639"/>
      <c r="AB37" s="600"/>
      <c r="AC37" s="600"/>
      <c r="AD37" s="45"/>
    </row>
    <row r="38" spans="1:30">
      <c r="A38" s="5"/>
      <c r="B38" s="639"/>
      <c r="C38" s="639"/>
      <c r="AB38" s="600"/>
      <c r="AC38" s="600"/>
      <c r="AD38" s="45"/>
    </row>
    <row r="39" spans="1:30">
      <c r="A39" s="5"/>
      <c r="B39" s="639"/>
      <c r="C39" s="639"/>
      <c r="AB39" s="600"/>
      <c r="AC39" s="600"/>
      <c r="AD39" s="45"/>
    </row>
    <row r="40" spans="1:30">
      <c r="A40" s="5"/>
      <c r="B40" s="639"/>
      <c r="C40" s="639"/>
      <c r="AB40" s="600"/>
      <c r="AC40" s="600"/>
      <c r="AD40" s="45"/>
    </row>
    <row r="41" spans="1:30">
      <c r="A41" s="5"/>
      <c r="B41" s="639"/>
      <c r="C41" s="639"/>
      <c r="AB41" s="600"/>
      <c r="AC41" s="600"/>
      <c r="AD41" s="45"/>
    </row>
    <row r="42" spans="1:30">
      <c r="A42" s="5"/>
      <c r="B42" s="639"/>
      <c r="C42" s="639"/>
      <c r="AB42" s="600"/>
      <c r="AC42" s="600"/>
      <c r="AD42" s="45"/>
    </row>
    <row r="43" spans="1:30">
      <c r="A43" s="5"/>
      <c r="B43" s="639"/>
      <c r="C43" s="639"/>
      <c r="AB43" s="600"/>
      <c r="AC43" s="600"/>
      <c r="AD43" s="45"/>
    </row>
    <row r="44" spans="1:30">
      <c r="A44" s="5"/>
      <c r="B44" s="639"/>
      <c r="C44" s="639"/>
      <c r="AB44" s="600"/>
      <c r="AC44" s="600"/>
      <c r="AD44" s="45"/>
    </row>
    <row r="45" spans="1:30">
      <c r="A45" s="5"/>
      <c r="B45" s="639"/>
      <c r="C45" s="639"/>
      <c r="AB45" s="600"/>
      <c r="AC45" s="600"/>
      <c r="AD45" s="45"/>
    </row>
    <row r="46" spans="1:30">
      <c r="A46" s="5"/>
      <c r="B46" s="639"/>
      <c r="C46" s="639"/>
      <c r="AB46" s="600"/>
      <c r="AC46" s="600"/>
      <c r="AD46" s="45"/>
    </row>
    <row r="47" spans="1:30">
      <c r="A47" s="5"/>
      <c r="B47" s="639"/>
      <c r="C47" s="639"/>
      <c r="AB47" s="600"/>
      <c r="AC47" s="600"/>
      <c r="AD47" s="45"/>
    </row>
    <row r="48" spans="1:30">
      <c r="A48" s="5"/>
      <c r="B48" s="639"/>
      <c r="C48" s="639"/>
      <c r="AB48" s="600"/>
      <c r="AC48" s="600"/>
      <c r="AD48" s="45"/>
    </row>
    <row r="49" spans="1:30">
      <c r="A49" s="5"/>
      <c r="B49" s="639"/>
      <c r="C49" s="639"/>
      <c r="AB49" s="600"/>
      <c r="AC49" s="600"/>
      <c r="AD49" s="45"/>
    </row>
    <row r="50" spans="1:30">
      <c r="A50" s="5"/>
      <c r="B50" s="639"/>
      <c r="C50" s="639"/>
      <c r="AB50" s="600"/>
      <c r="AC50" s="600"/>
      <c r="AD50" s="45"/>
    </row>
    <row r="51" spans="1:30">
      <c r="A51" s="5"/>
      <c r="B51" s="639"/>
      <c r="C51" s="639"/>
      <c r="AB51" s="600"/>
      <c r="AC51" s="600"/>
      <c r="AD51" s="45"/>
    </row>
    <row r="52" spans="1:30">
      <c r="A52" s="5"/>
      <c r="B52" s="639"/>
      <c r="C52" s="639"/>
      <c r="AB52" s="600"/>
      <c r="AC52" s="600"/>
      <c r="AD52" s="45"/>
    </row>
  </sheetData>
  <mergeCells count="90">
    <mergeCell ref="A4:AC4"/>
    <mergeCell ref="A1:H1"/>
    <mergeCell ref="A2:H2"/>
    <mergeCell ref="C3:D3"/>
    <mergeCell ref="Q3:AA3"/>
    <mergeCell ref="AB3:AC3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D25:AD26"/>
    <mergeCell ref="A26:H26"/>
    <mergeCell ref="I26:R26"/>
    <mergeCell ref="S26:AC26"/>
    <mergeCell ref="Z10:Z11"/>
    <mergeCell ref="AA10:AA11"/>
    <mergeCell ref="AB10:AC11"/>
    <mergeCell ref="AB12:AC12"/>
    <mergeCell ref="B21:C21"/>
    <mergeCell ref="N10:N11"/>
    <mergeCell ref="O10:O11"/>
    <mergeCell ref="P10:P11"/>
    <mergeCell ref="Q10:U10"/>
    <mergeCell ref="V10:W10"/>
    <mergeCell ref="X10:Y10"/>
    <mergeCell ref="H10:H11"/>
    <mergeCell ref="B31:C31"/>
    <mergeCell ref="AB31:AC31"/>
    <mergeCell ref="B23:C23"/>
    <mergeCell ref="B24:C24"/>
    <mergeCell ref="AB24:AC24"/>
    <mergeCell ref="B25:C25"/>
    <mergeCell ref="S25:AC25"/>
    <mergeCell ref="B27:C27"/>
    <mergeCell ref="AB27:AC27"/>
    <mergeCell ref="B28:C28"/>
    <mergeCell ref="B30:C30"/>
    <mergeCell ref="AB30:AC30"/>
    <mergeCell ref="B38:C38"/>
    <mergeCell ref="AB38:AC38"/>
    <mergeCell ref="B32:C32"/>
    <mergeCell ref="AB32:AC32"/>
    <mergeCell ref="A33:H33"/>
    <mergeCell ref="I33:R33"/>
    <mergeCell ref="S33:AC33"/>
    <mergeCell ref="AB34:AC34"/>
    <mergeCell ref="AB35:AC35"/>
    <mergeCell ref="B36:C36"/>
    <mergeCell ref="AB36:AC36"/>
    <mergeCell ref="B37:C37"/>
    <mergeCell ref="AB37:AC37"/>
    <mergeCell ref="B39:C39"/>
    <mergeCell ref="AB39:AC39"/>
    <mergeCell ref="B40:C40"/>
    <mergeCell ref="AB40:AC40"/>
    <mergeCell ref="B41:C41"/>
    <mergeCell ref="AB41:AC41"/>
    <mergeCell ref="B42:C42"/>
    <mergeCell ref="AB42:AC42"/>
    <mergeCell ref="B43:C43"/>
    <mergeCell ref="AB43:AC43"/>
    <mergeCell ref="B44:C44"/>
    <mergeCell ref="AB44:AC44"/>
    <mergeCell ref="B52:C52"/>
    <mergeCell ref="AB52:AC52"/>
    <mergeCell ref="B50:C50"/>
    <mergeCell ref="AB50:AC50"/>
    <mergeCell ref="B45:C45"/>
    <mergeCell ref="AB45:AC45"/>
    <mergeCell ref="B46:C46"/>
    <mergeCell ref="AB46:AC46"/>
    <mergeCell ref="B51:C51"/>
    <mergeCell ref="B47:C47"/>
    <mergeCell ref="AB47:AC47"/>
    <mergeCell ref="B48:C48"/>
    <mergeCell ref="AB48:AC48"/>
    <mergeCell ref="AB51:AC51"/>
    <mergeCell ref="B49:C49"/>
    <mergeCell ref="AB49:AC49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598" t="s">
        <v>186</v>
      </c>
      <c r="B2" s="598"/>
      <c r="C2" s="598"/>
      <c r="D2" s="598"/>
      <c r="E2" s="598"/>
      <c r="F2" s="598"/>
      <c r="G2" s="598"/>
      <c r="H2" s="598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99"/>
      <c r="D3" s="59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45"/>
      <c r="AD3" s="4"/>
      <c r="AE3" s="599"/>
      <c r="AF3" s="599"/>
      <c r="AG3" s="601"/>
      <c r="AH3" s="601"/>
    </row>
    <row r="4" spans="1:37" ht="22.5" customHeight="1">
      <c r="A4" s="602" t="s">
        <v>165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02" t="s">
        <v>354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03"/>
      <c r="E6" s="603"/>
      <c r="F6" s="603"/>
      <c r="G6" s="603"/>
      <c r="H6" s="603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153</v>
      </c>
      <c r="I10" s="613" t="s">
        <v>180</v>
      </c>
      <c r="J10" s="613" t="s">
        <v>268</v>
      </c>
      <c r="K10" s="613" t="s">
        <v>269</v>
      </c>
      <c r="L10" s="613" t="s">
        <v>170</v>
      </c>
      <c r="M10" s="615"/>
      <c r="N10" s="607" t="s">
        <v>148</v>
      </c>
      <c r="O10" s="607" t="s">
        <v>149</v>
      </c>
      <c r="P10" s="611" t="s">
        <v>150</v>
      </c>
      <c r="Q10" s="617" t="s">
        <v>67</v>
      </c>
      <c r="R10" s="618"/>
      <c r="S10" s="618"/>
      <c r="T10" s="618"/>
      <c r="U10" s="619"/>
      <c r="V10" s="620" t="s">
        <v>168</v>
      </c>
      <c r="W10" s="621"/>
      <c r="X10" s="624" t="s">
        <v>274</v>
      </c>
      <c r="Y10" s="258"/>
      <c r="Z10" s="611" t="s">
        <v>154</v>
      </c>
      <c r="AA10" s="624" t="s">
        <v>5</v>
      </c>
      <c r="AB10" s="625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28"/>
      <c r="AJ10" s="87"/>
      <c r="AK10" s="79"/>
    </row>
    <row r="11" spans="1:37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4"/>
      <c r="K11" s="614"/>
      <c r="L11" s="614"/>
      <c r="M11" s="616"/>
      <c r="N11" s="608"/>
      <c r="O11" s="608"/>
      <c r="P11" s="612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26"/>
      <c r="Y11" s="259"/>
      <c r="Z11" s="612"/>
      <c r="AA11" s="626"/>
      <c r="AB11" s="627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28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29" t="s">
        <v>172</v>
      </c>
      <c r="AB12" s="630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35" t="s">
        <v>11</v>
      </c>
      <c r="C14" s="636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37" t="s">
        <v>12</v>
      </c>
      <c r="C16" s="637"/>
      <c r="D16" s="17" t="s">
        <v>331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7"/>
      <c r="C17" s="637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03"/>
      <c r="AB17" s="603"/>
      <c r="AC17" s="50"/>
      <c r="AD17" s="638" t="e">
        <f>1000000-#REF!</f>
        <v>#REF!</v>
      </c>
      <c r="AE17" s="639"/>
      <c r="AF17" s="639"/>
    </row>
    <row r="18" spans="1:38" ht="15.75" customHeight="1">
      <c r="A18" s="5"/>
      <c r="B18" s="639"/>
      <c r="C18" s="639"/>
      <c r="D18" s="7"/>
      <c r="E18" s="7"/>
      <c r="F18" s="207"/>
      <c r="G18" s="5"/>
      <c r="H18" s="5"/>
      <c r="S18" s="640" t="s">
        <v>355</v>
      </c>
      <c r="T18" s="640"/>
      <c r="U18" s="640"/>
      <c r="V18" s="640"/>
      <c r="W18" s="640"/>
      <c r="X18" s="640"/>
      <c r="Y18" s="640"/>
      <c r="Z18" s="640"/>
      <c r="AA18" s="640"/>
      <c r="AB18" s="640"/>
      <c r="AC18" s="641"/>
      <c r="AD18" s="639"/>
      <c r="AE18" s="639"/>
      <c r="AF18" s="639"/>
    </row>
    <row r="19" spans="1:38" ht="15.75" customHeight="1">
      <c r="A19" s="598" t="s">
        <v>13</v>
      </c>
      <c r="B19" s="598"/>
      <c r="C19" s="598"/>
      <c r="D19" s="598"/>
      <c r="E19" s="598"/>
      <c r="F19" s="598"/>
      <c r="G19" s="598"/>
      <c r="H19" s="598"/>
      <c r="I19" s="598" t="s">
        <v>183</v>
      </c>
      <c r="J19" s="598"/>
      <c r="K19" s="598"/>
      <c r="L19" s="598"/>
      <c r="M19" s="598"/>
      <c r="N19" s="598"/>
      <c r="O19" s="598"/>
      <c r="P19" s="598"/>
      <c r="Q19" s="598"/>
      <c r="R19" s="598"/>
      <c r="S19" s="643" t="s">
        <v>14</v>
      </c>
      <c r="T19" s="643"/>
      <c r="U19" s="643"/>
      <c r="V19" s="643"/>
      <c r="W19" s="643"/>
      <c r="X19" s="643"/>
      <c r="Y19" s="643"/>
      <c r="Z19" s="643"/>
      <c r="AA19" s="643"/>
      <c r="AB19" s="643"/>
      <c r="AC19" s="642"/>
      <c r="AD19" s="644"/>
      <c r="AE19" s="644"/>
      <c r="AF19" s="644"/>
    </row>
    <row r="20" spans="1:38" ht="15.75" customHeight="1">
      <c r="A20" s="5"/>
      <c r="B20" s="599"/>
      <c r="C20" s="599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99"/>
      <c r="AB20" s="599"/>
      <c r="AC20" s="4"/>
      <c r="AD20" s="639"/>
      <c r="AE20" s="639"/>
      <c r="AF20" s="639"/>
    </row>
    <row r="21" spans="1:38" ht="15.75" customHeight="1">
      <c r="A21" s="5"/>
      <c r="B21" s="639"/>
      <c r="C21" s="639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39"/>
      <c r="C23" s="639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99"/>
      <c r="AB23" s="599"/>
      <c r="AC23" s="4"/>
      <c r="AD23" s="638"/>
      <c r="AE23" s="639"/>
      <c r="AF23" s="639"/>
    </row>
    <row r="24" spans="1:38" ht="15.75" customHeight="1">
      <c r="A24" s="5"/>
      <c r="B24" s="639"/>
      <c r="C24" s="639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99"/>
      <c r="AB24" s="599"/>
      <c r="AC24" s="4"/>
      <c r="AD24" s="638"/>
      <c r="AE24" s="639"/>
      <c r="AF24" s="639"/>
    </row>
    <row r="25" spans="1:38" ht="15.75" customHeight="1">
      <c r="A25" s="5"/>
      <c r="B25" s="639"/>
      <c r="C25" s="639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99"/>
      <c r="AB25" s="599"/>
      <c r="AC25" s="4"/>
      <c r="AD25" s="638"/>
      <c r="AE25" s="639"/>
      <c r="AF25" s="639"/>
    </row>
    <row r="26" spans="1:38" ht="15.75" customHeight="1">
      <c r="A26" s="598" t="s">
        <v>227</v>
      </c>
      <c r="B26" s="598"/>
      <c r="C26" s="598"/>
      <c r="D26" s="598"/>
      <c r="E26" s="598"/>
      <c r="F26" s="598"/>
      <c r="G26" s="598"/>
      <c r="H26" s="598"/>
      <c r="I26" s="598" t="s">
        <v>123</v>
      </c>
      <c r="J26" s="598"/>
      <c r="K26" s="598"/>
      <c r="L26" s="598"/>
      <c r="M26" s="598"/>
      <c r="N26" s="598"/>
      <c r="O26" s="598"/>
      <c r="P26" s="598"/>
      <c r="Q26" s="598"/>
      <c r="R26" s="598"/>
      <c r="S26" s="598" t="s">
        <v>120</v>
      </c>
      <c r="T26" s="598"/>
      <c r="U26" s="598"/>
      <c r="V26" s="598"/>
      <c r="W26" s="598"/>
      <c r="X26" s="598"/>
      <c r="Y26" s="598"/>
      <c r="Z26" s="598"/>
      <c r="AA26" s="598"/>
      <c r="AB26" s="598"/>
      <c r="AC26" s="8"/>
      <c r="AD26" s="644"/>
      <c r="AE26" s="644"/>
      <c r="AF26" s="644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45"/>
      <c r="AB27" s="645"/>
      <c r="AC27" s="51"/>
      <c r="AD27" s="638"/>
      <c r="AE27" s="639"/>
      <c r="AF27" s="639"/>
    </row>
    <row r="28" spans="1:38">
      <c r="B28" s="30"/>
      <c r="C28" s="19"/>
      <c r="G28" s="30"/>
      <c r="H28" s="30"/>
      <c r="AA28" s="600"/>
      <c r="AB28" s="600"/>
      <c r="AC28" s="45"/>
      <c r="AD28" s="639"/>
      <c r="AE28" s="639"/>
      <c r="AF28" s="639"/>
    </row>
    <row r="29" spans="1:38">
      <c r="A29" s="5"/>
      <c r="B29" s="639"/>
      <c r="C29" s="639"/>
      <c r="AA29" s="600"/>
      <c r="AB29" s="600"/>
      <c r="AC29" s="45"/>
      <c r="AD29" s="639"/>
      <c r="AE29" s="639"/>
      <c r="AF29" s="639"/>
    </row>
    <row r="30" spans="1:38">
      <c r="A30" s="5"/>
      <c r="B30" s="639"/>
      <c r="C30" s="639"/>
      <c r="AA30" s="600"/>
      <c r="AB30" s="600"/>
      <c r="AC30" s="45"/>
      <c r="AD30" s="639"/>
      <c r="AE30" s="639"/>
      <c r="AF30" s="639"/>
    </row>
    <row r="31" spans="1:38">
      <c r="A31" s="5"/>
      <c r="B31" s="639"/>
      <c r="C31" s="639"/>
      <c r="AA31" s="600"/>
      <c r="AB31" s="600"/>
      <c r="AC31" s="45"/>
      <c r="AD31" s="639"/>
      <c r="AE31" s="639"/>
      <c r="AF31" s="639"/>
    </row>
    <row r="32" spans="1:38">
      <c r="A32" s="5"/>
      <c r="B32" s="639"/>
      <c r="C32" s="639"/>
      <c r="AA32" s="600"/>
      <c r="AB32" s="600"/>
      <c r="AC32" s="45"/>
      <c r="AD32" s="639"/>
      <c r="AE32" s="639"/>
      <c r="AF32" s="639"/>
    </row>
    <row r="33" spans="1:32">
      <c r="A33" s="5"/>
      <c r="B33" s="639"/>
      <c r="C33" s="639"/>
      <c r="AA33" s="600"/>
      <c r="AB33" s="600"/>
      <c r="AC33" s="45"/>
      <c r="AD33" s="639"/>
      <c r="AE33" s="639"/>
      <c r="AF33" s="639"/>
    </row>
    <row r="34" spans="1:32">
      <c r="A34" s="5"/>
      <c r="B34" s="639"/>
      <c r="C34" s="639"/>
      <c r="AA34" s="600"/>
      <c r="AB34" s="600"/>
      <c r="AC34" s="45"/>
      <c r="AD34" s="639"/>
      <c r="AE34" s="639"/>
      <c r="AF34" s="639"/>
    </row>
    <row r="35" spans="1:32">
      <c r="A35" s="5"/>
      <c r="B35" s="639"/>
      <c r="C35" s="639"/>
      <c r="AA35" s="600"/>
      <c r="AB35" s="600"/>
      <c r="AC35" s="45"/>
      <c r="AD35" s="639"/>
      <c r="AE35" s="639"/>
      <c r="AF35" s="639"/>
    </row>
    <row r="36" spans="1:32">
      <c r="A36" s="5"/>
      <c r="B36" s="639"/>
      <c r="C36" s="639"/>
      <c r="AA36" s="600"/>
      <c r="AB36" s="600"/>
      <c r="AC36" s="45"/>
      <c r="AD36" s="639"/>
      <c r="AE36" s="639"/>
      <c r="AF36" s="639"/>
    </row>
    <row r="37" spans="1:32">
      <c r="A37" s="5"/>
      <c r="B37" s="639"/>
      <c r="C37" s="639"/>
      <c r="AA37" s="600"/>
      <c r="AB37" s="600"/>
      <c r="AC37" s="45"/>
      <c r="AD37" s="639"/>
      <c r="AE37" s="639"/>
      <c r="AF37" s="639"/>
    </row>
    <row r="38" spans="1:32">
      <c r="A38" s="5"/>
      <c r="B38" s="639"/>
      <c r="C38" s="639"/>
      <c r="AA38" s="600"/>
      <c r="AB38" s="600"/>
      <c r="AC38" s="45"/>
      <c r="AD38" s="639"/>
      <c r="AE38" s="639"/>
      <c r="AF38" s="639"/>
    </row>
    <row r="39" spans="1:32">
      <c r="A39" s="5"/>
      <c r="B39" s="639"/>
      <c r="C39" s="639"/>
      <c r="AA39" s="600"/>
      <c r="AB39" s="600"/>
      <c r="AC39" s="45"/>
      <c r="AD39" s="639"/>
      <c r="AE39" s="639"/>
      <c r="AF39" s="639"/>
    </row>
    <row r="40" spans="1:32">
      <c r="A40" s="5"/>
      <c r="B40" s="639"/>
      <c r="C40" s="639"/>
      <c r="AA40" s="600"/>
      <c r="AB40" s="600"/>
      <c r="AC40" s="45"/>
      <c r="AD40" s="639"/>
      <c r="AE40" s="639"/>
      <c r="AF40" s="639"/>
    </row>
    <row r="41" spans="1:32">
      <c r="A41" s="5"/>
      <c r="B41" s="639"/>
      <c r="C41" s="639"/>
      <c r="AA41" s="600"/>
      <c r="AB41" s="600"/>
      <c r="AC41" s="45"/>
      <c r="AD41" s="639"/>
      <c r="AE41" s="639"/>
      <c r="AF41" s="639"/>
    </row>
    <row r="42" spans="1:32">
      <c r="A42" s="5"/>
      <c r="B42" s="639"/>
      <c r="C42" s="639"/>
      <c r="AA42" s="600"/>
      <c r="AB42" s="600"/>
      <c r="AC42" s="45"/>
      <c r="AD42" s="639"/>
      <c r="AE42" s="639"/>
      <c r="AF42" s="639"/>
    </row>
    <row r="43" spans="1:32">
      <c r="A43" s="5"/>
      <c r="B43" s="639"/>
      <c r="C43" s="639"/>
      <c r="AA43" s="600"/>
      <c r="AB43" s="600"/>
      <c r="AC43" s="45"/>
      <c r="AD43" s="639"/>
      <c r="AE43" s="639"/>
      <c r="AF43" s="639"/>
    </row>
    <row r="44" spans="1:32">
      <c r="A44" s="5"/>
      <c r="B44" s="639"/>
      <c r="C44" s="639"/>
      <c r="AA44" s="600"/>
      <c r="AB44" s="600"/>
      <c r="AC44" s="45"/>
      <c r="AD44" s="639"/>
      <c r="AE44" s="639"/>
      <c r="AF44" s="639"/>
    </row>
    <row r="45" spans="1:32">
      <c r="A45" s="5"/>
      <c r="B45" s="639"/>
      <c r="C45" s="639"/>
      <c r="AA45" s="600"/>
      <c r="AB45" s="600"/>
      <c r="AC45" s="45"/>
      <c r="AD45" s="639"/>
      <c r="AE45" s="639"/>
      <c r="AF45" s="639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100"/>
  <sheetViews>
    <sheetView tabSelected="1" topLeftCell="A37" zoomScaleNormal="100" workbookViewId="0">
      <selection activeCell="K48" sqref="K48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5" style="45" hidden="1" customWidth="1"/>
    <col min="11" max="11" width="10.375" style="44" customWidth="1"/>
    <col min="12" max="12" width="11.75" style="44" customWidth="1"/>
    <col min="13" max="13" width="2.875" style="44" hidden="1" customWidth="1"/>
    <col min="14" max="14" width="10.7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7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424"/>
      <c r="AF1" s="424"/>
      <c r="AG1" s="424"/>
      <c r="AH1" s="424"/>
      <c r="AI1" s="425"/>
    </row>
    <row r="2" spans="1:39" ht="16.5">
      <c r="A2" s="598" t="s">
        <v>186</v>
      </c>
      <c r="B2" s="598"/>
      <c r="C2" s="598"/>
      <c r="D2" s="598"/>
      <c r="E2" s="598"/>
      <c r="F2" s="598"/>
      <c r="G2" s="598"/>
      <c r="H2" s="598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426"/>
      <c r="AF2" s="426"/>
      <c r="AG2" s="426"/>
      <c r="AH2" s="426"/>
      <c r="AI2" s="425"/>
    </row>
    <row r="3" spans="1:39" ht="3.75" customHeight="1">
      <c r="A3" s="4"/>
      <c r="B3" s="45"/>
      <c r="C3" s="599"/>
      <c r="D3" s="59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45"/>
      <c r="AE3" s="427"/>
      <c r="AF3" s="663"/>
      <c r="AG3" s="663"/>
      <c r="AH3" s="662"/>
      <c r="AI3" s="662"/>
    </row>
    <row r="4" spans="1:39" ht="22.5" customHeight="1">
      <c r="A4" s="602" t="s">
        <v>191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72"/>
      <c r="AE4" s="424"/>
      <c r="AF4" s="424"/>
      <c r="AG4" s="424">
        <f>2.67*1150000*0.65</f>
        <v>1995825</v>
      </c>
      <c r="AH4" s="424"/>
      <c r="AI4" s="425"/>
    </row>
    <row r="5" spans="1:39" ht="22.5" customHeight="1">
      <c r="A5" s="602" t="s">
        <v>446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72"/>
      <c r="AE5" s="424"/>
      <c r="AF5" s="424"/>
      <c r="AG5" s="424"/>
      <c r="AH5" s="424"/>
      <c r="AI5" s="425"/>
    </row>
    <row r="6" spans="1:39" ht="18" customHeight="1">
      <c r="A6" s="8"/>
      <c r="B6" s="50"/>
      <c r="C6" s="8" t="s">
        <v>87</v>
      </c>
      <c r="D6" s="603"/>
      <c r="E6" s="603"/>
      <c r="F6" s="603"/>
      <c r="G6" s="603"/>
      <c r="H6" s="603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424" t="s">
        <v>17</v>
      </c>
      <c r="AF6" s="424"/>
      <c r="AG6" s="424">
        <f>3*1150000</f>
        <v>3450000</v>
      </c>
      <c r="AH6" s="424">
        <f>2.67*1150000</f>
        <v>3070500</v>
      </c>
      <c r="AI6" s="424"/>
    </row>
    <row r="7" spans="1:39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424"/>
      <c r="AF7" s="424"/>
      <c r="AG7" s="424">
        <f>AG6*10.5%</f>
        <v>362250</v>
      </c>
      <c r="AH7" s="424">
        <f>AH6*10.5%</f>
        <v>322402.5</v>
      </c>
      <c r="AI7" s="424"/>
    </row>
    <row r="8" spans="1:39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424"/>
      <c r="AF8" s="424"/>
      <c r="AG8" s="42">
        <f>AG6-AG7</f>
        <v>3087750</v>
      </c>
      <c r="AH8" s="42">
        <f>AH6-AH7</f>
        <v>2748097.5</v>
      </c>
      <c r="AK8" s="428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424"/>
      <c r="AF9" s="424"/>
      <c r="AG9" s="42">
        <f>AG6*0.65</f>
        <v>2242500</v>
      </c>
      <c r="AH9" s="42">
        <f>AH6*0.65</f>
        <v>1995825</v>
      </c>
      <c r="AK9" s="428"/>
    </row>
    <row r="10" spans="1:39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272</v>
      </c>
      <c r="I10" s="613" t="s">
        <v>180</v>
      </c>
      <c r="J10" s="613" t="s">
        <v>268</v>
      </c>
      <c r="K10" s="613" t="s">
        <v>269</v>
      </c>
      <c r="L10" s="613" t="s">
        <v>170</v>
      </c>
      <c r="M10" s="615"/>
      <c r="N10" s="607" t="s">
        <v>148</v>
      </c>
      <c r="O10" s="607" t="s">
        <v>149</v>
      </c>
      <c r="P10" s="611" t="s">
        <v>150</v>
      </c>
      <c r="Q10" s="617" t="s">
        <v>67</v>
      </c>
      <c r="R10" s="618"/>
      <c r="S10" s="618"/>
      <c r="T10" s="618"/>
      <c r="U10" s="619"/>
      <c r="V10" s="620" t="s">
        <v>168</v>
      </c>
      <c r="W10" s="621"/>
      <c r="X10" s="620" t="s">
        <v>169</v>
      </c>
      <c r="Y10" s="621"/>
      <c r="Z10" s="622" t="s">
        <v>274</v>
      </c>
      <c r="AA10" s="611" t="s">
        <v>154</v>
      </c>
      <c r="AB10" s="624" t="s">
        <v>5</v>
      </c>
      <c r="AC10" s="625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28"/>
      <c r="AK10" s="87"/>
      <c r="AL10" s="79"/>
      <c r="AM10" s="79"/>
    </row>
    <row r="11" spans="1:39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4"/>
      <c r="K11" s="614"/>
      <c r="L11" s="614"/>
      <c r="M11" s="616"/>
      <c r="N11" s="608"/>
      <c r="O11" s="608"/>
      <c r="P11" s="612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23"/>
      <c r="AA11" s="612"/>
      <c r="AB11" s="626"/>
      <c r="AC11" s="627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28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29" t="s">
        <v>172</v>
      </c>
      <c r="AC12" s="630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588" customFormat="1" ht="29.25" customHeight="1">
      <c r="A13" s="129" t="s">
        <v>32</v>
      </c>
      <c r="B13" s="589" t="s">
        <v>192</v>
      </c>
      <c r="C13" s="130"/>
      <c r="D13" s="229" t="s">
        <v>55</v>
      </c>
      <c r="E13" s="365" t="s">
        <v>240</v>
      </c>
      <c r="F13" s="313" t="s">
        <v>206</v>
      </c>
      <c r="G13" s="590" t="s">
        <v>248</v>
      </c>
      <c r="H13" s="591">
        <v>4</v>
      </c>
      <c r="I13" s="592">
        <v>5417685</v>
      </c>
      <c r="J13" s="593"/>
      <c r="K13" s="592"/>
      <c r="L13" s="592">
        <f t="shared" ref="L13:L67" si="0">ROUND(I13+K13,0)</f>
        <v>5417685</v>
      </c>
      <c r="M13" s="592"/>
      <c r="N13" s="592">
        <f>L13/26*M13</f>
        <v>0</v>
      </c>
      <c r="O13" s="592"/>
      <c r="P13" s="592">
        <f t="shared" ref="P13:P67" si="1">L13-N13+O13</f>
        <v>5417685</v>
      </c>
      <c r="Q13" s="592">
        <f>L13*8%</f>
        <v>433414.8</v>
      </c>
      <c r="R13" s="594">
        <f>L13*1.5%</f>
        <v>81265.274999999994</v>
      </c>
      <c r="S13" s="592">
        <f>L13*1%</f>
        <v>54176.85</v>
      </c>
      <c r="T13" s="594"/>
      <c r="U13" s="594">
        <f t="shared" ref="U13:U67" si="2">SUM(Q13:T13)</f>
        <v>568856.92499999993</v>
      </c>
      <c r="V13" s="594"/>
      <c r="W13" s="594"/>
      <c r="X13" s="595"/>
      <c r="Y13" s="594"/>
      <c r="Z13" s="594"/>
      <c r="AA13" s="596">
        <f t="shared" ref="AA13:AA67" si="3">P13-U13+W13+Y13+Z13</f>
        <v>4848828.0750000002</v>
      </c>
      <c r="AB13" s="133" t="str">
        <f t="shared" ref="AB13:AB34" si="4">A13</f>
        <v>01</v>
      </c>
      <c r="AC13" s="367"/>
      <c r="AD13" s="102" t="s">
        <v>233</v>
      </c>
      <c r="AE13" s="120"/>
      <c r="AF13" s="116"/>
      <c r="AK13" s="587"/>
    </row>
    <row r="14" spans="1:39" s="362" customFormat="1" ht="30.75" customHeight="1">
      <c r="A14" s="202" t="s">
        <v>33</v>
      </c>
      <c r="B14" s="470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53" t="s">
        <v>248</v>
      </c>
      <c r="H14" s="454">
        <v>9</v>
      </c>
      <c r="I14" s="455">
        <v>6914491</v>
      </c>
      <c r="J14" s="456"/>
      <c r="K14" s="455"/>
      <c r="L14" s="455">
        <f t="shared" si="0"/>
        <v>6914491</v>
      </c>
      <c r="M14" s="455"/>
      <c r="N14" s="455">
        <f>L14/26*M14</f>
        <v>0</v>
      </c>
      <c r="O14" s="455"/>
      <c r="P14" s="455">
        <f t="shared" si="1"/>
        <v>6914491</v>
      </c>
      <c r="Q14" s="455">
        <f>L14*8%</f>
        <v>553159.28</v>
      </c>
      <c r="R14" s="457">
        <f>L14*1.5%</f>
        <v>103717.36499999999</v>
      </c>
      <c r="S14" s="455">
        <f>L14*1%</f>
        <v>69144.91</v>
      </c>
      <c r="T14" s="457"/>
      <c r="U14" s="457">
        <f t="shared" si="2"/>
        <v>726021.55500000005</v>
      </c>
      <c r="V14" s="457"/>
      <c r="W14" s="457"/>
      <c r="X14" s="458"/>
      <c r="Y14" s="457"/>
      <c r="Z14" s="457"/>
      <c r="AA14" s="463">
        <f t="shared" si="3"/>
        <v>6188469.4450000003</v>
      </c>
      <c r="AB14" s="101" t="str">
        <f t="shared" si="4"/>
        <v>02</v>
      </c>
      <c r="AC14" s="102"/>
      <c r="AD14" s="361"/>
      <c r="AE14" s="432"/>
      <c r="AF14" s="431"/>
      <c r="AG14" s="431"/>
      <c r="AH14" s="431"/>
      <c r="AI14" s="431"/>
      <c r="AJ14" s="431"/>
      <c r="AK14" s="432"/>
      <c r="AL14" s="431"/>
      <c r="AM14" s="431"/>
    </row>
    <row r="15" spans="1:39" s="588" customFormat="1" ht="34.5" customHeight="1">
      <c r="A15" s="202" t="s">
        <v>34</v>
      </c>
      <c r="B15" s="470" t="s">
        <v>245</v>
      </c>
      <c r="C15" s="159"/>
      <c r="D15" s="112" t="s">
        <v>55</v>
      </c>
      <c r="E15" s="228"/>
      <c r="F15" s="223"/>
      <c r="G15" s="453" t="s">
        <v>244</v>
      </c>
      <c r="H15" s="454">
        <v>3</v>
      </c>
      <c r="I15" s="455">
        <v>6134525</v>
      </c>
      <c r="J15" s="456"/>
      <c r="K15" s="455"/>
      <c r="L15" s="455">
        <f t="shared" si="0"/>
        <v>6134525</v>
      </c>
      <c r="M15" s="455"/>
      <c r="N15" s="455">
        <f>L15/26*M15</f>
        <v>0</v>
      </c>
      <c r="O15" s="455"/>
      <c r="P15" s="455">
        <f t="shared" si="1"/>
        <v>6134525</v>
      </c>
      <c r="Q15" s="455"/>
      <c r="R15" s="457"/>
      <c r="S15" s="455"/>
      <c r="T15" s="457"/>
      <c r="U15" s="457">
        <f t="shared" si="2"/>
        <v>0</v>
      </c>
      <c r="V15" s="457"/>
      <c r="W15" s="457"/>
      <c r="X15" s="457"/>
      <c r="Y15" s="457"/>
      <c r="Z15" s="457"/>
      <c r="AA15" s="463">
        <f t="shared" si="3"/>
        <v>6134525</v>
      </c>
      <c r="AB15" s="101" t="str">
        <f t="shared" si="4"/>
        <v>03</v>
      </c>
      <c r="AC15" s="118"/>
      <c r="AD15" s="368"/>
      <c r="AE15" s="232"/>
      <c r="AF15" s="232"/>
      <c r="AG15" s="110"/>
      <c r="AH15" s="110"/>
      <c r="AK15" s="111"/>
    </row>
    <row r="16" spans="1:39" s="511" customFormat="1" ht="35.450000000000003" customHeight="1">
      <c r="A16" s="202" t="s">
        <v>35</v>
      </c>
      <c r="B16" s="470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453" t="s">
        <v>248</v>
      </c>
      <c r="H16" s="454">
        <v>11</v>
      </c>
      <c r="I16" s="455">
        <v>7623227</v>
      </c>
      <c r="J16" s="456"/>
      <c r="K16" s="455"/>
      <c r="L16" s="455">
        <f t="shared" si="0"/>
        <v>7623227</v>
      </c>
      <c r="M16" s="455"/>
      <c r="N16" s="455">
        <f>L16/26*M16</f>
        <v>0</v>
      </c>
      <c r="O16" s="455"/>
      <c r="P16" s="455">
        <f t="shared" si="1"/>
        <v>7623227</v>
      </c>
      <c r="Q16" s="455">
        <f t="shared" ref="Q16:Q36" si="5">L16*8%</f>
        <v>609858.16</v>
      </c>
      <c r="R16" s="457">
        <f t="shared" ref="R16:R66" si="6">L16*1.5%</f>
        <v>114348.405</v>
      </c>
      <c r="S16" s="455">
        <f t="shared" ref="S16:S66" si="7">L16*1%</f>
        <v>76232.27</v>
      </c>
      <c r="T16" s="457"/>
      <c r="U16" s="457">
        <f t="shared" si="2"/>
        <v>800438.83500000008</v>
      </c>
      <c r="V16" s="457"/>
      <c r="W16" s="457"/>
      <c r="X16" s="458"/>
      <c r="Y16" s="457"/>
      <c r="Z16" s="457"/>
      <c r="AA16" s="463">
        <f t="shared" si="3"/>
        <v>6822788.165</v>
      </c>
      <c r="AB16" s="101" t="str">
        <f t="shared" si="4"/>
        <v>04</v>
      </c>
      <c r="AC16" s="102"/>
      <c r="AD16" s="510"/>
      <c r="AE16" s="510"/>
      <c r="AK16" s="510"/>
    </row>
    <row r="17" spans="1:39" s="362" customFormat="1" ht="30" customHeight="1">
      <c r="A17" s="202" t="s">
        <v>36</v>
      </c>
      <c r="B17" s="578" t="s">
        <v>308</v>
      </c>
      <c r="C17" s="409"/>
      <c r="D17" s="399" t="s">
        <v>55</v>
      </c>
      <c r="E17" s="400"/>
      <c r="F17" s="401"/>
      <c r="G17" s="579" t="s">
        <v>244</v>
      </c>
      <c r="H17" s="580">
        <v>2</v>
      </c>
      <c r="I17" s="581">
        <v>5733201</v>
      </c>
      <c r="J17" s="582"/>
      <c r="K17" s="581"/>
      <c r="L17" s="581">
        <f t="shared" si="0"/>
        <v>5733201</v>
      </c>
      <c r="M17" s="581"/>
      <c r="N17" s="581">
        <f t="shared" ref="N17:N67" si="8">L17/26*M17</f>
        <v>0</v>
      </c>
      <c r="O17" s="581"/>
      <c r="P17" s="581">
        <f t="shared" si="1"/>
        <v>5733201</v>
      </c>
      <c r="Q17" s="581">
        <f t="shared" si="5"/>
        <v>458656.08</v>
      </c>
      <c r="R17" s="583">
        <f t="shared" si="6"/>
        <v>85998.014999999999</v>
      </c>
      <c r="S17" s="581">
        <f t="shared" si="7"/>
        <v>57332.01</v>
      </c>
      <c r="T17" s="583"/>
      <c r="U17" s="583">
        <f t="shared" si="2"/>
        <v>601986.10499999998</v>
      </c>
      <c r="V17" s="583"/>
      <c r="W17" s="584"/>
      <c r="X17" s="584"/>
      <c r="Y17" s="584"/>
      <c r="Z17" s="584"/>
      <c r="AA17" s="585">
        <f t="shared" si="3"/>
        <v>5131214.8949999996</v>
      </c>
      <c r="AB17" s="407" t="str">
        <f t="shared" si="4"/>
        <v>05</v>
      </c>
      <c r="AC17" s="411"/>
      <c r="AD17" s="255" t="s">
        <v>310</v>
      </c>
      <c r="AE17" s="434"/>
      <c r="AF17" s="435"/>
      <c r="AG17" s="431"/>
      <c r="AH17" s="431"/>
      <c r="AI17" s="431"/>
      <c r="AJ17" s="431"/>
      <c r="AK17" s="432"/>
      <c r="AL17" s="431"/>
      <c r="AM17" s="431"/>
    </row>
    <row r="18" spans="1:39" s="535" customFormat="1" ht="30" customHeight="1">
      <c r="A18" s="202" t="s">
        <v>37</v>
      </c>
      <c r="B18" s="513" t="s">
        <v>413</v>
      </c>
      <c r="C18" s="95"/>
      <c r="D18" s="112" t="s">
        <v>55</v>
      </c>
      <c r="E18" s="228"/>
      <c r="F18" s="223"/>
      <c r="G18" s="453" t="s">
        <v>248</v>
      </c>
      <c r="H18" s="454">
        <v>1</v>
      </c>
      <c r="I18" s="455">
        <v>4680000</v>
      </c>
      <c r="J18" s="456"/>
      <c r="K18" s="455"/>
      <c r="L18" s="455">
        <f t="shared" si="0"/>
        <v>4680000</v>
      </c>
      <c r="M18" s="455"/>
      <c r="N18" s="455">
        <f t="shared" si="8"/>
        <v>0</v>
      </c>
      <c r="O18" s="455"/>
      <c r="P18" s="455">
        <f t="shared" si="1"/>
        <v>4680000</v>
      </c>
      <c r="Q18" s="455">
        <f t="shared" si="5"/>
        <v>374400</v>
      </c>
      <c r="R18" s="457">
        <f t="shared" si="6"/>
        <v>70200</v>
      </c>
      <c r="S18" s="455">
        <f t="shared" si="7"/>
        <v>46800</v>
      </c>
      <c r="T18" s="457"/>
      <c r="U18" s="457">
        <f t="shared" si="2"/>
        <v>491400</v>
      </c>
      <c r="V18" s="457"/>
      <c r="W18" s="459"/>
      <c r="X18" s="459"/>
      <c r="Y18" s="459"/>
      <c r="Z18" s="459"/>
      <c r="AA18" s="463">
        <f t="shared" si="3"/>
        <v>4188600</v>
      </c>
      <c r="AB18" s="101"/>
      <c r="AC18" s="255"/>
      <c r="AD18" s="255" t="s">
        <v>418</v>
      </c>
      <c r="AE18" s="117"/>
      <c r="AF18" s="144"/>
      <c r="AK18" s="534"/>
    </row>
    <row r="19" spans="1:39" s="550" customFormat="1" ht="30" customHeight="1">
      <c r="A19" s="202" t="s">
        <v>38</v>
      </c>
      <c r="B19" s="513" t="s">
        <v>422</v>
      </c>
      <c r="C19" s="95"/>
      <c r="D19" s="112" t="s">
        <v>55</v>
      </c>
      <c r="E19" s="228"/>
      <c r="F19" s="223"/>
      <c r="G19" s="453" t="s">
        <v>248</v>
      </c>
      <c r="H19" s="454">
        <v>1</v>
      </c>
      <c r="I19" s="455">
        <v>4680000</v>
      </c>
      <c r="J19" s="456"/>
      <c r="K19" s="455"/>
      <c r="L19" s="455">
        <f t="shared" si="0"/>
        <v>4680000</v>
      </c>
      <c r="M19" s="455"/>
      <c r="N19" s="455">
        <f t="shared" si="8"/>
        <v>0</v>
      </c>
      <c r="O19" s="455"/>
      <c r="P19" s="455">
        <f t="shared" si="1"/>
        <v>4680000</v>
      </c>
      <c r="Q19" s="455">
        <f t="shared" si="5"/>
        <v>374400</v>
      </c>
      <c r="R19" s="457">
        <f t="shared" si="6"/>
        <v>70200</v>
      </c>
      <c r="S19" s="455">
        <f t="shared" si="7"/>
        <v>46800</v>
      </c>
      <c r="T19" s="457"/>
      <c r="U19" s="457">
        <f t="shared" si="2"/>
        <v>491400</v>
      </c>
      <c r="V19" s="457"/>
      <c r="W19" s="459"/>
      <c r="X19" s="459"/>
      <c r="Y19" s="459"/>
      <c r="Z19" s="459"/>
      <c r="AA19" s="463">
        <f t="shared" si="3"/>
        <v>4188600</v>
      </c>
      <c r="AB19" s="101"/>
      <c r="AC19" s="255"/>
      <c r="AD19" s="255" t="s">
        <v>421</v>
      </c>
      <c r="AE19" s="117"/>
      <c r="AF19" s="144"/>
      <c r="AK19" s="549"/>
    </row>
    <row r="20" spans="1:39" s="588" customFormat="1" ht="42.75" customHeight="1">
      <c r="A20" s="202" t="s">
        <v>39</v>
      </c>
      <c r="B20" s="470" t="s">
        <v>320</v>
      </c>
      <c r="C20" s="95"/>
      <c r="D20" s="112" t="s">
        <v>411</v>
      </c>
      <c r="E20" s="227" t="s">
        <v>337</v>
      </c>
      <c r="F20" s="336" t="s">
        <v>338</v>
      </c>
      <c r="G20" s="453" t="s">
        <v>244</v>
      </c>
      <c r="H20" s="454">
        <v>1</v>
      </c>
      <c r="I20" s="455">
        <v>5358132</v>
      </c>
      <c r="J20" s="456"/>
      <c r="K20" s="455"/>
      <c r="L20" s="455">
        <f t="shared" si="0"/>
        <v>5358132</v>
      </c>
      <c r="M20" s="455"/>
      <c r="N20" s="455">
        <f t="shared" si="8"/>
        <v>0</v>
      </c>
      <c r="O20" s="455"/>
      <c r="P20" s="455">
        <f t="shared" si="1"/>
        <v>5358132</v>
      </c>
      <c r="Q20" s="455">
        <f t="shared" si="5"/>
        <v>428650.56</v>
      </c>
      <c r="R20" s="457">
        <f t="shared" si="6"/>
        <v>80371.98</v>
      </c>
      <c r="S20" s="455">
        <f t="shared" si="7"/>
        <v>53581.32</v>
      </c>
      <c r="T20" s="457"/>
      <c r="U20" s="457">
        <f t="shared" si="2"/>
        <v>562603.86</v>
      </c>
      <c r="V20" s="457"/>
      <c r="W20" s="459"/>
      <c r="X20" s="459"/>
      <c r="Y20" s="459"/>
      <c r="Z20" s="459"/>
      <c r="AA20" s="463">
        <f t="shared" si="3"/>
        <v>4795528.1399999997</v>
      </c>
      <c r="AB20" s="101" t="str">
        <f t="shared" si="4"/>
        <v>08</v>
      </c>
      <c r="AC20" s="255"/>
      <c r="AD20" s="255" t="s">
        <v>322</v>
      </c>
      <c r="AE20" s="117"/>
      <c r="AF20" s="144"/>
      <c r="AK20" s="587"/>
    </row>
    <row r="21" spans="1:39" s="533" customFormat="1" ht="31.5" customHeight="1">
      <c r="A21" s="202" t="s">
        <v>40</v>
      </c>
      <c r="B21" s="470" t="s">
        <v>345</v>
      </c>
      <c r="C21" s="95"/>
      <c r="D21" s="112" t="s">
        <v>55</v>
      </c>
      <c r="E21" s="228"/>
      <c r="F21" s="223"/>
      <c r="G21" s="453" t="s">
        <v>247</v>
      </c>
      <c r="H21" s="454">
        <v>12</v>
      </c>
      <c r="I21" s="455">
        <v>8564695</v>
      </c>
      <c r="J21" s="462">
        <v>0.05</v>
      </c>
      <c r="K21" s="455">
        <f>I21*J21</f>
        <v>428234.75</v>
      </c>
      <c r="L21" s="455">
        <f t="shared" si="0"/>
        <v>8992930</v>
      </c>
      <c r="M21" s="455"/>
      <c r="N21" s="455">
        <f t="shared" si="8"/>
        <v>0</v>
      </c>
      <c r="O21" s="455"/>
      <c r="P21" s="455">
        <f t="shared" si="1"/>
        <v>8992930</v>
      </c>
      <c r="Q21" s="455">
        <f t="shared" si="5"/>
        <v>719434.4</v>
      </c>
      <c r="R21" s="457">
        <f t="shared" si="6"/>
        <v>134893.94999999998</v>
      </c>
      <c r="S21" s="455">
        <f t="shared" si="7"/>
        <v>89929.3</v>
      </c>
      <c r="T21" s="457"/>
      <c r="U21" s="457">
        <f t="shared" si="2"/>
        <v>944257.65</v>
      </c>
      <c r="V21" s="457"/>
      <c r="W21" s="457"/>
      <c r="X21" s="458"/>
      <c r="Y21" s="457"/>
      <c r="Z21" s="457"/>
      <c r="AA21" s="463">
        <f t="shared" si="3"/>
        <v>8048672.3499999996</v>
      </c>
      <c r="AB21" s="101" t="str">
        <f t="shared" si="4"/>
        <v>09</v>
      </c>
      <c r="AC21" s="102"/>
      <c r="AD21" s="102"/>
      <c r="AE21" s="120"/>
      <c r="AF21" s="116"/>
      <c r="AK21" s="532"/>
    </row>
    <row r="22" spans="1:39" s="104" customFormat="1" ht="35.450000000000003" customHeight="1">
      <c r="A22" s="202" t="s">
        <v>24</v>
      </c>
      <c r="B22" s="470" t="s">
        <v>346</v>
      </c>
      <c r="C22" s="95"/>
      <c r="D22" s="112" t="s">
        <v>347</v>
      </c>
      <c r="E22" s="228"/>
      <c r="F22" s="209"/>
      <c r="G22" s="453" t="s">
        <v>244</v>
      </c>
      <c r="H22" s="454">
        <v>6</v>
      </c>
      <c r="I22" s="455">
        <v>7515057</v>
      </c>
      <c r="J22" s="456"/>
      <c r="K22" s="455"/>
      <c r="L22" s="455">
        <f t="shared" si="0"/>
        <v>7515057</v>
      </c>
      <c r="M22" s="455"/>
      <c r="N22" s="455">
        <f t="shared" si="8"/>
        <v>0</v>
      </c>
      <c r="O22" s="455"/>
      <c r="P22" s="455">
        <f t="shared" si="1"/>
        <v>7515057</v>
      </c>
      <c r="Q22" s="455">
        <f t="shared" si="5"/>
        <v>601204.56000000006</v>
      </c>
      <c r="R22" s="457">
        <f t="shared" si="6"/>
        <v>112725.855</v>
      </c>
      <c r="S22" s="455">
        <f t="shared" si="7"/>
        <v>75150.570000000007</v>
      </c>
      <c r="T22" s="457"/>
      <c r="U22" s="457">
        <f t="shared" si="2"/>
        <v>789080.9850000001</v>
      </c>
      <c r="V22" s="457"/>
      <c r="W22" s="457"/>
      <c r="X22" s="458"/>
      <c r="Y22" s="457"/>
      <c r="Z22" s="457"/>
      <c r="AA22" s="463">
        <f t="shared" si="3"/>
        <v>6725976.0149999997</v>
      </c>
      <c r="AB22" s="101" t="str">
        <f t="shared" si="4"/>
        <v>10</v>
      </c>
      <c r="AC22" s="102"/>
      <c r="AD22" s="102"/>
      <c r="AE22" s="120"/>
      <c r="AF22" s="116"/>
      <c r="AG22" s="515"/>
      <c r="AK22" s="105"/>
    </row>
    <row r="23" spans="1:39" s="104" customFormat="1" ht="28.5" customHeight="1">
      <c r="A23" s="202" t="s">
        <v>25</v>
      </c>
      <c r="B23" s="470" t="s">
        <v>136</v>
      </c>
      <c r="C23" s="95" t="s">
        <v>110</v>
      </c>
      <c r="D23" s="112" t="s">
        <v>121</v>
      </c>
      <c r="E23" s="227" t="s">
        <v>238</v>
      </c>
      <c r="F23" s="209" t="s">
        <v>209</v>
      </c>
      <c r="G23" s="460" t="s">
        <v>244</v>
      </c>
      <c r="H23" s="454">
        <v>5</v>
      </c>
      <c r="I23" s="455">
        <v>7023418</v>
      </c>
      <c r="J23" s="456"/>
      <c r="K23" s="455"/>
      <c r="L23" s="455">
        <f t="shared" si="0"/>
        <v>7023418</v>
      </c>
      <c r="M23" s="455"/>
      <c r="N23" s="455">
        <f t="shared" si="8"/>
        <v>0</v>
      </c>
      <c r="O23" s="455"/>
      <c r="P23" s="455">
        <f t="shared" si="1"/>
        <v>7023418</v>
      </c>
      <c r="Q23" s="455">
        <f t="shared" si="5"/>
        <v>561873.44000000006</v>
      </c>
      <c r="R23" s="457">
        <f t="shared" si="6"/>
        <v>105351.26999999999</v>
      </c>
      <c r="S23" s="455">
        <f t="shared" si="7"/>
        <v>70234.180000000008</v>
      </c>
      <c r="T23" s="457"/>
      <c r="U23" s="457">
        <f t="shared" si="2"/>
        <v>737458.89000000013</v>
      </c>
      <c r="V23" s="457"/>
      <c r="W23" s="457"/>
      <c r="X23" s="457"/>
      <c r="Y23" s="457"/>
      <c r="Z23" s="457"/>
      <c r="AA23" s="463">
        <f t="shared" si="3"/>
        <v>6285959.1099999994</v>
      </c>
      <c r="AB23" s="101" t="str">
        <f t="shared" si="4"/>
        <v>11</v>
      </c>
      <c r="AC23" s="102"/>
      <c r="AD23" s="102" t="s">
        <v>111</v>
      </c>
      <c r="AE23" s="102" t="s">
        <v>113</v>
      </c>
      <c r="AF23" s="110" t="e">
        <f>#REF!*2</f>
        <v>#REF!</v>
      </c>
      <c r="AG23" s="110"/>
      <c r="AH23" s="110"/>
      <c r="AK23" s="111"/>
    </row>
    <row r="24" spans="1:39" s="512" customFormat="1" ht="29.45" customHeight="1">
      <c r="A24" s="202" t="s">
        <v>26</v>
      </c>
      <c r="B24" s="471" t="s">
        <v>133</v>
      </c>
      <c r="C24" s="95" t="s">
        <v>6</v>
      </c>
      <c r="D24" s="112" t="s">
        <v>167</v>
      </c>
      <c r="E24" s="338" t="s">
        <v>236</v>
      </c>
      <c r="F24" s="223" t="s">
        <v>203</v>
      </c>
      <c r="G24" s="460" t="s">
        <v>247</v>
      </c>
      <c r="H24" s="461">
        <v>6</v>
      </c>
      <c r="I24" s="455">
        <v>6391108</v>
      </c>
      <c r="J24" s="456"/>
      <c r="K24" s="455"/>
      <c r="L24" s="455">
        <f t="shared" si="0"/>
        <v>6391108</v>
      </c>
      <c r="M24" s="455"/>
      <c r="N24" s="455">
        <f t="shared" si="8"/>
        <v>0</v>
      </c>
      <c r="O24" s="455"/>
      <c r="P24" s="455">
        <f t="shared" si="1"/>
        <v>6391108</v>
      </c>
      <c r="Q24" s="455">
        <f t="shared" si="5"/>
        <v>511288.64</v>
      </c>
      <c r="R24" s="457">
        <f t="shared" si="6"/>
        <v>95866.62</v>
      </c>
      <c r="S24" s="455">
        <f t="shared" si="7"/>
        <v>63911.08</v>
      </c>
      <c r="T24" s="457"/>
      <c r="U24" s="457">
        <f t="shared" si="2"/>
        <v>671066.34</v>
      </c>
      <c r="V24" s="457"/>
      <c r="W24" s="457"/>
      <c r="X24" s="457"/>
      <c r="Y24" s="457"/>
      <c r="Z24" s="457"/>
      <c r="AA24" s="463">
        <f t="shared" si="3"/>
        <v>5720041.6600000001</v>
      </c>
      <c r="AB24" s="101" t="str">
        <f t="shared" si="4"/>
        <v>12</v>
      </c>
      <c r="AC24" s="102"/>
      <c r="AD24" s="117">
        <f>3.33*1390000</f>
        <v>4628700</v>
      </c>
      <c r="AE24" s="631"/>
      <c r="AF24" s="632"/>
      <c r="AG24" s="632"/>
      <c r="AK24" s="119"/>
    </row>
    <row r="25" spans="1:39" s="515" customFormat="1" ht="29.45" customHeight="1">
      <c r="A25" s="202" t="s">
        <v>31</v>
      </c>
      <c r="B25" s="470" t="s">
        <v>140</v>
      </c>
      <c r="C25" s="95" t="s">
        <v>82</v>
      </c>
      <c r="D25" s="112" t="s">
        <v>69</v>
      </c>
      <c r="E25" s="228" t="str">
        <f>VLOOKUP(B25,[2]T3!$B$2:$D$328,3,FALSE)</f>
        <v>026050143</v>
      </c>
      <c r="F25" s="223" t="s">
        <v>218</v>
      </c>
      <c r="G25" s="460" t="s">
        <v>244</v>
      </c>
      <c r="H25" s="454">
        <v>7</v>
      </c>
      <c r="I25" s="455">
        <v>8041111</v>
      </c>
      <c r="J25" s="456"/>
      <c r="K25" s="455"/>
      <c r="L25" s="455">
        <f t="shared" si="0"/>
        <v>8041111</v>
      </c>
      <c r="M25" s="455"/>
      <c r="N25" s="455">
        <f t="shared" si="8"/>
        <v>0</v>
      </c>
      <c r="O25" s="455"/>
      <c r="P25" s="455">
        <f t="shared" si="1"/>
        <v>8041111</v>
      </c>
      <c r="Q25" s="455">
        <f t="shared" si="5"/>
        <v>643288.88</v>
      </c>
      <c r="R25" s="457">
        <f t="shared" si="6"/>
        <v>120616.66499999999</v>
      </c>
      <c r="S25" s="455">
        <f t="shared" si="7"/>
        <v>80411.11</v>
      </c>
      <c r="T25" s="457"/>
      <c r="U25" s="457">
        <f t="shared" si="2"/>
        <v>844316.65500000003</v>
      </c>
      <c r="V25" s="457"/>
      <c r="W25" s="457"/>
      <c r="X25" s="457"/>
      <c r="Y25" s="457"/>
      <c r="Z25" s="457"/>
      <c r="AA25" s="463">
        <f t="shared" si="3"/>
        <v>7196794.3449999997</v>
      </c>
      <c r="AB25" s="101" t="str">
        <f t="shared" si="4"/>
        <v>13</v>
      </c>
      <c r="AC25" s="102"/>
      <c r="AD25" s="134" t="s">
        <v>109</v>
      </c>
      <c r="AE25" s="117" t="e">
        <f>#REF!/24</f>
        <v>#REF!</v>
      </c>
      <c r="AK25" s="514"/>
    </row>
    <row r="26" spans="1:39" s="529" customFormat="1" ht="30" customHeight="1">
      <c r="A26" s="202" t="s">
        <v>27</v>
      </c>
      <c r="B26" s="471" t="s">
        <v>128</v>
      </c>
      <c r="C26" s="95" t="s">
        <v>125</v>
      </c>
      <c r="D26" s="112" t="s">
        <v>121</v>
      </c>
      <c r="E26" s="228" t="str">
        <f>VLOOKUP(B26,[2]T3!$B$2:$D$328,3,FALSE)</f>
        <v>025444854</v>
      </c>
      <c r="F26" s="223" t="s">
        <v>210</v>
      </c>
      <c r="G26" s="460" t="s">
        <v>247</v>
      </c>
      <c r="H26" s="454">
        <v>3</v>
      </c>
      <c r="I26" s="455">
        <v>5520879</v>
      </c>
      <c r="J26" s="456"/>
      <c r="K26" s="455"/>
      <c r="L26" s="455">
        <f t="shared" si="0"/>
        <v>5520879</v>
      </c>
      <c r="M26" s="455"/>
      <c r="N26" s="455">
        <f t="shared" si="8"/>
        <v>0</v>
      </c>
      <c r="O26" s="455"/>
      <c r="P26" s="455">
        <f t="shared" si="1"/>
        <v>5520879</v>
      </c>
      <c r="Q26" s="455">
        <f t="shared" si="5"/>
        <v>441670.32</v>
      </c>
      <c r="R26" s="457">
        <f t="shared" si="6"/>
        <v>82813.184999999998</v>
      </c>
      <c r="S26" s="455">
        <f t="shared" si="7"/>
        <v>55208.79</v>
      </c>
      <c r="T26" s="457"/>
      <c r="U26" s="457">
        <f t="shared" si="2"/>
        <v>579692.29500000004</v>
      </c>
      <c r="V26" s="457"/>
      <c r="W26" s="457"/>
      <c r="X26" s="457"/>
      <c r="Y26" s="457"/>
      <c r="Z26" s="457"/>
      <c r="AA26" s="463">
        <f t="shared" si="3"/>
        <v>4941186.7050000001</v>
      </c>
      <c r="AB26" s="101" t="str">
        <f t="shared" si="4"/>
        <v>14</v>
      </c>
      <c r="AC26" s="102"/>
      <c r="AD26" s="102" t="s">
        <v>126</v>
      </c>
      <c r="AE26" s="144"/>
      <c r="AF26" s="110"/>
      <c r="AG26" s="110"/>
      <c r="AH26" s="110"/>
      <c r="AK26" s="111"/>
    </row>
    <row r="27" spans="1:39" s="512" customFormat="1" ht="37.5" customHeight="1">
      <c r="A27" s="202" t="s">
        <v>28</v>
      </c>
      <c r="B27" s="470" t="s">
        <v>258</v>
      </c>
      <c r="C27" s="95"/>
      <c r="D27" s="112" t="s">
        <v>259</v>
      </c>
      <c r="E27" s="228"/>
      <c r="F27" s="223" t="str">
        <f>VLOOKUP(B27,[1]LuongBC_T01!$B$277:$C$292,2,FALSE)</f>
        <v>0016100006675004</v>
      </c>
      <c r="G27" s="460" t="s">
        <v>247</v>
      </c>
      <c r="H27" s="461">
        <v>5</v>
      </c>
      <c r="I27" s="455">
        <v>6086769</v>
      </c>
      <c r="J27" s="456"/>
      <c r="K27" s="455"/>
      <c r="L27" s="455">
        <f t="shared" si="0"/>
        <v>6086769</v>
      </c>
      <c r="M27" s="455"/>
      <c r="N27" s="455">
        <f t="shared" si="8"/>
        <v>0</v>
      </c>
      <c r="O27" s="455"/>
      <c r="P27" s="455">
        <f t="shared" si="1"/>
        <v>6086769</v>
      </c>
      <c r="Q27" s="455">
        <f t="shared" si="5"/>
        <v>486941.52</v>
      </c>
      <c r="R27" s="457">
        <f t="shared" si="6"/>
        <v>91301.535000000003</v>
      </c>
      <c r="S27" s="455">
        <f t="shared" si="7"/>
        <v>60867.69</v>
      </c>
      <c r="T27" s="457"/>
      <c r="U27" s="457">
        <f t="shared" si="2"/>
        <v>639110.74500000011</v>
      </c>
      <c r="V27" s="457"/>
      <c r="W27" s="459"/>
      <c r="X27" s="459"/>
      <c r="Y27" s="459"/>
      <c r="Z27" s="459"/>
      <c r="AA27" s="463">
        <f t="shared" si="3"/>
        <v>5447658.2549999999</v>
      </c>
      <c r="AB27" s="101" t="str">
        <f t="shared" si="4"/>
        <v>15</v>
      </c>
      <c r="AC27" s="102"/>
      <c r="AD27" s="102"/>
      <c r="AE27" s="109"/>
      <c r="AF27" s="110"/>
      <c r="AG27" s="110"/>
      <c r="AH27" s="110"/>
      <c r="AI27" s="110"/>
      <c r="AJ27" s="109"/>
      <c r="AK27" s="111"/>
    </row>
    <row r="28" spans="1:39" s="533" customFormat="1" ht="32.450000000000003" customHeight="1">
      <c r="A28" s="202" t="s">
        <v>29</v>
      </c>
      <c r="B28" s="470" t="s">
        <v>250</v>
      </c>
      <c r="C28" s="95"/>
      <c r="D28" s="112" t="s">
        <v>8</v>
      </c>
      <c r="E28" s="338"/>
      <c r="F28" s="223" t="str">
        <f>VLOOKUP(B28,[1]LuongBC_T01!$B$277:$C$292,2,FALSE)</f>
        <v>0016100006677007</v>
      </c>
      <c r="G28" s="460" t="s">
        <v>248</v>
      </c>
      <c r="H28" s="454">
        <v>12</v>
      </c>
      <c r="I28" s="455">
        <v>8004388</v>
      </c>
      <c r="J28" s="456"/>
      <c r="K28" s="455"/>
      <c r="L28" s="455">
        <f t="shared" si="0"/>
        <v>8004388</v>
      </c>
      <c r="M28" s="455"/>
      <c r="N28" s="455">
        <f t="shared" si="8"/>
        <v>0</v>
      </c>
      <c r="O28" s="455"/>
      <c r="P28" s="455">
        <f t="shared" si="1"/>
        <v>8004388</v>
      </c>
      <c r="Q28" s="455">
        <f t="shared" si="5"/>
        <v>640351.04</v>
      </c>
      <c r="R28" s="457">
        <f t="shared" si="6"/>
        <v>120065.81999999999</v>
      </c>
      <c r="S28" s="455">
        <f t="shared" si="7"/>
        <v>80043.88</v>
      </c>
      <c r="T28" s="457"/>
      <c r="U28" s="457">
        <f t="shared" si="2"/>
        <v>840460.74</v>
      </c>
      <c r="V28" s="458"/>
      <c r="W28" s="457"/>
      <c r="X28" s="457"/>
      <c r="Y28" s="457"/>
      <c r="Z28" s="457"/>
      <c r="AA28" s="463">
        <f t="shared" si="3"/>
        <v>7163927.2599999998</v>
      </c>
      <c r="AB28" s="101" t="str">
        <f t="shared" si="4"/>
        <v>16</v>
      </c>
      <c r="AC28" s="102"/>
      <c r="AD28" s="117"/>
      <c r="AE28" s="234"/>
      <c r="AF28" s="110"/>
      <c r="AG28" s="110"/>
      <c r="AI28" s="144"/>
      <c r="AK28" s="111"/>
    </row>
    <row r="29" spans="1:39" s="362" customFormat="1" ht="29.25" customHeight="1">
      <c r="A29" s="202" t="s">
        <v>30</v>
      </c>
      <c r="B29" s="470" t="s">
        <v>255</v>
      </c>
      <c r="C29" s="95"/>
      <c r="D29" s="112" t="s">
        <v>8</v>
      </c>
      <c r="E29" s="228"/>
      <c r="F29" s="223"/>
      <c r="G29" s="453" t="s">
        <v>248</v>
      </c>
      <c r="H29" s="454">
        <v>2</v>
      </c>
      <c r="I29" s="455">
        <v>4914000</v>
      </c>
      <c r="J29" s="456"/>
      <c r="K29" s="455"/>
      <c r="L29" s="455">
        <f t="shared" si="0"/>
        <v>4914000</v>
      </c>
      <c r="M29" s="455"/>
      <c r="N29" s="455">
        <f t="shared" si="8"/>
        <v>0</v>
      </c>
      <c r="O29" s="455"/>
      <c r="P29" s="455">
        <f t="shared" si="1"/>
        <v>4914000</v>
      </c>
      <c r="Q29" s="455">
        <f t="shared" si="5"/>
        <v>393120</v>
      </c>
      <c r="R29" s="457">
        <f t="shared" si="6"/>
        <v>73710</v>
      </c>
      <c r="S29" s="455">
        <f t="shared" si="7"/>
        <v>49140</v>
      </c>
      <c r="T29" s="457"/>
      <c r="U29" s="457">
        <f t="shared" si="2"/>
        <v>515970</v>
      </c>
      <c r="V29" s="457"/>
      <c r="W29" s="457"/>
      <c r="X29" s="458"/>
      <c r="Y29" s="457"/>
      <c r="Z29" s="457"/>
      <c r="AA29" s="463">
        <f t="shared" si="3"/>
        <v>4398030</v>
      </c>
      <c r="AB29" s="101" t="str">
        <f t="shared" si="4"/>
        <v>17</v>
      </c>
      <c r="AC29" s="102"/>
      <c r="AD29" s="102"/>
      <c r="AE29" s="429"/>
      <c r="AF29" s="430"/>
      <c r="AG29" s="431"/>
      <c r="AH29" s="530"/>
      <c r="AI29" s="431"/>
      <c r="AJ29" s="431"/>
      <c r="AK29" s="432"/>
      <c r="AL29" s="431"/>
      <c r="AM29" s="431"/>
    </row>
    <row r="30" spans="1:39" s="104" customFormat="1" ht="39" customHeight="1">
      <c r="A30" s="202" t="s">
        <v>89</v>
      </c>
      <c r="B30" s="470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460" t="s">
        <v>247</v>
      </c>
      <c r="H30" s="461">
        <v>5</v>
      </c>
      <c r="I30" s="455">
        <v>6086769</v>
      </c>
      <c r="J30" s="456"/>
      <c r="K30" s="455"/>
      <c r="L30" s="455">
        <f t="shared" si="0"/>
        <v>6086769</v>
      </c>
      <c r="M30" s="455"/>
      <c r="N30" s="455">
        <f t="shared" si="8"/>
        <v>0</v>
      </c>
      <c r="O30" s="455"/>
      <c r="P30" s="455">
        <f t="shared" si="1"/>
        <v>6086769</v>
      </c>
      <c r="Q30" s="455">
        <f t="shared" si="5"/>
        <v>486941.52</v>
      </c>
      <c r="R30" s="457">
        <f t="shared" si="6"/>
        <v>91301.535000000003</v>
      </c>
      <c r="S30" s="455">
        <f t="shared" si="7"/>
        <v>60867.69</v>
      </c>
      <c r="T30" s="457"/>
      <c r="U30" s="457">
        <f t="shared" si="2"/>
        <v>639110.74500000011</v>
      </c>
      <c r="V30" s="457"/>
      <c r="W30" s="457"/>
      <c r="X30" s="457"/>
      <c r="Y30" s="457"/>
      <c r="Z30" s="457"/>
      <c r="AA30" s="463">
        <f t="shared" si="3"/>
        <v>5447658.2549999999</v>
      </c>
      <c r="AB30" s="101" t="str">
        <f t="shared" si="4"/>
        <v>18</v>
      </c>
      <c r="AC30" s="102"/>
      <c r="AD30" s="135">
        <f>2.67-2.41</f>
        <v>0.25999999999999979</v>
      </c>
      <c r="AE30" s="106" t="s">
        <v>59</v>
      </c>
      <c r="AF30" s="136"/>
      <c r="AG30" s="137"/>
      <c r="AK30" s="111"/>
    </row>
    <row r="31" spans="1:39" s="104" customFormat="1" ht="39" customHeight="1">
      <c r="A31" s="202" t="s">
        <v>90</v>
      </c>
      <c r="B31" s="470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460" t="s">
        <v>247</v>
      </c>
      <c r="H31" s="454">
        <v>3</v>
      </c>
      <c r="I31" s="455">
        <v>5520879</v>
      </c>
      <c r="J31" s="456"/>
      <c r="K31" s="455"/>
      <c r="L31" s="455">
        <f t="shared" si="0"/>
        <v>5520879</v>
      </c>
      <c r="M31" s="455"/>
      <c r="N31" s="455">
        <f t="shared" si="8"/>
        <v>0</v>
      </c>
      <c r="O31" s="455"/>
      <c r="P31" s="455">
        <f t="shared" si="1"/>
        <v>5520879</v>
      </c>
      <c r="Q31" s="455">
        <f t="shared" si="5"/>
        <v>441670.32</v>
      </c>
      <c r="R31" s="457">
        <f t="shared" si="6"/>
        <v>82813.184999999998</v>
      </c>
      <c r="S31" s="455">
        <f t="shared" si="7"/>
        <v>55208.79</v>
      </c>
      <c r="T31" s="457"/>
      <c r="U31" s="457">
        <f t="shared" si="2"/>
        <v>579692.29500000004</v>
      </c>
      <c r="V31" s="457"/>
      <c r="W31" s="457"/>
      <c r="X31" s="457"/>
      <c r="Y31" s="457"/>
      <c r="Z31" s="457"/>
      <c r="AA31" s="463">
        <f t="shared" si="3"/>
        <v>4941186.7050000001</v>
      </c>
      <c r="AB31" s="101" t="str">
        <f t="shared" si="4"/>
        <v>19</v>
      </c>
      <c r="AC31" s="102"/>
      <c r="AD31" s="120" t="s">
        <v>86</v>
      </c>
      <c r="AE31" s="109"/>
      <c r="AF31" s="120" t="s">
        <v>112</v>
      </c>
      <c r="AG31" s="110"/>
      <c r="AH31" s="110"/>
      <c r="AK31" s="111"/>
    </row>
    <row r="32" spans="1:39" s="104" customFormat="1" ht="39" customHeight="1">
      <c r="A32" s="202" t="s">
        <v>91</v>
      </c>
      <c r="B32" s="470" t="s">
        <v>278</v>
      </c>
      <c r="C32" s="95"/>
      <c r="D32" s="112" t="s">
        <v>279</v>
      </c>
      <c r="E32" s="228"/>
      <c r="F32" s="223"/>
      <c r="G32" s="453" t="s">
        <v>248</v>
      </c>
      <c r="H32" s="454">
        <v>2</v>
      </c>
      <c r="I32" s="455">
        <v>4914000</v>
      </c>
      <c r="J32" s="456"/>
      <c r="K32" s="455"/>
      <c r="L32" s="455">
        <f t="shared" si="0"/>
        <v>4914000</v>
      </c>
      <c r="M32" s="455"/>
      <c r="N32" s="455">
        <f t="shared" si="8"/>
        <v>0</v>
      </c>
      <c r="O32" s="455"/>
      <c r="P32" s="455">
        <f t="shared" si="1"/>
        <v>4914000</v>
      </c>
      <c r="Q32" s="455">
        <f t="shared" si="5"/>
        <v>393120</v>
      </c>
      <c r="R32" s="457">
        <f t="shared" si="6"/>
        <v>73710</v>
      </c>
      <c r="S32" s="455">
        <f t="shared" si="7"/>
        <v>49140</v>
      </c>
      <c r="T32" s="457"/>
      <c r="U32" s="457">
        <f t="shared" si="2"/>
        <v>515970</v>
      </c>
      <c r="V32" s="457"/>
      <c r="W32" s="459"/>
      <c r="X32" s="459"/>
      <c r="Y32" s="459"/>
      <c r="Z32" s="459"/>
      <c r="AA32" s="463">
        <f t="shared" si="3"/>
        <v>4398030</v>
      </c>
      <c r="AB32" s="101" t="str">
        <f t="shared" si="4"/>
        <v>20</v>
      </c>
      <c r="AC32" s="255"/>
      <c r="AD32" s="255" t="s">
        <v>280</v>
      </c>
      <c r="AE32" s="434"/>
      <c r="AF32" s="435"/>
      <c r="AG32" s="431"/>
      <c r="AH32" s="42"/>
      <c r="AI32" s="42"/>
      <c r="AJ32" s="42"/>
      <c r="AK32" s="58"/>
      <c r="AL32" s="42"/>
      <c r="AM32" s="42"/>
    </row>
    <row r="33" spans="1:39" s="104" customFormat="1" ht="38.25" customHeight="1">
      <c r="A33" s="202" t="s">
        <v>92</v>
      </c>
      <c r="B33" s="470" t="s">
        <v>305</v>
      </c>
      <c r="C33" s="95"/>
      <c r="D33" s="112" t="s">
        <v>306</v>
      </c>
      <c r="E33" s="228"/>
      <c r="F33" s="223"/>
      <c r="G33" s="453" t="s">
        <v>248</v>
      </c>
      <c r="H33" s="454">
        <v>2</v>
      </c>
      <c r="I33" s="455">
        <v>4914000</v>
      </c>
      <c r="J33" s="456"/>
      <c r="K33" s="455"/>
      <c r="L33" s="455">
        <f t="shared" si="0"/>
        <v>4914000</v>
      </c>
      <c r="M33" s="455"/>
      <c r="N33" s="455">
        <f t="shared" si="8"/>
        <v>0</v>
      </c>
      <c r="O33" s="455"/>
      <c r="P33" s="455">
        <f t="shared" si="1"/>
        <v>4914000</v>
      </c>
      <c r="Q33" s="455">
        <f t="shared" si="5"/>
        <v>393120</v>
      </c>
      <c r="R33" s="457">
        <f t="shared" si="6"/>
        <v>73710</v>
      </c>
      <c r="S33" s="455">
        <f t="shared" si="7"/>
        <v>49140</v>
      </c>
      <c r="T33" s="457"/>
      <c r="U33" s="457">
        <f t="shared" si="2"/>
        <v>515970</v>
      </c>
      <c r="V33" s="457"/>
      <c r="W33" s="459"/>
      <c r="X33" s="459"/>
      <c r="Y33" s="459"/>
      <c r="Z33" s="459"/>
      <c r="AA33" s="463">
        <f t="shared" si="3"/>
        <v>4398030</v>
      </c>
      <c r="AB33" s="101" t="str">
        <f t="shared" si="4"/>
        <v>21</v>
      </c>
      <c r="AC33" s="102"/>
      <c r="AD33" s="255" t="s">
        <v>316</v>
      </c>
      <c r="AE33" s="117"/>
      <c r="AF33" s="144"/>
      <c r="AG33" s="505"/>
      <c r="AK33" s="105"/>
    </row>
    <row r="34" spans="1:39" s="104" customFormat="1" ht="39.75" customHeight="1">
      <c r="A34" s="202" t="s">
        <v>93</v>
      </c>
      <c r="B34" s="470" t="s">
        <v>307</v>
      </c>
      <c r="C34" s="95"/>
      <c r="D34" s="112" t="s">
        <v>306</v>
      </c>
      <c r="E34" s="228"/>
      <c r="F34" s="223"/>
      <c r="G34" s="453" t="s">
        <v>248</v>
      </c>
      <c r="H34" s="454">
        <v>2</v>
      </c>
      <c r="I34" s="455">
        <v>4914000</v>
      </c>
      <c r="J34" s="456"/>
      <c r="K34" s="455"/>
      <c r="L34" s="455">
        <f t="shared" si="0"/>
        <v>4914000</v>
      </c>
      <c r="M34" s="455"/>
      <c r="N34" s="455">
        <f t="shared" si="8"/>
        <v>0</v>
      </c>
      <c r="O34" s="455"/>
      <c r="P34" s="455">
        <f t="shared" si="1"/>
        <v>4914000</v>
      </c>
      <c r="Q34" s="455">
        <f t="shared" si="5"/>
        <v>393120</v>
      </c>
      <c r="R34" s="457">
        <f t="shared" si="6"/>
        <v>73710</v>
      </c>
      <c r="S34" s="455">
        <f t="shared" si="7"/>
        <v>49140</v>
      </c>
      <c r="T34" s="457"/>
      <c r="U34" s="457">
        <f t="shared" si="2"/>
        <v>515970</v>
      </c>
      <c r="V34" s="457"/>
      <c r="W34" s="459"/>
      <c r="X34" s="459"/>
      <c r="Y34" s="459"/>
      <c r="Z34" s="459"/>
      <c r="AA34" s="463">
        <f t="shared" si="3"/>
        <v>4398030</v>
      </c>
      <c r="AB34" s="101" t="str">
        <f t="shared" si="4"/>
        <v>22</v>
      </c>
      <c r="AC34" s="102"/>
      <c r="AD34" s="255" t="s">
        <v>317</v>
      </c>
      <c r="AE34" s="117"/>
      <c r="AF34" s="144"/>
      <c r="AG34" s="505"/>
      <c r="AK34" s="105"/>
    </row>
    <row r="35" spans="1:39" s="104" customFormat="1" ht="39.75" customHeight="1">
      <c r="A35" s="202" t="s">
        <v>94</v>
      </c>
      <c r="B35" s="470" t="s">
        <v>372</v>
      </c>
      <c r="C35" s="95"/>
      <c r="D35" s="112" t="s">
        <v>373</v>
      </c>
      <c r="E35" s="228"/>
      <c r="F35" s="223"/>
      <c r="G35" s="453" t="s">
        <v>248</v>
      </c>
      <c r="H35" s="454">
        <v>1</v>
      </c>
      <c r="I35" s="455">
        <v>4680000</v>
      </c>
      <c r="J35" s="456"/>
      <c r="K35" s="455"/>
      <c r="L35" s="455">
        <f t="shared" si="0"/>
        <v>4680000</v>
      </c>
      <c r="M35" s="455"/>
      <c r="N35" s="455">
        <f t="shared" si="8"/>
        <v>0</v>
      </c>
      <c r="O35" s="455"/>
      <c r="P35" s="455">
        <f t="shared" si="1"/>
        <v>4680000</v>
      </c>
      <c r="Q35" s="455">
        <f t="shared" si="5"/>
        <v>374400</v>
      </c>
      <c r="R35" s="457">
        <f t="shared" si="6"/>
        <v>70200</v>
      </c>
      <c r="S35" s="455">
        <f t="shared" si="7"/>
        <v>46800</v>
      </c>
      <c r="T35" s="457"/>
      <c r="U35" s="457">
        <f t="shared" si="2"/>
        <v>491400</v>
      </c>
      <c r="V35" s="457"/>
      <c r="W35" s="459"/>
      <c r="X35" s="459"/>
      <c r="Y35" s="459"/>
      <c r="Z35" s="459"/>
      <c r="AA35" s="463">
        <f t="shared" si="3"/>
        <v>4188600</v>
      </c>
      <c r="AB35" s="101" t="str">
        <f>A35</f>
        <v>23</v>
      </c>
      <c r="AC35" s="255"/>
      <c r="AD35" s="255" t="s">
        <v>403</v>
      </c>
      <c r="AE35" s="434"/>
      <c r="AF35" s="435"/>
      <c r="AG35" s="431"/>
      <c r="AH35" s="42"/>
      <c r="AI35" s="42"/>
      <c r="AJ35" s="42"/>
      <c r="AK35" s="58"/>
      <c r="AL35" s="42"/>
      <c r="AM35" s="42"/>
    </row>
    <row r="36" spans="1:39" s="104" customFormat="1" ht="34.9" customHeight="1">
      <c r="A36" s="202" t="s">
        <v>95</v>
      </c>
      <c r="B36" s="513" t="s">
        <v>406</v>
      </c>
      <c r="C36" s="95"/>
      <c r="D36" s="112" t="s">
        <v>306</v>
      </c>
      <c r="E36" s="228"/>
      <c r="F36" s="223"/>
      <c r="G36" s="453" t="s">
        <v>248</v>
      </c>
      <c r="H36" s="454">
        <v>1</v>
      </c>
      <c r="I36" s="455">
        <v>4680000</v>
      </c>
      <c r="J36" s="456"/>
      <c r="K36" s="455"/>
      <c r="L36" s="455">
        <f t="shared" si="0"/>
        <v>4680000</v>
      </c>
      <c r="M36" s="455"/>
      <c r="N36" s="455">
        <f t="shared" si="8"/>
        <v>0</v>
      </c>
      <c r="O36" s="455"/>
      <c r="P36" s="455">
        <f t="shared" si="1"/>
        <v>4680000</v>
      </c>
      <c r="Q36" s="455">
        <f t="shared" si="5"/>
        <v>374400</v>
      </c>
      <c r="R36" s="457">
        <f t="shared" si="6"/>
        <v>70200</v>
      </c>
      <c r="S36" s="455">
        <f t="shared" si="7"/>
        <v>46800</v>
      </c>
      <c r="T36" s="457"/>
      <c r="U36" s="457">
        <f t="shared" si="2"/>
        <v>491400</v>
      </c>
      <c r="V36" s="457"/>
      <c r="W36" s="459"/>
      <c r="X36" s="459"/>
      <c r="Y36" s="459"/>
      <c r="Z36" s="459"/>
      <c r="AA36" s="463">
        <f t="shared" si="3"/>
        <v>4188600</v>
      </c>
      <c r="AB36" s="101" t="str">
        <f>A36</f>
        <v>24</v>
      </c>
      <c r="AC36" s="255" t="s">
        <v>408</v>
      </c>
      <c r="AD36" s="255" t="s">
        <v>407</v>
      </c>
      <c r="AE36" s="117"/>
      <c r="AF36" s="144"/>
      <c r="AG36" s="512"/>
      <c r="AK36" s="105"/>
    </row>
    <row r="37" spans="1:39" s="539" customFormat="1" ht="36.75" customHeight="1">
      <c r="A37" s="202" t="s">
        <v>96</v>
      </c>
      <c r="B37" s="551" t="s">
        <v>231</v>
      </c>
      <c r="C37" s="552"/>
      <c r="D37" s="112" t="s">
        <v>279</v>
      </c>
      <c r="E37" s="553" t="str">
        <f>VLOOKUP(B37,[2]T3!$B$2:$D$328,3,FALSE)</f>
        <v>024326689</v>
      </c>
      <c r="F37" s="209"/>
      <c r="G37" s="453" t="s">
        <v>248</v>
      </c>
      <c r="H37" s="554">
        <v>1</v>
      </c>
      <c r="I37" s="555">
        <v>5007600</v>
      </c>
      <c r="J37" s="556"/>
      <c r="K37" s="555"/>
      <c r="L37" s="555">
        <f>ROUND(I37+K37,0)</f>
        <v>5007600</v>
      </c>
      <c r="M37" s="555"/>
      <c r="N37" s="455">
        <f t="shared" si="8"/>
        <v>0</v>
      </c>
      <c r="O37" s="555"/>
      <c r="P37" s="555">
        <f>L37-N37+O37</f>
        <v>5007600</v>
      </c>
      <c r="Q37" s="555">
        <f>L37*8%</f>
        <v>400608</v>
      </c>
      <c r="R37" s="557">
        <f>L37*1.5%</f>
        <v>75114</v>
      </c>
      <c r="S37" s="555">
        <f>L37*1%</f>
        <v>50076</v>
      </c>
      <c r="T37" s="557"/>
      <c r="U37" s="557">
        <f>SUM(Q37:T37)</f>
        <v>525798</v>
      </c>
      <c r="V37" s="557"/>
      <c r="W37" s="557"/>
      <c r="X37" s="558"/>
      <c r="Y37" s="557"/>
      <c r="Z37" s="557"/>
      <c r="AA37" s="463">
        <f>P37-U37+W37+Y37+Z37</f>
        <v>4481802</v>
      </c>
      <c r="AB37" s="559" t="str">
        <f>A37</f>
        <v>25</v>
      </c>
      <c r="AC37" s="538"/>
      <c r="AD37" s="538" t="s">
        <v>232</v>
      </c>
    </row>
    <row r="38" spans="1:39" s="360" customFormat="1" ht="31.5" customHeight="1">
      <c r="A38" s="202" t="s">
        <v>97</v>
      </c>
      <c r="B38" s="470" t="s">
        <v>256</v>
      </c>
      <c r="C38" s="95"/>
      <c r="D38" s="112" t="s">
        <v>257</v>
      </c>
      <c r="E38" s="228"/>
      <c r="F38" s="223"/>
      <c r="G38" s="460" t="s">
        <v>247</v>
      </c>
      <c r="H38" s="461">
        <v>7</v>
      </c>
      <c r="I38" s="455">
        <v>6710663</v>
      </c>
      <c r="J38" s="456"/>
      <c r="K38" s="455"/>
      <c r="L38" s="455">
        <f t="shared" si="0"/>
        <v>6710663</v>
      </c>
      <c r="M38" s="455"/>
      <c r="N38" s="455">
        <f t="shared" si="8"/>
        <v>0</v>
      </c>
      <c r="O38" s="455"/>
      <c r="P38" s="455">
        <f t="shared" si="1"/>
        <v>6710663</v>
      </c>
      <c r="Q38" s="455">
        <f>L38*8%</f>
        <v>536853.04</v>
      </c>
      <c r="R38" s="457">
        <f t="shared" si="6"/>
        <v>100659.94499999999</v>
      </c>
      <c r="S38" s="455">
        <f t="shared" si="7"/>
        <v>67106.63</v>
      </c>
      <c r="T38" s="457"/>
      <c r="U38" s="457">
        <f t="shared" si="2"/>
        <v>704619.61499999999</v>
      </c>
      <c r="V38" s="457"/>
      <c r="W38" s="459"/>
      <c r="X38" s="459"/>
      <c r="Y38" s="459"/>
      <c r="Z38" s="459">
        <v>852000</v>
      </c>
      <c r="AA38" s="463">
        <f t="shared" si="3"/>
        <v>6858043.3849999998</v>
      </c>
      <c r="AB38" s="101" t="str">
        <f>A38</f>
        <v>26</v>
      </c>
      <c r="AC38" s="102"/>
      <c r="AD38" s="102"/>
      <c r="AE38" s="436"/>
      <c r="AF38" s="60"/>
      <c r="AG38" s="60"/>
      <c r="AH38" s="439"/>
      <c r="AI38" s="60"/>
      <c r="AJ38" s="436"/>
      <c r="AK38" s="433"/>
      <c r="AL38" s="431"/>
      <c r="AM38" s="431"/>
    </row>
    <row r="39" spans="1:39" s="529" customFormat="1" ht="35.25" customHeight="1">
      <c r="A39" s="202" t="s">
        <v>98</v>
      </c>
      <c r="B39" s="470" t="s">
        <v>134</v>
      </c>
      <c r="C39" s="95" t="s">
        <v>65</v>
      </c>
      <c r="D39" s="112" t="s">
        <v>73</v>
      </c>
      <c r="E39" s="228" t="str">
        <f>VLOOKUP(B39,[2]T3!$B$2:$D$328,3,FALSE)</f>
        <v>230718298</v>
      </c>
      <c r="F39" s="209" t="s">
        <v>207</v>
      </c>
      <c r="G39" s="460" t="s">
        <v>244</v>
      </c>
      <c r="H39" s="454">
        <v>6</v>
      </c>
      <c r="I39" s="455">
        <v>7515057</v>
      </c>
      <c r="J39" s="456"/>
      <c r="K39" s="455"/>
      <c r="L39" s="455">
        <f t="shared" si="0"/>
        <v>7515057</v>
      </c>
      <c r="M39" s="455">
        <v>0</v>
      </c>
      <c r="N39" s="455">
        <f t="shared" si="8"/>
        <v>0</v>
      </c>
      <c r="O39" s="455"/>
      <c r="P39" s="455">
        <f t="shared" si="1"/>
        <v>7515057</v>
      </c>
      <c r="Q39" s="455">
        <f t="shared" ref="Q39:Q66" si="9">L39*8%</f>
        <v>601204.56000000006</v>
      </c>
      <c r="R39" s="457">
        <f t="shared" si="6"/>
        <v>112725.855</v>
      </c>
      <c r="S39" s="455">
        <f t="shared" si="7"/>
        <v>75150.570000000007</v>
      </c>
      <c r="T39" s="457"/>
      <c r="U39" s="457">
        <f t="shared" si="2"/>
        <v>789080.9850000001</v>
      </c>
      <c r="V39" s="457"/>
      <c r="W39" s="459"/>
      <c r="X39" s="459"/>
      <c r="Y39" s="459"/>
      <c r="Z39" s="459"/>
      <c r="AA39" s="463">
        <f t="shared" si="3"/>
        <v>6725976.0149999997</v>
      </c>
      <c r="AB39" s="101" t="str">
        <f t="shared" ref="AB39:AB67" si="10">A39</f>
        <v>27</v>
      </c>
      <c r="AC39" s="102"/>
      <c r="AD39" s="102" t="s">
        <v>106</v>
      </c>
      <c r="AE39" s="108"/>
      <c r="AH39" s="116"/>
      <c r="AK39" s="528"/>
    </row>
    <row r="40" spans="1:39" s="104" customFormat="1" ht="36.6" customHeight="1">
      <c r="A40" s="202" t="s">
        <v>99</v>
      </c>
      <c r="B40" s="470" t="s">
        <v>292</v>
      </c>
      <c r="C40" s="95"/>
      <c r="D40" s="112" t="s">
        <v>293</v>
      </c>
      <c r="E40" s="228"/>
      <c r="F40" s="223"/>
      <c r="G40" s="453" t="s">
        <v>244</v>
      </c>
      <c r="H40" s="454">
        <v>2</v>
      </c>
      <c r="I40" s="455">
        <v>5733201</v>
      </c>
      <c r="J40" s="456"/>
      <c r="K40" s="455"/>
      <c r="L40" s="455">
        <f t="shared" si="0"/>
        <v>5733201</v>
      </c>
      <c r="M40" s="455"/>
      <c r="N40" s="455">
        <f t="shared" si="8"/>
        <v>0</v>
      </c>
      <c r="O40" s="455"/>
      <c r="P40" s="455">
        <f t="shared" si="1"/>
        <v>5733201</v>
      </c>
      <c r="Q40" s="455">
        <f t="shared" si="9"/>
        <v>458656.08</v>
      </c>
      <c r="R40" s="457">
        <f t="shared" si="6"/>
        <v>85998.014999999999</v>
      </c>
      <c r="S40" s="455">
        <f t="shared" si="7"/>
        <v>57332.01</v>
      </c>
      <c r="T40" s="457"/>
      <c r="U40" s="457">
        <f t="shared" si="2"/>
        <v>601986.10499999998</v>
      </c>
      <c r="V40" s="457"/>
      <c r="W40" s="459"/>
      <c r="X40" s="459"/>
      <c r="Y40" s="459"/>
      <c r="Z40" s="459"/>
      <c r="AA40" s="463">
        <f t="shared" si="3"/>
        <v>5131214.8949999996</v>
      </c>
      <c r="AB40" s="101" t="str">
        <f t="shared" si="10"/>
        <v>28</v>
      </c>
      <c r="AC40" s="255"/>
      <c r="AD40" s="255" t="s">
        <v>302</v>
      </c>
      <c r="AE40" s="117"/>
      <c r="AF40" s="144"/>
      <c r="AG40" s="535"/>
      <c r="AK40" s="105"/>
    </row>
    <row r="41" spans="1:39" s="104" customFormat="1" ht="37.5" customHeight="1">
      <c r="A41" s="202" t="s">
        <v>100</v>
      </c>
      <c r="B41" s="470" t="s">
        <v>329</v>
      </c>
      <c r="C41" s="95"/>
      <c r="D41" s="112" t="s">
        <v>328</v>
      </c>
      <c r="E41" s="228"/>
      <c r="F41" s="336" t="s">
        <v>339</v>
      </c>
      <c r="G41" s="453" t="s">
        <v>244</v>
      </c>
      <c r="H41" s="454">
        <v>1</v>
      </c>
      <c r="I41" s="455">
        <v>5358132</v>
      </c>
      <c r="J41" s="456"/>
      <c r="K41" s="455"/>
      <c r="L41" s="455">
        <f t="shared" si="0"/>
        <v>5358132</v>
      </c>
      <c r="M41" s="455"/>
      <c r="N41" s="455">
        <f t="shared" si="8"/>
        <v>0</v>
      </c>
      <c r="O41" s="455"/>
      <c r="P41" s="455">
        <f t="shared" si="1"/>
        <v>5358132</v>
      </c>
      <c r="Q41" s="455">
        <f t="shared" si="9"/>
        <v>428650.56</v>
      </c>
      <c r="R41" s="457">
        <f t="shared" si="6"/>
        <v>80371.98</v>
      </c>
      <c r="S41" s="455">
        <f t="shared" si="7"/>
        <v>53581.32</v>
      </c>
      <c r="T41" s="457"/>
      <c r="U41" s="457">
        <f t="shared" si="2"/>
        <v>562603.86</v>
      </c>
      <c r="V41" s="457"/>
      <c r="W41" s="459"/>
      <c r="X41" s="459"/>
      <c r="Y41" s="459"/>
      <c r="Z41" s="459"/>
      <c r="AA41" s="463">
        <f t="shared" si="3"/>
        <v>4795528.1399999997</v>
      </c>
      <c r="AB41" s="101" t="str">
        <f t="shared" si="10"/>
        <v>29</v>
      </c>
      <c r="AC41" s="255"/>
      <c r="AD41" s="335" t="s">
        <v>330</v>
      </c>
      <c r="AE41" s="434"/>
      <c r="AF41" s="435"/>
      <c r="AG41" s="431"/>
      <c r="AH41" s="42"/>
      <c r="AI41" s="42"/>
      <c r="AJ41" s="42"/>
      <c r="AK41" s="58"/>
      <c r="AL41" s="42"/>
      <c r="AM41" s="42"/>
    </row>
    <row r="42" spans="1:39" s="104" customFormat="1" ht="38.450000000000003" customHeight="1">
      <c r="A42" s="202" t="s">
        <v>101</v>
      </c>
      <c r="B42" s="470" t="s">
        <v>399</v>
      </c>
      <c r="C42" s="95"/>
      <c r="D42" s="112" t="s">
        <v>328</v>
      </c>
      <c r="E42" s="228"/>
      <c r="F42" s="336"/>
      <c r="G42" s="453" t="s">
        <v>244</v>
      </c>
      <c r="H42" s="454">
        <v>1</v>
      </c>
      <c r="I42" s="455">
        <v>5358132</v>
      </c>
      <c r="J42" s="456"/>
      <c r="K42" s="455"/>
      <c r="L42" s="455">
        <f t="shared" si="0"/>
        <v>5358132</v>
      </c>
      <c r="M42" s="455"/>
      <c r="N42" s="455">
        <f t="shared" si="8"/>
        <v>0</v>
      </c>
      <c r="O42" s="455"/>
      <c r="P42" s="455">
        <f t="shared" si="1"/>
        <v>5358132</v>
      </c>
      <c r="Q42" s="455">
        <f t="shared" si="9"/>
        <v>428650.56</v>
      </c>
      <c r="R42" s="457">
        <f t="shared" si="6"/>
        <v>80371.98</v>
      </c>
      <c r="S42" s="455">
        <f t="shared" si="7"/>
        <v>53581.32</v>
      </c>
      <c r="T42" s="457"/>
      <c r="U42" s="457">
        <f t="shared" si="2"/>
        <v>562603.86</v>
      </c>
      <c r="V42" s="457"/>
      <c r="W42" s="459"/>
      <c r="X42" s="459"/>
      <c r="Y42" s="459"/>
      <c r="Z42" s="459"/>
      <c r="AA42" s="463">
        <f t="shared" si="3"/>
        <v>4795528.1399999997</v>
      </c>
      <c r="AB42" s="101" t="str">
        <f t="shared" si="10"/>
        <v>30</v>
      </c>
      <c r="AC42" s="255"/>
      <c r="AD42" s="255" t="s">
        <v>404</v>
      </c>
      <c r="AE42" s="434"/>
      <c r="AF42" s="435"/>
      <c r="AG42" s="431"/>
      <c r="AH42" s="42"/>
      <c r="AI42" s="42"/>
      <c r="AJ42" s="42"/>
      <c r="AK42" s="58"/>
      <c r="AL42" s="42"/>
      <c r="AM42" s="42"/>
    </row>
    <row r="43" spans="1:39" s="104" customFormat="1" ht="36.75" customHeight="1">
      <c r="A43" s="202" t="s">
        <v>102</v>
      </c>
      <c r="B43" s="470" t="s">
        <v>139</v>
      </c>
      <c r="C43" s="95" t="s">
        <v>66</v>
      </c>
      <c r="D43" s="112" t="s">
        <v>173</v>
      </c>
      <c r="E43" s="227" t="s">
        <v>239</v>
      </c>
      <c r="F43" s="209" t="s">
        <v>215</v>
      </c>
      <c r="G43" s="460" t="s">
        <v>244</v>
      </c>
      <c r="H43" s="516">
        <v>7</v>
      </c>
      <c r="I43" s="455">
        <v>8041111</v>
      </c>
      <c r="J43" s="456"/>
      <c r="K43" s="455"/>
      <c r="L43" s="455">
        <f t="shared" si="0"/>
        <v>8041111</v>
      </c>
      <c r="M43" s="455"/>
      <c r="N43" s="455">
        <f t="shared" si="8"/>
        <v>0</v>
      </c>
      <c r="O43" s="455"/>
      <c r="P43" s="455">
        <f t="shared" si="1"/>
        <v>8041111</v>
      </c>
      <c r="Q43" s="455">
        <f t="shared" si="9"/>
        <v>643288.88</v>
      </c>
      <c r="R43" s="457">
        <f t="shared" si="6"/>
        <v>120616.66499999999</v>
      </c>
      <c r="S43" s="455">
        <f t="shared" si="7"/>
        <v>80411.11</v>
      </c>
      <c r="T43" s="457"/>
      <c r="U43" s="457">
        <f t="shared" si="2"/>
        <v>844316.65500000003</v>
      </c>
      <c r="V43" s="457"/>
      <c r="W43" s="457"/>
      <c r="X43" s="457"/>
      <c r="Y43" s="457"/>
      <c r="Z43" s="457"/>
      <c r="AA43" s="463">
        <f t="shared" si="3"/>
        <v>7196794.3449999997</v>
      </c>
      <c r="AB43" s="101" t="str">
        <f t="shared" si="10"/>
        <v>31</v>
      </c>
      <c r="AC43" s="102"/>
      <c r="AD43" s="103" t="s">
        <v>72</v>
      </c>
      <c r="AE43" s="152"/>
      <c r="AG43" s="515"/>
      <c r="AK43" s="105"/>
    </row>
    <row r="44" spans="1:39" s="104" customFormat="1" ht="42.75" customHeight="1">
      <c r="A44" s="202" t="s">
        <v>103</v>
      </c>
      <c r="B44" s="470" t="s">
        <v>285</v>
      </c>
      <c r="C44" s="95"/>
      <c r="D44" s="112" t="s">
        <v>289</v>
      </c>
      <c r="E44" s="228"/>
      <c r="F44" s="223" t="s">
        <v>326</v>
      </c>
      <c r="G44" s="453" t="s">
        <v>244</v>
      </c>
      <c r="H44" s="454">
        <v>2</v>
      </c>
      <c r="I44" s="455">
        <v>5733201</v>
      </c>
      <c r="J44" s="456"/>
      <c r="K44" s="455"/>
      <c r="L44" s="455">
        <f t="shared" si="0"/>
        <v>5733201</v>
      </c>
      <c r="M44" s="455"/>
      <c r="N44" s="455">
        <f t="shared" si="8"/>
        <v>0</v>
      </c>
      <c r="O44" s="455"/>
      <c r="P44" s="455">
        <f t="shared" si="1"/>
        <v>5733201</v>
      </c>
      <c r="Q44" s="455">
        <f t="shared" si="9"/>
        <v>458656.08</v>
      </c>
      <c r="R44" s="457">
        <f t="shared" si="6"/>
        <v>85998.014999999999</v>
      </c>
      <c r="S44" s="455">
        <f t="shared" si="7"/>
        <v>57332.01</v>
      </c>
      <c r="T44" s="457"/>
      <c r="U44" s="457">
        <f t="shared" si="2"/>
        <v>601986.10499999998</v>
      </c>
      <c r="V44" s="457"/>
      <c r="W44" s="459"/>
      <c r="X44" s="459"/>
      <c r="Y44" s="459"/>
      <c r="Z44" s="459"/>
      <c r="AA44" s="463">
        <f t="shared" si="3"/>
        <v>5131214.8949999996</v>
      </c>
      <c r="AB44" s="101" t="str">
        <f t="shared" si="10"/>
        <v>32</v>
      </c>
      <c r="AC44" s="255"/>
      <c r="AD44" s="255" t="s">
        <v>286</v>
      </c>
      <c r="AE44" s="117"/>
      <c r="AF44" s="144"/>
      <c r="AG44" s="575"/>
      <c r="AK44" s="105"/>
    </row>
    <row r="45" spans="1:39" s="512" customFormat="1" ht="36" customHeight="1">
      <c r="A45" s="202" t="s">
        <v>104</v>
      </c>
      <c r="B45" s="471" t="s">
        <v>131</v>
      </c>
      <c r="C45" s="95" t="s">
        <v>7</v>
      </c>
      <c r="D45" s="112" t="s">
        <v>241</v>
      </c>
      <c r="E45" s="226" t="s">
        <v>235</v>
      </c>
      <c r="F45" s="223" t="s">
        <v>204</v>
      </c>
      <c r="G45" s="460" t="s">
        <v>247</v>
      </c>
      <c r="H45" s="454">
        <v>5</v>
      </c>
      <c r="I45" s="455">
        <v>6086769</v>
      </c>
      <c r="J45" s="456"/>
      <c r="K45" s="455"/>
      <c r="L45" s="455">
        <f t="shared" si="0"/>
        <v>6086769</v>
      </c>
      <c r="M45" s="455"/>
      <c r="N45" s="455">
        <f t="shared" si="8"/>
        <v>0</v>
      </c>
      <c r="O45" s="455"/>
      <c r="P45" s="455">
        <f t="shared" si="1"/>
        <v>6086769</v>
      </c>
      <c r="Q45" s="455">
        <f t="shared" si="9"/>
        <v>486941.52</v>
      </c>
      <c r="R45" s="457">
        <f t="shared" si="6"/>
        <v>91301.535000000003</v>
      </c>
      <c r="S45" s="455">
        <f t="shared" si="7"/>
        <v>60867.69</v>
      </c>
      <c r="T45" s="457"/>
      <c r="U45" s="457">
        <f t="shared" si="2"/>
        <v>639110.74500000011</v>
      </c>
      <c r="V45" s="458"/>
      <c r="W45" s="457"/>
      <c r="X45" s="458"/>
      <c r="Y45" s="457"/>
      <c r="Z45" s="457"/>
      <c r="AA45" s="463">
        <f t="shared" si="3"/>
        <v>5447658.2549999999</v>
      </c>
      <c r="AB45" s="101" t="str">
        <f t="shared" si="10"/>
        <v>33</v>
      </c>
      <c r="AC45" s="102"/>
      <c r="AD45" s="117">
        <f>AD24*10.5%</f>
        <v>486013.5</v>
      </c>
      <c r="AE45" s="631"/>
      <c r="AF45" s="632"/>
      <c r="AG45" s="632"/>
      <c r="AH45" s="632"/>
      <c r="AK45" s="119"/>
    </row>
    <row r="46" spans="1:39" s="104" customFormat="1" ht="37.5" customHeight="1">
      <c r="A46" s="202" t="s">
        <v>105</v>
      </c>
      <c r="B46" s="470" t="s">
        <v>146</v>
      </c>
      <c r="C46" s="95" t="s">
        <v>118</v>
      </c>
      <c r="D46" s="112" t="s">
        <v>289</v>
      </c>
      <c r="E46" s="226" t="s">
        <v>234</v>
      </c>
      <c r="F46" s="209" t="s">
        <v>211</v>
      </c>
      <c r="G46" s="460" t="s">
        <v>244</v>
      </c>
      <c r="H46" s="454">
        <v>2</v>
      </c>
      <c r="I46" s="455">
        <v>5733201</v>
      </c>
      <c r="J46" s="456"/>
      <c r="K46" s="455"/>
      <c r="L46" s="455">
        <f t="shared" si="0"/>
        <v>5733201</v>
      </c>
      <c r="M46" s="455"/>
      <c r="N46" s="455">
        <f t="shared" si="8"/>
        <v>0</v>
      </c>
      <c r="O46" s="455"/>
      <c r="P46" s="455">
        <f t="shared" si="1"/>
        <v>5733201</v>
      </c>
      <c r="Q46" s="455">
        <f t="shared" si="9"/>
        <v>458656.08</v>
      </c>
      <c r="R46" s="457">
        <f t="shared" si="6"/>
        <v>85998.014999999999</v>
      </c>
      <c r="S46" s="455">
        <f t="shared" si="7"/>
        <v>57332.01</v>
      </c>
      <c r="T46" s="457"/>
      <c r="U46" s="457">
        <f t="shared" si="2"/>
        <v>601986.10499999998</v>
      </c>
      <c r="V46" s="457"/>
      <c r="W46" s="457"/>
      <c r="X46" s="457"/>
      <c r="Y46" s="457"/>
      <c r="Z46" s="457"/>
      <c r="AA46" s="463">
        <f t="shared" si="3"/>
        <v>5131214.8949999996</v>
      </c>
      <c r="AB46" s="101" t="str">
        <f t="shared" si="10"/>
        <v>34</v>
      </c>
      <c r="AC46" s="118"/>
      <c r="AD46" s="139" t="s">
        <v>119</v>
      </c>
      <c r="AE46" s="155"/>
      <c r="AF46" s="128"/>
      <c r="AG46" s="110"/>
      <c r="AH46" s="110"/>
      <c r="AK46" s="111"/>
    </row>
    <row r="47" spans="1:39" s="104" customFormat="1" ht="42.75" customHeight="1">
      <c r="A47" s="202" t="s">
        <v>260</v>
      </c>
      <c r="B47" s="578" t="s">
        <v>313</v>
      </c>
      <c r="C47" s="409"/>
      <c r="D47" s="399" t="s">
        <v>289</v>
      </c>
      <c r="E47" s="400"/>
      <c r="F47" s="401"/>
      <c r="G47" s="579" t="s">
        <v>244</v>
      </c>
      <c r="H47" s="580">
        <v>2</v>
      </c>
      <c r="I47" s="581">
        <v>5733201</v>
      </c>
      <c r="J47" s="582"/>
      <c r="K47" s="581"/>
      <c r="L47" s="581">
        <f t="shared" si="0"/>
        <v>5733201</v>
      </c>
      <c r="M47" s="581"/>
      <c r="N47" s="581">
        <f t="shared" si="8"/>
        <v>0</v>
      </c>
      <c r="O47" s="581"/>
      <c r="P47" s="581">
        <f t="shared" si="1"/>
        <v>5733201</v>
      </c>
      <c r="Q47" s="581">
        <f t="shared" si="9"/>
        <v>458656.08</v>
      </c>
      <c r="R47" s="583">
        <f t="shared" si="6"/>
        <v>85998.014999999999</v>
      </c>
      <c r="S47" s="581">
        <f t="shared" si="7"/>
        <v>57332.01</v>
      </c>
      <c r="T47" s="583"/>
      <c r="U47" s="583">
        <f t="shared" si="2"/>
        <v>601986.10499999998</v>
      </c>
      <c r="V47" s="583"/>
      <c r="W47" s="584"/>
      <c r="X47" s="584"/>
      <c r="Y47" s="584"/>
      <c r="Z47" s="584"/>
      <c r="AA47" s="585">
        <f t="shared" si="3"/>
        <v>5131214.8949999996</v>
      </c>
      <c r="AB47" s="407" t="str">
        <f t="shared" si="10"/>
        <v>35</v>
      </c>
      <c r="AC47" s="411"/>
      <c r="AD47" s="255" t="s">
        <v>314</v>
      </c>
      <c r="AE47" s="434"/>
      <c r="AF47" s="435"/>
      <c r="AG47" s="431"/>
      <c r="AH47" s="42"/>
      <c r="AI47" s="42"/>
      <c r="AJ47" s="42"/>
      <c r="AK47" s="58"/>
      <c r="AL47" s="42"/>
      <c r="AM47" s="42"/>
    </row>
    <row r="48" spans="1:39" s="526" customFormat="1" ht="41.25" customHeight="1">
      <c r="A48" s="202" t="s">
        <v>261</v>
      </c>
      <c r="B48" s="470" t="s">
        <v>135</v>
      </c>
      <c r="C48" s="95" t="s">
        <v>56</v>
      </c>
      <c r="D48" s="112" t="s">
        <v>349</v>
      </c>
      <c r="E48" s="228" t="str">
        <f>VLOOKUP(B48,[2]T3!$B$2:$D$328,3,FALSE)</f>
        <v>025804258</v>
      </c>
      <c r="F48" s="223" t="s">
        <v>208</v>
      </c>
      <c r="G48" s="460" t="s">
        <v>247</v>
      </c>
      <c r="H48" s="461">
        <v>5</v>
      </c>
      <c r="I48" s="455">
        <v>6086769</v>
      </c>
      <c r="J48" s="456"/>
      <c r="K48" s="455"/>
      <c r="L48" s="455">
        <f>ROUND(I48+K48,0)</f>
        <v>6086769</v>
      </c>
      <c r="M48" s="455"/>
      <c r="N48" s="455">
        <f t="shared" si="8"/>
        <v>0</v>
      </c>
      <c r="O48" s="455"/>
      <c r="P48" s="455">
        <f>L48-N48+O48</f>
        <v>6086769</v>
      </c>
      <c r="Q48" s="455">
        <f t="shared" si="9"/>
        <v>486941.52</v>
      </c>
      <c r="R48" s="457">
        <f t="shared" si="6"/>
        <v>91301.535000000003</v>
      </c>
      <c r="S48" s="455">
        <f t="shared" si="7"/>
        <v>60867.69</v>
      </c>
      <c r="T48" s="457"/>
      <c r="U48" s="457">
        <f>SUM(Q48:T48)</f>
        <v>639110.74500000011</v>
      </c>
      <c r="V48" s="457"/>
      <c r="W48" s="459"/>
      <c r="X48" s="459"/>
      <c r="Y48" s="459"/>
      <c r="Z48" s="459"/>
      <c r="AA48" s="463">
        <f>P48-U48+W48+Y48+Z48</f>
        <v>5447658.2549999999</v>
      </c>
      <c r="AB48" s="101" t="str">
        <f t="shared" si="10"/>
        <v>36</v>
      </c>
      <c r="AC48" s="102"/>
      <c r="AD48" s="102" t="s">
        <v>107</v>
      </c>
      <c r="AE48" s="109"/>
      <c r="AF48" s="110"/>
      <c r="AG48" s="110"/>
      <c r="AH48" s="110"/>
      <c r="AI48" s="110"/>
      <c r="AJ48" s="109"/>
      <c r="AK48" s="111"/>
    </row>
    <row r="49" spans="1:39" s="440" customFormat="1" ht="41.25" customHeight="1">
      <c r="A49" s="202" t="s">
        <v>262</v>
      </c>
      <c r="B49" s="470" t="s">
        <v>401</v>
      </c>
      <c r="C49" s="95"/>
      <c r="D49" s="112" t="s">
        <v>349</v>
      </c>
      <c r="E49" s="228"/>
      <c r="F49" s="223"/>
      <c r="G49" s="460" t="s">
        <v>247</v>
      </c>
      <c r="H49" s="461">
        <v>1</v>
      </c>
      <c r="I49" s="455">
        <v>5007600</v>
      </c>
      <c r="J49" s="456"/>
      <c r="K49" s="455"/>
      <c r="L49" s="455">
        <f>ROUND(I49+K49,0)</f>
        <v>5007600</v>
      </c>
      <c r="M49" s="455"/>
      <c r="N49" s="455">
        <f t="shared" si="8"/>
        <v>0</v>
      </c>
      <c r="O49" s="455"/>
      <c r="P49" s="455">
        <f>L49-N49+O49</f>
        <v>5007600</v>
      </c>
      <c r="Q49" s="455">
        <f>L49*8%</f>
        <v>400608</v>
      </c>
      <c r="R49" s="457">
        <f>L49*1.5%</f>
        <v>75114</v>
      </c>
      <c r="S49" s="455">
        <f>L49*1%</f>
        <v>50076</v>
      </c>
      <c r="T49" s="457"/>
      <c r="U49" s="457">
        <f>SUM(Q49:T49)</f>
        <v>525798</v>
      </c>
      <c r="V49" s="457"/>
      <c r="W49" s="459"/>
      <c r="X49" s="459"/>
      <c r="Y49" s="459"/>
      <c r="Z49" s="459"/>
      <c r="AA49" s="463">
        <f>P49-U49+W49+Y49+Z49</f>
        <v>4481802</v>
      </c>
      <c r="AB49" s="101" t="str">
        <f t="shared" si="10"/>
        <v>37</v>
      </c>
      <c r="AC49" s="102"/>
      <c r="AD49" s="145" t="s">
        <v>402</v>
      </c>
      <c r="AE49" s="109"/>
      <c r="AF49" s="110"/>
      <c r="AG49" s="110"/>
      <c r="AH49" s="110"/>
      <c r="AI49" s="110"/>
      <c r="AJ49" s="109"/>
      <c r="AK49" s="111"/>
    </row>
    <row r="50" spans="1:39" s="104" customFormat="1" ht="33" customHeight="1">
      <c r="A50" s="202" t="s">
        <v>263</v>
      </c>
      <c r="B50" s="470" t="s">
        <v>129</v>
      </c>
      <c r="C50" s="95" t="s">
        <v>124</v>
      </c>
      <c r="D50" s="112" t="s">
        <v>188</v>
      </c>
      <c r="E50" s="228" t="str">
        <f>VLOOKUP(B50,[2]T3!$B$2:$D$328,3,FALSE)</f>
        <v>024759058</v>
      </c>
      <c r="F50" s="209" t="s">
        <v>225</v>
      </c>
      <c r="G50" s="460" t="s">
        <v>244</v>
      </c>
      <c r="H50" s="516">
        <v>2</v>
      </c>
      <c r="I50" s="455">
        <v>5733201</v>
      </c>
      <c r="J50" s="456"/>
      <c r="K50" s="455"/>
      <c r="L50" s="455">
        <f t="shared" si="0"/>
        <v>5733201</v>
      </c>
      <c r="M50" s="455"/>
      <c r="N50" s="455">
        <f t="shared" si="8"/>
        <v>0</v>
      </c>
      <c r="O50" s="455"/>
      <c r="P50" s="455">
        <f t="shared" si="1"/>
        <v>5733201</v>
      </c>
      <c r="Q50" s="455">
        <f t="shared" si="9"/>
        <v>458656.08</v>
      </c>
      <c r="R50" s="457">
        <f t="shared" si="6"/>
        <v>85998.014999999999</v>
      </c>
      <c r="S50" s="455">
        <f t="shared" si="7"/>
        <v>57332.01</v>
      </c>
      <c r="T50" s="457"/>
      <c r="U50" s="457">
        <f t="shared" si="2"/>
        <v>601986.10499999998</v>
      </c>
      <c r="V50" s="457"/>
      <c r="W50" s="463"/>
      <c r="X50" s="463"/>
      <c r="Y50" s="463"/>
      <c r="Z50" s="463"/>
      <c r="AA50" s="463">
        <f t="shared" si="3"/>
        <v>5131214.8949999996</v>
      </c>
      <c r="AB50" s="101" t="str">
        <f t="shared" si="10"/>
        <v>38</v>
      </c>
      <c r="AC50" s="102"/>
      <c r="AD50" s="145" t="s">
        <v>127</v>
      </c>
      <c r="AE50" s="515"/>
      <c r="AF50" s="515"/>
      <c r="AJ50" s="105"/>
    </row>
    <row r="51" spans="1:39" s="104" customFormat="1" ht="31.15" customHeight="1">
      <c r="A51" s="202" t="s">
        <v>264</v>
      </c>
      <c r="B51" s="470" t="s">
        <v>142</v>
      </c>
      <c r="C51" s="95" t="s">
        <v>88</v>
      </c>
      <c r="D51" s="112" t="s">
        <v>188</v>
      </c>
      <c r="E51" s="228" t="str">
        <f>VLOOKUP(B51,[2]T3!$B$2:$D$328,3,FALSE)</f>
        <v>025128010</v>
      </c>
      <c r="F51" s="209" t="s">
        <v>217</v>
      </c>
      <c r="G51" s="460" t="s">
        <v>244</v>
      </c>
      <c r="H51" s="461">
        <v>4</v>
      </c>
      <c r="I51" s="455">
        <v>6563942</v>
      </c>
      <c r="J51" s="456"/>
      <c r="K51" s="455"/>
      <c r="L51" s="455">
        <f t="shared" si="0"/>
        <v>6563942</v>
      </c>
      <c r="M51" s="455"/>
      <c r="N51" s="455">
        <f t="shared" si="8"/>
        <v>0</v>
      </c>
      <c r="O51" s="455"/>
      <c r="P51" s="455">
        <f t="shared" si="1"/>
        <v>6563942</v>
      </c>
      <c r="Q51" s="455">
        <f t="shared" si="9"/>
        <v>525115.36</v>
      </c>
      <c r="R51" s="457">
        <f t="shared" si="6"/>
        <v>98459.12999999999</v>
      </c>
      <c r="S51" s="455">
        <f t="shared" si="7"/>
        <v>65639.42</v>
      </c>
      <c r="T51" s="457"/>
      <c r="U51" s="457">
        <f t="shared" si="2"/>
        <v>689213.91</v>
      </c>
      <c r="V51" s="457"/>
      <c r="W51" s="457"/>
      <c r="X51" s="457"/>
      <c r="Y51" s="457"/>
      <c r="Z51" s="457"/>
      <c r="AA51" s="463">
        <f t="shared" si="3"/>
        <v>5874728.0899999999</v>
      </c>
      <c r="AB51" s="101" t="str">
        <f t="shared" si="10"/>
        <v>39</v>
      </c>
      <c r="AC51" s="102"/>
      <c r="AD51" s="127" t="s">
        <v>116</v>
      </c>
      <c r="AE51" s="109"/>
      <c r="AF51" s="120"/>
      <c r="AG51" s="110"/>
      <c r="AH51" s="110"/>
      <c r="AK51" s="111"/>
    </row>
    <row r="52" spans="1:39" s="104" customFormat="1" ht="31.9" customHeight="1">
      <c r="A52" s="202" t="s">
        <v>265</v>
      </c>
      <c r="B52" s="470" t="s">
        <v>164</v>
      </c>
      <c r="C52" s="95"/>
      <c r="D52" s="112" t="s">
        <v>188</v>
      </c>
      <c r="E52" s="228" t="str">
        <f>VLOOKUP(B52,[2]T3!$B$2:$D$328,3,FALSE)</f>
        <v>290936998</v>
      </c>
      <c r="F52" s="209" t="s">
        <v>222</v>
      </c>
      <c r="G52" s="453" t="s">
        <v>244</v>
      </c>
      <c r="H52" s="454">
        <v>6</v>
      </c>
      <c r="I52" s="455">
        <v>7515057</v>
      </c>
      <c r="J52" s="456"/>
      <c r="K52" s="455"/>
      <c r="L52" s="455">
        <f t="shared" si="0"/>
        <v>7515057</v>
      </c>
      <c r="M52" s="455"/>
      <c r="N52" s="455">
        <f t="shared" si="8"/>
        <v>0</v>
      </c>
      <c r="O52" s="455"/>
      <c r="P52" s="455">
        <f t="shared" si="1"/>
        <v>7515057</v>
      </c>
      <c r="Q52" s="455">
        <f t="shared" si="9"/>
        <v>601204.56000000006</v>
      </c>
      <c r="R52" s="457">
        <f t="shared" si="6"/>
        <v>112725.855</v>
      </c>
      <c r="S52" s="455">
        <f t="shared" si="7"/>
        <v>75150.570000000007</v>
      </c>
      <c r="T52" s="457"/>
      <c r="U52" s="457">
        <f t="shared" si="2"/>
        <v>789080.9850000001</v>
      </c>
      <c r="V52" s="457"/>
      <c r="W52" s="457"/>
      <c r="X52" s="457"/>
      <c r="Y52" s="457"/>
      <c r="Z52" s="457"/>
      <c r="AA52" s="463">
        <f t="shared" si="3"/>
        <v>6725976.0149999997</v>
      </c>
      <c r="AB52" s="101" t="str">
        <f t="shared" si="10"/>
        <v>40</v>
      </c>
      <c r="AC52" s="118"/>
      <c r="AD52" s="155"/>
      <c r="AE52" s="155"/>
      <c r="AF52" s="128"/>
      <c r="AG52" s="110"/>
      <c r="AH52" s="110"/>
      <c r="AK52" s="111"/>
    </row>
    <row r="53" spans="1:39" s="104" customFormat="1" ht="33" customHeight="1">
      <c r="A53" s="202" t="s">
        <v>266</v>
      </c>
      <c r="B53" s="470" t="s">
        <v>147</v>
      </c>
      <c r="C53" s="95" t="s">
        <v>63</v>
      </c>
      <c r="D53" s="112" t="s">
        <v>188</v>
      </c>
      <c r="E53" s="228" t="str">
        <f>VLOOKUP(B53,[2]T3!$B$2:$D$328,3,FALSE)</f>
        <v>001186011890</v>
      </c>
      <c r="F53" s="209" t="s">
        <v>223</v>
      </c>
      <c r="G53" s="453" t="s">
        <v>244</v>
      </c>
      <c r="H53" s="454">
        <v>7</v>
      </c>
      <c r="I53" s="455">
        <v>8041111</v>
      </c>
      <c r="J53" s="456"/>
      <c r="K53" s="455"/>
      <c r="L53" s="455">
        <f t="shared" si="0"/>
        <v>8041111</v>
      </c>
      <c r="M53" s="455"/>
      <c r="N53" s="455">
        <f t="shared" si="8"/>
        <v>0</v>
      </c>
      <c r="O53" s="455"/>
      <c r="P53" s="455">
        <f t="shared" si="1"/>
        <v>8041111</v>
      </c>
      <c r="Q53" s="455">
        <f t="shared" si="9"/>
        <v>643288.88</v>
      </c>
      <c r="R53" s="457">
        <f t="shared" si="6"/>
        <v>120616.66499999999</v>
      </c>
      <c r="S53" s="455">
        <f t="shared" si="7"/>
        <v>80411.11</v>
      </c>
      <c r="T53" s="457"/>
      <c r="U53" s="457">
        <f t="shared" si="2"/>
        <v>844316.65500000003</v>
      </c>
      <c r="V53" s="457"/>
      <c r="W53" s="459"/>
      <c r="X53" s="459"/>
      <c r="Y53" s="459"/>
      <c r="Z53" s="459"/>
      <c r="AA53" s="463">
        <f t="shared" si="3"/>
        <v>7196794.3449999997</v>
      </c>
      <c r="AB53" s="101" t="str">
        <f t="shared" si="10"/>
        <v>41</v>
      </c>
      <c r="AC53" s="255"/>
      <c r="AD53" s="103"/>
      <c r="AE53" s="103" t="s">
        <v>64</v>
      </c>
      <c r="AF53" s="102"/>
      <c r="AG53" s="515"/>
      <c r="AK53" s="105"/>
    </row>
    <row r="54" spans="1:39" s="104" customFormat="1" ht="33" customHeight="1">
      <c r="A54" s="202" t="s">
        <v>267</v>
      </c>
      <c r="B54" s="513" t="s">
        <v>433</v>
      </c>
      <c r="C54" s="95"/>
      <c r="D54" s="112" t="s">
        <v>188</v>
      </c>
      <c r="E54" s="228"/>
      <c r="F54" s="209"/>
      <c r="G54" s="453" t="s">
        <v>244</v>
      </c>
      <c r="H54" s="454">
        <v>1</v>
      </c>
      <c r="I54" s="455">
        <v>5358132</v>
      </c>
      <c r="J54" s="456"/>
      <c r="K54" s="455"/>
      <c r="L54" s="455">
        <f t="shared" si="0"/>
        <v>5358132</v>
      </c>
      <c r="M54" s="455"/>
      <c r="N54" s="455">
        <f t="shared" si="8"/>
        <v>0</v>
      </c>
      <c r="O54" s="455"/>
      <c r="P54" s="455">
        <f t="shared" si="1"/>
        <v>5358132</v>
      </c>
      <c r="Q54" s="455">
        <f t="shared" si="9"/>
        <v>428650.56</v>
      </c>
      <c r="R54" s="457">
        <f t="shared" si="6"/>
        <v>80371.98</v>
      </c>
      <c r="S54" s="455">
        <f t="shared" si="7"/>
        <v>53581.32</v>
      </c>
      <c r="T54" s="457"/>
      <c r="U54" s="457">
        <f t="shared" si="2"/>
        <v>562603.86</v>
      </c>
      <c r="V54" s="457"/>
      <c r="W54" s="459"/>
      <c r="X54" s="459"/>
      <c r="Y54" s="459"/>
      <c r="Z54" s="459"/>
      <c r="AA54" s="463">
        <f t="shared" si="3"/>
        <v>4795528.1399999997</v>
      </c>
      <c r="AB54" s="101"/>
      <c r="AC54" s="255"/>
      <c r="AD54" s="255" t="s">
        <v>434</v>
      </c>
      <c r="AE54" s="103"/>
      <c r="AF54" s="144"/>
      <c r="AG54" s="588"/>
      <c r="AK54" s="105"/>
    </row>
    <row r="55" spans="1:39" s="104" customFormat="1" ht="36.75" customHeight="1">
      <c r="A55" s="202" t="s">
        <v>281</v>
      </c>
      <c r="B55" s="471" t="s">
        <v>138</v>
      </c>
      <c r="C55" s="95" t="s">
        <v>83</v>
      </c>
      <c r="D55" s="112" t="s">
        <v>189</v>
      </c>
      <c r="E55" s="228" t="str">
        <f>VLOOKUP(B55,[2]T3!$B$2:$D$328,3,FALSE)</f>
        <v>095189000070</v>
      </c>
      <c r="F55" s="209" t="s">
        <v>214</v>
      </c>
      <c r="G55" s="453" t="s">
        <v>244</v>
      </c>
      <c r="H55" s="516">
        <v>6</v>
      </c>
      <c r="I55" s="455">
        <v>7515057</v>
      </c>
      <c r="J55" s="456"/>
      <c r="K55" s="455"/>
      <c r="L55" s="455">
        <f t="shared" si="0"/>
        <v>7515057</v>
      </c>
      <c r="M55" s="455"/>
      <c r="N55" s="455">
        <f t="shared" si="8"/>
        <v>0</v>
      </c>
      <c r="O55" s="455"/>
      <c r="P55" s="455">
        <f t="shared" si="1"/>
        <v>7515057</v>
      </c>
      <c r="Q55" s="455">
        <f t="shared" si="9"/>
        <v>601204.56000000006</v>
      </c>
      <c r="R55" s="457">
        <f t="shared" si="6"/>
        <v>112725.855</v>
      </c>
      <c r="S55" s="455">
        <f t="shared" si="7"/>
        <v>75150.570000000007</v>
      </c>
      <c r="T55" s="457"/>
      <c r="U55" s="457">
        <f t="shared" si="2"/>
        <v>789080.9850000001</v>
      </c>
      <c r="V55" s="457"/>
      <c r="W55" s="457"/>
      <c r="X55" s="457"/>
      <c r="Y55" s="457"/>
      <c r="Z55" s="457"/>
      <c r="AA55" s="463">
        <f t="shared" si="3"/>
        <v>6725976.0149999997</v>
      </c>
      <c r="AB55" s="101" t="str">
        <f t="shared" si="10"/>
        <v>43</v>
      </c>
      <c r="AC55" s="134"/>
      <c r="AD55" s="102" t="s">
        <v>84</v>
      </c>
      <c r="AE55" s="102" t="s">
        <v>113</v>
      </c>
      <c r="AG55" s="550"/>
      <c r="AK55" s="105"/>
    </row>
    <row r="56" spans="1:39" s="104" customFormat="1" ht="31.5" customHeight="1">
      <c r="A56" s="202" t="s">
        <v>287</v>
      </c>
      <c r="B56" s="470" t="s">
        <v>137</v>
      </c>
      <c r="C56" s="331" t="s">
        <v>7</v>
      </c>
      <c r="D56" s="112" t="s">
        <v>190</v>
      </c>
      <c r="E56" s="228" t="str">
        <f>VLOOKUP(B56,[2]T3!$B$2:$D$328,3,FALSE)</f>
        <v>023680986</v>
      </c>
      <c r="F56" s="209" t="s">
        <v>213</v>
      </c>
      <c r="G56" s="453" t="s">
        <v>244</v>
      </c>
      <c r="H56" s="454">
        <v>6</v>
      </c>
      <c r="I56" s="455">
        <v>7515057</v>
      </c>
      <c r="J56" s="456"/>
      <c r="K56" s="455"/>
      <c r="L56" s="455">
        <f t="shared" si="0"/>
        <v>7515057</v>
      </c>
      <c r="M56" s="455"/>
      <c r="N56" s="455">
        <f t="shared" si="8"/>
        <v>0</v>
      </c>
      <c r="O56" s="455"/>
      <c r="P56" s="455">
        <f t="shared" si="1"/>
        <v>7515057</v>
      </c>
      <c r="Q56" s="455">
        <f t="shared" si="9"/>
        <v>601204.56000000006</v>
      </c>
      <c r="R56" s="457">
        <f t="shared" si="6"/>
        <v>112725.855</v>
      </c>
      <c r="S56" s="455">
        <f t="shared" si="7"/>
        <v>75150.570000000007</v>
      </c>
      <c r="T56" s="457"/>
      <c r="U56" s="457">
        <f t="shared" si="2"/>
        <v>789080.9850000001</v>
      </c>
      <c r="V56" s="457"/>
      <c r="W56" s="517"/>
      <c r="X56" s="517"/>
      <c r="Y56" s="517"/>
      <c r="Z56" s="517"/>
      <c r="AA56" s="463">
        <f t="shared" si="3"/>
        <v>6725976.0149999997</v>
      </c>
      <c r="AB56" s="101" t="str">
        <f t="shared" si="10"/>
        <v>44</v>
      </c>
      <c r="AC56" s="118"/>
      <c r="AD56" s="114" t="s">
        <v>108</v>
      </c>
      <c r="AE56" s="115"/>
      <c r="AF56" s="115"/>
      <c r="AG56" s="115"/>
      <c r="AH56" s="115"/>
      <c r="AK56" s="105"/>
    </row>
    <row r="57" spans="1:39" s="104" customFormat="1" ht="33" customHeight="1">
      <c r="A57" s="202" t="s">
        <v>290</v>
      </c>
      <c r="B57" s="470" t="s">
        <v>303</v>
      </c>
      <c r="C57" s="95"/>
      <c r="D57" s="112" t="s">
        <v>190</v>
      </c>
      <c r="E57" s="228"/>
      <c r="F57" s="223" t="s">
        <v>327</v>
      </c>
      <c r="G57" s="453" t="s">
        <v>244</v>
      </c>
      <c r="H57" s="454">
        <v>2</v>
      </c>
      <c r="I57" s="455">
        <v>5733201</v>
      </c>
      <c r="J57" s="456"/>
      <c r="K57" s="455"/>
      <c r="L57" s="455">
        <f>ROUND(I57+K57,0)</f>
        <v>5733201</v>
      </c>
      <c r="M57" s="455"/>
      <c r="N57" s="455">
        <f t="shared" si="8"/>
        <v>0</v>
      </c>
      <c r="O57" s="455"/>
      <c r="P57" s="455">
        <f>L57-N57+O57</f>
        <v>5733201</v>
      </c>
      <c r="Q57" s="455">
        <f>L57*8%</f>
        <v>458656.08</v>
      </c>
      <c r="R57" s="457">
        <f>L57*1.5%</f>
        <v>85998.014999999999</v>
      </c>
      <c r="S57" s="455">
        <f>L57*1%</f>
        <v>57332.01</v>
      </c>
      <c r="T57" s="457"/>
      <c r="U57" s="457">
        <f>SUM(Q57:T57)</f>
        <v>601986.10499999998</v>
      </c>
      <c r="V57" s="457"/>
      <c r="W57" s="459"/>
      <c r="X57" s="459"/>
      <c r="Y57" s="459"/>
      <c r="Z57" s="459"/>
      <c r="AA57" s="463">
        <f>P57-U57+W57+Y57+Z57</f>
        <v>5131214.8949999996</v>
      </c>
      <c r="AB57" s="101" t="str">
        <f>A57</f>
        <v>45</v>
      </c>
      <c r="AC57" s="255"/>
      <c r="AD57" s="255" t="s">
        <v>304</v>
      </c>
      <c r="AE57" s="117"/>
      <c r="AF57" s="144"/>
      <c r="AG57" s="588"/>
      <c r="AK57" s="105"/>
    </row>
    <row r="58" spans="1:39" s="104" customFormat="1" ht="38.450000000000003" customHeight="1">
      <c r="A58" s="202" t="s">
        <v>294</v>
      </c>
      <c r="B58" s="578" t="s">
        <v>182</v>
      </c>
      <c r="C58" s="409"/>
      <c r="D58" s="399" t="s">
        <v>366</v>
      </c>
      <c r="E58" s="400" t="str">
        <f>VLOOKUP(B58,[2]T3!$B$2:$D$328,3,FALSE)</f>
        <v>025273555</v>
      </c>
      <c r="F58" s="401" t="s">
        <v>224</v>
      </c>
      <c r="G58" s="579" t="s">
        <v>248</v>
      </c>
      <c r="H58" s="580">
        <v>4</v>
      </c>
      <c r="I58" s="581">
        <v>5417685</v>
      </c>
      <c r="J58" s="582"/>
      <c r="K58" s="581"/>
      <c r="L58" s="581">
        <f t="shared" si="0"/>
        <v>5417685</v>
      </c>
      <c r="M58" s="581">
        <v>26</v>
      </c>
      <c r="N58" s="581">
        <f t="shared" si="8"/>
        <v>5417685</v>
      </c>
      <c r="O58" s="581"/>
      <c r="P58" s="581">
        <f t="shared" si="1"/>
        <v>0</v>
      </c>
      <c r="Q58" s="581">
        <v>0</v>
      </c>
      <c r="R58" s="583">
        <v>0</v>
      </c>
      <c r="S58" s="581">
        <v>0</v>
      </c>
      <c r="T58" s="583"/>
      <c r="U58" s="583">
        <f t="shared" si="2"/>
        <v>0</v>
      </c>
      <c r="V58" s="583"/>
      <c r="W58" s="584"/>
      <c r="X58" s="584"/>
      <c r="Y58" s="584"/>
      <c r="Z58" s="584"/>
      <c r="AA58" s="585">
        <f t="shared" si="3"/>
        <v>0</v>
      </c>
      <c r="AB58" s="407" t="str">
        <f>A58</f>
        <v>46</v>
      </c>
      <c r="AC58" s="411" t="s">
        <v>448</v>
      </c>
      <c r="AD58" s="145" t="s">
        <v>184</v>
      </c>
      <c r="AE58" s="117"/>
      <c r="AF58" s="144"/>
      <c r="AG58" s="512"/>
      <c r="AK58" s="105"/>
    </row>
    <row r="59" spans="1:39" s="104" customFormat="1" ht="37.9" customHeight="1">
      <c r="A59" s="202" t="s">
        <v>295</v>
      </c>
      <c r="B59" s="470" t="s">
        <v>400</v>
      </c>
      <c r="C59" s="95"/>
      <c r="D59" s="112" t="s">
        <v>397</v>
      </c>
      <c r="E59" s="228"/>
      <c r="F59" s="209"/>
      <c r="G59" s="453" t="s">
        <v>247</v>
      </c>
      <c r="H59" s="454">
        <v>1</v>
      </c>
      <c r="I59" s="455">
        <v>5007600</v>
      </c>
      <c r="J59" s="456"/>
      <c r="K59" s="455"/>
      <c r="L59" s="455">
        <f t="shared" si="0"/>
        <v>5007600</v>
      </c>
      <c r="M59" s="455"/>
      <c r="N59" s="455">
        <f t="shared" si="8"/>
        <v>0</v>
      </c>
      <c r="O59" s="455"/>
      <c r="P59" s="455">
        <f t="shared" si="1"/>
        <v>5007600</v>
      </c>
      <c r="Q59" s="455">
        <f t="shared" si="9"/>
        <v>400608</v>
      </c>
      <c r="R59" s="457">
        <f t="shared" si="6"/>
        <v>75114</v>
      </c>
      <c r="S59" s="455">
        <f t="shared" si="7"/>
        <v>50076</v>
      </c>
      <c r="T59" s="457"/>
      <c r="U59" s="457">
        <f t="shared" si="2"/>
        <v>525798</v>
      </c>
      <c r="V59" s="457"/>
      <c r="W59" s="457"/>
      <c r="X59" s="457"/>
      <c r="Y59" s="457"/>
      <c r="Z59" s="457"/>
      <c r="AA59" s="463">
        <f t="shared" si="3"/>
        <v>4481802</v>
      </c>
      <c r="AB59" s="101" t="str">
        <f>A59</f>
        <v>47</v>
      </c>
      <c r="AC59" s="118"/>
      <c r="AD59" s="422" t="s">
        <v>398</v>
      </c>
      <c r="AE59" s="437"/>
      <c r="AF59" s="438"/>
      <c r="AG59" s="60"/>
      <c r="AH59" s="60"/>
      <c r="AI59" s="42"/>
      <c r="AJ59" s="42"/>
      <c r="AK59" s="433"/>
      <c r="AL59" s="42"/>
      <c r="AM59" s="42"/>
    </row>
    <row r="60" spans="1:39" s="515" customFormat="1" ht="31.9" customHeight="1">
      <c r="A60" s="202" t="s">
        <v>315</v>
      </c>
      <c r="B60" s="470" t="s">
        <v>144</v>
      </c>
      <c r="C60" s="95" t="s">
        <v>9</v>
      </c>
      <c r="D60" s="112" t="s">
        <v>10</v>
      </c>
      <c r="E60" s="228" t="str">
        <f>VLOOKUP(B60,[2]T3!$B$2:$D$328,3,FALSE)</f>
        <v>273417648</v>
      </c>
      <c r="F60" s="223" t="s">
        <v>220</v>
      </c>
      <c r="G60" s="460" t="s">
        <v>244</v>
      </c>
      <c r="H60" s="461">
        <v>4</v>
      </c>
      <c r="I60" s="455">
        <v>6563942</v>
      </c>
      <c r="J60" s="456"/>
      <c r="K60" s="455"/>
      <c r="L60" s="455">
        <f t="shared" si="0"/>
        <v>6563942</v>
      </c>
      <c r="M60" s="455"/>
      <c r="N60" s="455">
        <f t="shared" si="8"/>
        <v>0</v>
      </c>
      <c r="O60" s="455"/>
      <c r="P60" s="455">
        <f t="shared" si="1"/>
        <v>6563942</v>
      </c>
      <c r="Q60" s="455">
        <f t="shared" si="9"/>
        <v>525115.36</v>
      </c>
      <c r="R60" s="457">
        <f t="shared" si="6"/>
        <v>98459.12999999999</v>
      </c>
      <c r="S60" s="455">
        <f t="shared" si="7"/>
        <v>65639.42</v>
      </c>
      <c r="T60" s="457"/>
      <c r="U60" s="457">
        <f t="shared" si="2"/>
        <v>689213.91</v>
      </c>
      <c r="V60" s="457"/>
      <c r="W60" s="457"/>
      <c r="X60" s="455"/>
      <c r="Y60" s="455"/>
      <c r="Z60" s="457"/>
      <c r="AA60" s="463">
        <f t="shared" si="3"/>
        <v>5874728.0899999999</v>
      </c>
      <c r="AB60" s="101" t="str">
        <f t="shared" si="10"/>
        <v>48</v>
      </c>
      <c r="AC60" s="102"/>
      <c r="AD60" s="117" t="s">
        <v>117</v>
      </c>
      <c r="AE60" s="109"/>
      <c r="AF60" s="120"/>
      <c r="AG60" s="110"/>
      <c r="AH60" s="110"/>
      <c r="AK60" s="111"/>
    </row>
    <row r="61" spans="1:39" s="104" customFormat="1" ht="31.5" customHeight="1">
      <c r="A61" s="202" t="s">
        <v>365</v>
      </c>
      <c r="B61" s="470" t="s">
        <v>311</v>
      </c>
      <c r="C61" s="95"/>
      <c r="D61" s="112" t="s">
        <v>312</v>
      </c>
      <c r="E61" s="228"/>
      <c r="F61" s="223"/>
      <c r="G61" s="453" t="s">
        <v>247</v>
      </c>
      <c r="H61" s="454">
        <v>2</v>
      </c>
      <c r="I61" s="455">
        <v>5257980</v>
      </c>
      <c r="J61" s="456"/>
      <c r="K61" s="455"/>
      <c r="L61" s="455">
        <f t="shared" si="0"/>
        <v>5257980</v>
      </c>
      <c r="M61" s="455"/>
      <c r="N61" s="455">
        <f t="shared" si="8"/>
        <v>0</v>
      </c>
      <c r="O61" s="455"/>
      <c r="P61" s="455">
        <f t="shared" si="1"/>
        <v>5257980</v>
      </c>
      <c r="Q61" s="455">
        <f t="shared" si="9"/>
        <v>420638.4</v>
      </c>
      <c r="R61" s="457">
        <f t="shared" si="6"/>
        <v>78869.7</v>
      </c>
      <c r="S61" s="455">
        <f t="shared" si="7"/>
        <v>52579.8</v>
      </c>
      <c r="T61" s="457"/>
      <c r="U61" s="457">
        <f t="shared" si="2"/>
        <v>552087.9</v>
      </c>
      <c r="V61" s="457"/>
      <c r="W61" s="459"/>
      <c r="X61" s="576"/>
      <c r="Y61" s="577"/>
      <c r="Z61" s="459"/>
      <c r="AA61" s="463">
        <f>P61-U61+W61+X62+Z61</f>
        <v>4705892.0999999996</v>
      </c>
      <c r="AB61" s="101" t="str">
        <f t="shared" si="10"/>
        <v>49</v>
      </c>
      <c r="AC61" s="255"/>
      <c r="AD61" s="255" t="s">
        <v>310</v>
      </c>
      <c r="AE61" s="117"/>
      <c r="AF61" s="144"/>
      <c r="AG61" s="506"/>
      <c r="AK61" s="105"/>
    </row>
    <row r="62" spans="1:39" s="104" customFormat="1" ht="30" customHeight="1">
      <c r="A62" s="202" t="s">
        <v>388</v>
      </c>
      <c r="B62" s="470" t="s">
        <v>143</v>
      </c>
      <c r="C62" s="95" t="s">
        <v>115</v>
      </c>
      <c r="D62" s="112" t="s">
        <v>10</v>
      </c>
      <c r="E62" s="228" t="str">
        <f>VLOOKUP(B62,[2]T3!$B$2:$D$328,3,FALSE)</f>
        <v>250835904</v>
      </c>
      <c r="F62" s="223" t="s">
        <v>219</v>
      </c>
      <c r="G62" s="460" t="s">
        <v>244</v>
      </c>
      <c r="H62" s="461">
        <v>4</v>
      </c>
      <c r="I62" s="455">
        <v>6563942</v>
      </c>
      <c r="J62" s="456"/>
      <c r="K62" s="455"/>
      <c r="L62" s="455">
        <f t="shared" si="0"/>
        <v>6563942</v>
      </c>
      <c r="M62" s="455"/>
      <c r="N62" s="455">
        <f t="shared" si="8"/>
        <v>0</v>
      </c>
      <c r="O62" s="455"/>
      <c r="P62" s="455">
        <f t="shared" si="1"/>
        <v>6563942</v>
      </c>
      <c r="Q62" s="455">
        <f t="shared" si="9"/>
        <v>525115.36</v>
      </c>
      <c r="R62" s="457">
        <f t="shared" si="6"/>
        <v>98459.12999999999</v>
      </c>
      <c r="S62" s="455">
        <f t="shared" si="7"/>
        <v>65639.42</v>
      </c>
      <c r="T62" s="457"/>
      <c r="U62" s="457">
        <f t="shared" si="2"/>
        <v>689213.91</v>
      </c>
      <c r="V62" s="457"/>
      <c r="W62" s="457"/>
      <c r="X62" s="459"/>
      <c r="Y62" s="457"/>
      <c r="Z62" s="457"/>
      <c r="AA62" s="463">
        <f t="shared" si="3"/>
        <v>5874728.0899999999</v>
      </c>
      <c r="AB62" s="101" t="str">
        <f t="shared" si="10"/>
        <v>50</v>
      </c>
      <c r="AC62" s="102"/>
      <c r="AD62" s="127" t="s">
        <v>116</v>
      </c>
      <c r="AE62" s="109"/>
      <c r="AF62" s="120"/>
      <c r="AG62" s="110"/>
      <c r="AH62" s="110"/>
      <c r="AK62" s="111"/>
    </row>
    <row r="63" spans="1:39" s="104" customFormat="1" ht="42.75" customHeight="1">
      <c r="A63" s="202" t="s">
        <v>389</v>
      </c>
      <c r="B63" s="470" t="s">
        <v>166</v>
      </c>
      <c r="C63" s="159"/>
      <c r="D63" s="112" t="s">
        <v>429</v>
      </c>
      <c r="E63" s="226"/>
      <c r="F63" s="209"/>
      <c r="G63" s="460" t="s">
        <v>244</v>
      </c>
      <c r="H63" s="454">
        <v>12</v>
      </c>
      <c r="I63" s="455">
        <v>11278075</v>
      </c>
      <c r="J63" s="462">
        <v>0.11</v>
      </c>
      <c r="K63" s="456">
        <f>I63*J63</f>
        <v>1240588.25</v>
      </c>
      <c r="L63" s="455">
        <f t="shared" si="0"/>
        <v>12518663</v>
      </c>
      <c r="M63" s="455"/>
      <c r="N63" s="455">
        <f t="shared" si="8"/>
        <v>0</v>
      </c>
      <c r="O63" s="455"/>
      <c r="P63" s="455">
        <f t="shared" si="1"/>
        <v>12518663</v>
      </c>
      <c r="Q63" s="455">
        <f t="shared" si="9"/>
        <v>1001493.04</v>
      </c>
      <c r="R63" s="457">
        <f t="shared" si="6"/>
        <v>187779.94500000001</v>
      </c>
      <c r="S63" s="455">
        <f t="shared" si="7"/>
        <v>125186.63</v>
      </c>
      <c r="T63" s="457"/>
      <c r="U63" s="457">
        <f t="shared" si="2"/>
        <v>1314459.6150000002</v>
      </c>
      <c r="V63" s="457"/>
      <c r="W63" s="457"/>
      <c r="X63" s="457"/>
      <c r="Y63" s="457"/>
      <c r="Z63" s="457"/>
      <c r="AA63" s="463">
        <f t="shared" si="3"/>
        <v>11204203.385</v>
      </c>
      <c r="AB63" s="101" t="str">
        <f t="shared" si="10"/>
        <v>51</v>
      </c>
      <c r="AC63" s="102"/>
      <c r="AD63" s="117"/>
      <c r="AE63" s="587"/>
      <c r="AF63" s="588"/>
      <c r="AG63" s="588"/>
      <c r="AK63" s="105"/>
    </row>
    <row r="64" spans="1:39" s="533" customFormat="1" ht="39" customHeight="1">
      <c r="A64" s="202" t="s">
        <v>390</v>
      </c>
      <c r="B64" s="470" t="s">
        <v>350</v>
      </c>
      <c r="C64" s="95"/>
      <c r="D64" s="112" t="s">
        <v>429</v>
      </c>
      <c r="E64" s="228"/>
      <c r="F64" s="209"/>
      <c r="G64" s="453" t="s">
        <v>247</v>
      </c>
      <c r="H64" s="454">
        <v>5</v>
      </c>
      <c r="I64" s="455">
        <v>6086769</v>
      </c>
      <c r="J64" s="456"/>
      <c r="K64" s="455"/>
      <c r="L64" s="455">
        <f t="shared" si="0"/>
        <v>6086769</v>
      </c>
      <c r="M64" s="455"/>
      <c r="N64" s="455">
        <f t="shared" si="8"/>
        <v>0</v>
      </c>
      <c r="O64" s="455"/>
      <c r="P64" s="455">
        <f t="shared" si="1"/>
        <v>6086769</v>
      </c>
      <c r="Q64" s="455">
        <f t="shared" si="9"/>
        <v>486941.52</v>
      </c>
      <c r="R64" s="457">
        <f t="shared" si="6"/>
        <v>91301.535000000003</v>
      </c>
      <c r="S64" s="455">
        <f t="shared" si="7"/>
        <v>60867.69</v>
      </c>
      <c r="T64" s="457"/>
      <c r="U64" s="457">
        <f t="shared" si="2"/>
        <v>639110.74500000011</v>
      </c>
      <c r="V64" s="457"/>
      <c r="W64" s="457"/>
      <c r="X64" s="458"/>
      <c r="Y64" s="457"/>
      <c r="Z64" s="457"/>
      <c r="AA64" s="463">
        <f t="shared" si="3"/>
        <v>5447658.2549999999</v>
      </c>
      <c r="AB64" s="101" t="str">
        <f t="shared" si="10"/>
        <v>52</v>
      </c>
      <c r="AC64" s="102"/>
      <c r="AD64" s="102"/>
      <c r="AE64" s="120"/>
      <c r="AF64" s="116"/>
      <c r="AK64" s="532"/>
    </row>
    <row r="65" spans="1:39" s="537" customFormat="1" ht="39" customHeight="1">
      <c r="A65" s="202" t="s">
        <v>391</v>
      </c>
      <c r="B65" s="540" t="s">
        <v>415</v>
      </c>
      <c r="C65" s="417"/>
      <c r="D65" s="112" t="s">
        <v>429</v>
      </c>
      <c r="E65" s="266"/>
      <c r="F65" s="418"/>
      <c r="G65" s="541" t="s">
        <v>248</v>
      </c>
      <c r="H65" s="542">
        <v>1</v>
      </c>
      <c r="I65" s="543">
        <v>4680000</v>
      </c>
      <c r="J65" s="544"/>
      <c r="K65" s="543"/>
      <c r="L65" s="543">
        <f t="shared" si="0"/>
        <v>4680000</v>
      </c>
      <c r="M65" s="543"/>
      <c r="N65" s="455">
        <f t="shared" si="8"/>
        <v>0</v>
      </c>
      <c r="O65" s="543"/>
      <c r="P65" s="543">
        <f t="shared" si="1"/>
        <v>4680000</v>
      </c>
      <c r="Q65" s="543">
        <f t="shared" si="9"/>
        <v>374400</v>
      </c>
      <c r="R65" s="545">
        <f t="shared" si="6"/>
        <v>70200</v>
      </c>
      <c r="S65" s="543">
        <f t="shared" si="7"/>
        <v>46800</v>
      </c>
      <c r="T65" s="545"/>
      <c r="U65" s="545">
        <f t="shared" si="2"/>
        <v>491400</v>
      </c>
      <c r="V65" s="545"/>
      <c r="W65" s="545"/>
      <c r="X65" s="546"/>
      <c r="Y65" s="545"/>
      <c r="Z65" s="545"/>
      <c r="AA65" s="547">
        <f t="shared" si="3"/>
        <v>4188600</v>
      </c>
      <c r="AB65" s="548"/>
      <c r="AC65" s="120"/>
      <c r="AD65" s="120" t="s">
        <v>414</v>
      </c>
      <c r="AE65" s="144"/>
      <c r="AF65" s="116"/>
      <c r="AK65" s="536"/>
    </row>
    <row r="66" spans="1:39" s="575" customFormat="1" ht="39" customHeight="1">
      <c r="A66" s="202" t="s">
        <v>392</v>
      </c>
      <c r="B66" s="540" t="s">
        <v>426</v>
      </c>
      <c r="C66" s="417"/>
      <c r="D66" s="586" t="s">
        <v>427</v>
      </c>
      <c r="E66" s="266"/>
      <c r="F66" s="418"/>
      <c r="G66" s="541" t="s">
        <v>247</v>
      </c>
      <c r="H66" s="542">
        <v>1</v>
      </c>
      <c r="I66" s="543">
        <v>5007600</v>
      </c>
      <c r="J66" s="544"/>
      <c r="K66" s="543"/>
      <c r="L66" s="543">
        <f t="shared" si="0"/>
        <v>5007600</v>
      </c>
      <c r="M66" s="543"/>
      <c r="N66" s="455">
        <f t="shared" si="8"/>
        <v>0</v>
      </c>
      <c r="O66" s="543"/>
      <c r="P66" s="543">
        <f t="shared" si="1"/>
        <v>5007600</v>
      </c>
      <c r="Q66" s="543">
        <f t="shared" si="9"/>
        <v>400608</v>
      </c>
      <c r="R66" s="545">
        <f t="shared" si="6"/>
        <v>75114</v>
      </c>
      <c r="S66" s="543">
        <f t="shared" si="7"/>
        <v>50076</v>
      </c>
      <c r="T66" s="545"/>
      <c r="U66" s="545">
        <f t="shared" si="2"/>
        <v>525798</v>
      </c>
      <c r="V66" s="545"/>
      <c r="W66" s="545"/>
      <c r="X66" s="546"/>
      <c r="Y66" s="545"/>
      <c r="Z66" s="545"/>
      <c r="AA66" s="547">
        <f t="shared" si="3"/>
        <v>4481802</v>
      </c>
      <c r="AB66" s="548"/>
      <c r="AC66" s="120" t="s">
        <v>428</v>
      </c>
      <c r="AD66" s="120"/>
      <c r="AE66" s="144"/>
      <c r="AF66" s="116"/>
      <c r="AK66" s="574"/>
    </row>
    <row r="67" spans="1:39" s="104" customFormat="1" ht="34.9" customHeight="1">
      <c r="A67" s="202" t="s">
        <v>393</v>
      </c>
      <c r="B67" s="518" t="s">
        <v>282</v>
      </c>
      <c r="C67" s="319"/>
      <c r="D67" s="320" t="s">
        <v>283</v>
      </c>
      <c r="E67" s="230"/>
      <c r="F67" s="321"/>
      <c r="G67" s="519" t="s">
        <v>244</v>
      </c>
      <c r="H67" s="520">
        <v>11</v>
      </c>
      <c r="I67" s="521">
        <v>10540257</v>
      </c>
      <c r="J67" s="522"/>
      <c r="K67" s="521"/>
      <c r="L67" s="521">
        <f t="shared" si="0"/>
        <v>10540257</v>
      </c>
      <c r="M67" s="521"/>
      <c r="N67" s="455">
        <f t="shared" si="8"/>
        <v>0</v>
      </c>
      <c r="O67" s="521"/>
      <c r="P67" s="521">
        <f t="shared" si="1"/>
        <v>10540257</v>
      </c>
      <c r="Q67" s="521">
        <v>0</v>
      </c>
      <c r="R67" s="523">
        <v>0</v>
      </c>
      <c r="S67" s="521">
        <v>0</v>
      </c>
      <c r="T67" s="523"/>
      <c r="U67" s="523">
        <f t="shared" si="2"/>
        <v>0</v>
      </c>
      <c r="V67" s="523"/>
      <c r="W67" s="524"/>
      <c r="X67" s="524"/>
      <c r="Y67" s="524"/>
      <c r="Z67" s="524"/>
      <c r="AA67" s="525">
        <f t="shared" si="3"/>
        <v>10540257</v>
      </c>
      <c r="AB67" s="327" t="str">
        <f t="shared" si="10"/>
        <v>55</v>
      </c>
      <c r="AC67" s="328"/>
      <c r="AD67" s="255" t="s">
        <v>280</v>
      </c>
      <c r="AE67" s="633" t="s">
        <v>332</v>
      </c>
      <c r="AF67" s="634"/>
      <c r="AG67" s="634"/>
      <c r="AK67" s="105"/>
    </row>
    <row r="68" spans="1:39" ht="33" customHeight="1">
      <c r="A68" s="88"/>
      <c r="B68" s="635" t="s">
        <v>11</v>
      </c>
      <c r="C68" s="636"/>
      <c r="D68" s="161"/>
      <c r="E68" s="161"/>
      <c r="F68" s="82"/>
      <c r="G68" s="464"/>
      <c r="H68" s="465">
        <f>SUM(H13:H67)</f>
        <v>227</v>
      </c>
      <c r="I68" s="466">
        <f>SUM(I13:I67)+1</f>
        <v>342795580</v>
      </c>
      <c r="J68" s="467">
        <f>SUM(J24:J64)</f>
        <v>0.11</v>
      </c>
      <c r="K68" s="466">
        <f>SUM(K13:K67)</f>
        <v>1668823</v>
      </c>
      <c r="L68" s="466">
        <f>SUM(L13:L67)+1</f>
        <v>344464403</v>
      </c>
      <c r="M68" s="466"/>
      <c r="N68" s="466">
        <f t="shared" ref="N68:Z68" si="11">SUM(N13:N67)</f>
        <v>5417685</v>
      </c>
      <c r="O68" s="466">
        <f t="shared" si="11"/>
        <v>0</v>
      </c>
      <c r="P68" s="466">
        <f>SUM(P13:P67)+1</f>
        <v>339046718</v>
      </c>
      <c r="Q68" s="466">
        <f>SUM(Q13:Q67)</f>
        <v>25789754.79999999</v>
      </c>
      <c r="R68" s="466">
        <f>SUM(R13:R67)</f>
        <v>4835579.0250000013</v>
      </c>
      <c r="S68" s="466">
        <f>SUM(S13:S67)+1</f>
        <v>3223720.3499999987</v>
      </c>
      <c r="T68" s="467">
        <f t="shared" si="11"/>
        <v>0</v>
      </c>
      <c r="U68" s="466">
        <f>SUM(U13:U67)+1</f>
        <v>33849054.175000012</v>
      </c>
      <c r="V68" s="468">
        <f t="shared" si="11"/>
        <v>0</v>
      </c>
      <c r="W68" s="466">
        <f t="shared" si="11"/>
        <v>0</v>
      </c>
      <c r="X68" s="468">
        <f t="shared" si="11"/>
        <v>0</v>
      </c>
      <c r="Y68" s="466">
        <f t="shared" si="11"/>
        <v>0</v>
      </c>
      <c r="Z68" s="469">
        <f t="shared" si="11"/>
        <v>852000</v>
      </c>
      <c r="AA68" s="466">
        <f>SUM(AA13:AA67)</f>
        <v>306049663.82499993</v>
      </c>
      <c r="AB68" s="90"/>
      <c r="AC68" s="91"/>
      <c r="AD68" s="92"/>
      <c r="AE68" s="71" t="s">
        <v>77</v>
      </c>
      <c r="AF68" s="60"/>
      <c r="AG68" s="60"/>
    </row>
    <row r="69" spans="1:39" ht="44.25" hidden="1" customHeight="1">
      <c r="A69" s="6"/>
      <c r="B69" s="142"/>
      <c r="C69" s="64"/>
      <c r="D69" s="162"/>
      <c r="E69" s="162"/>
      <c r="F69" s="204"/>
      <c r="G69" s="47"/>
      <c r="H69" s="46"/>
      <c r="I69" s="52"/>
      <c r="J69" s="46"/>
      <c r="K69" s="52"/>
      <c r="L69" s="52"/>
      <c r="M69" s="52"/>
      <c r="N69" s="52"/>
      <c r="O69" s="52"/>
      <c r="P69" s="52"/>
      <c r="Q69" s="345">
        <v>21574227</v>
      </c>
      <c r="R69" s="345">
        <v>4045167</v>
      </c>
      <c r="S69" s="345">
        <v>2696778</v>
      </c>
      <c r="T69" s="344"/>
      <c r="U69" s="345">
        <v>28316172</v>
      </c>
      <c r="V69" s="344"/>
      <c r="W69" s="344"/>
      <c r="X69" s="344"/>
      <c r="Y69" s="344"/>
      <c r="Z69" s="344"/>
      <c r="AA69" s="345">
        <v>255377566</v>
      </c>
      <c r="AB69" s="54"/>
      <c r="AC69" s="68"/>
      <c r="AD69" s="68"/>
      <c r="AE69" s="69"/>
      <c r="AF69" s="69"/>
      <c r="AG69" s="69"/>
    </row>
    <row r="70" spans="1:39" s="42" customFormat="1" ht="12.6" customHeight="1">
      <c r="A70" s="472"/>
      <c r="B70" s="473"/>
      <c r="C70" s="474"/>
      <c r="D70" s="475"/>
      <c r="E70" s="475"/>
      <c r="F70" s="476"/>
      <c r="G70" s="477"/>
      <c r="H70" s="478"/>
      <c r="I70" s="473"/>
      <c r="J70" s="478"/>
      <c r="K70" s="473"/>
      <c r="L70" s="473"/>
      <c r="M70" s="473"/>
      <c r="N70" s="473"/>
      <c r="O70" s="473"/>
      <c r="P70" s="473"/>
      <c r="Q70" s="479"/>
      <c r="R70" s="479"/>
      <c r="S70" s="479"/>
      <c r="T70" s="473"/>
      <c r="U70" s="479"/>
      <c r="V70" s="473"/>
      <c r="W70" s="473"/>
      <c r="X70" s="473"/>
      <c r="Y70" s="473"/>
      <c r="Z70" s="473"/>
      <c r="AA70" s="479"/>
      <c r="AB70" s="480"/>
      <c r="AC70" s="434"/>
      <c r="AD70" s="434"/>
      <c r="AE70" s="69"/>
      <c r="AF70" s="69"/>
      <c r="AG70" s="69"/>
      <c r="AK70" s="58"/>
    </row>
    <row r="71" spans="1:39" s="42" customFormat="1" ht="18.75" customHeight="1">
      <c r="A71" s="431"/>
      <c r="B71" s="660" t="s">
        <v>12</v>
      </c>
      <c r="C71" s="660"/>
      <c r="D71" s="424" t="s">
        <v>451</v>
      </c>
      <c r="E71" s="424"/>
      <c r="F71" s="481"/>
      <c r="G71" s="482"/>
      <c r="H71" s="482"/>
      <c r="I71" s="482"/>
      <c r="J71" s="483"/>
      <c r="K71" s="482"/>
      <c r="L71" s="482"/>
      <c r="M71" s="482"/>
      <c r="N71" s="482"/>
      <c r="O71" s="482"/>
      <c r="P71" s="482"/>
      <c r="Q71" s="482"/>
      <c r="R71" s="482"/>
      <c r="S71" s="426"/>
      <c r="T71" s="426"/>
      <c r="U71" s="426"/>
      <c r="V71" s="426"/>
      <c r="W71" s="426"/>
      <c r="X71" s="426"/>
      <c r="Y71" s="426"/>
      <c r="Z71" s="426"/>
      <c r="AA71" s="426"/>
      <c r="AB71" s="424"/>
      <c r="AC71" s="484"/>
      <c r="AD71" s="484"/>
      <c r="AE71" s="69"/>
      <c r="AF71" s="60"/>
      <c r="AG71" s="60"/>
      <c r="AK71" s="58"/>
    </row>
    <row r="72" spans="1:39" s="42" customFormat="1" ht="7.5" customHeight="1">
      <c r="A72" s="431"/>
      <c r="B72" s="660"/>
      <c r="C72" s="660"/>
      <c r="D72" s="485"/>
      <c r="E72" s="485"/>
      <c r="F72" s="486"/>
      <c r="G72" s="487"/>
      <c r="H72" s="487"/>
      <c r="I72" s="488"/>
      <c r="J72" s="488"/>
      <c r="K72" s="488"/>
      <c r="L72" s="488"/>
      <c r="M72" s="488"/>
      <c r="N72" s="488"/>
      <c r="O72" s="488"/>
      <c r="P72" s="488"/>
      <c r="Q72" s="488"/>
      <c r="R72" s="488"/>
      <c r="S72" s="488"/>
      <c r="T72" s="488"/>
      <c r="U72" s="488"/>
      <c r="V72" s="488"/>
      <c r="W72" s="488"/>
      <c r="X72" s="488"/>
      <c r="Y72" s="488"/>
      <c r="Z72" s="488"/>
      <c r="AA72" s="488"/>
      <c r="AB72" s="661"/>
      <c r="AC72" s="661"/>
      <c r="AD72" s="488"/>
      <c r="AE72" s="654" t="e">
        <f>1000000-#REF!</f>
        <v>#REF!</v>
      </c>
      <c r="AF72" s="650"/>
      <c r="AG72" s="650"/>
      <c r="AK72" s="58"/>
    </row>
    <row r="73" spans="1:39" s="291" customFormat="1" ht="21" customHeight="1">
      <c r="B73" s="648"/>
      <c r="C73" s="648"/>
      <c r="D73" s="497"/>
      <c r="E73" s="497"/>
      <c r="F73" s="498"/>
      <c r="J73" s="499"/>
      <c r="S73" s="659" t="s">
        <v>445</v>
      </c>
      <c r="T73" s="659"/>
      <c r="U73" s="659"/>
      <c r="V73" s="659"/>
      <c r="W73" s="659"/>
      <c r="X73" s="659"/>
      <c r="Y73" s="659"/>
      <c r="Z73" s="659"/>
      <c r="AA73" s="659"/>
      <c r="AB73" s="659"/>
      <c r="AC73" s="659"/>
      <c r="AD73" s="657"/>
      <c r="AE73" s="648"/>
      <c r="AF73" s="648"/>
      <c r="AG73" s="648"/>
      <c r="AK73" s="500"/>
    </row>
    <row r="74" spans="1:39" s="291" customFormat="1" ht="15.75" customHeight="1">
      <c r="A74" s="649" t="s">
        <v>13</v>
      </c>
      <c r="B74" s="649"/>
      <c r="C74" s="649"/>
      <c r="D74" s="649"/>
      <c r="E74" s="649"/>
      <c r="F74" s="649"/>
      <c r="G74" s="649"/>
      <c r="H74" s="649"/>
      <c r="I74" s="649" t="s">
        <v>183</v>
      </c>
      <c r="J74" s="649"/>
      <c r="K74" s="649"/>
      <c r="L74" s="649"/>
      <c r="M74" s="649"/>
      <c r="N74" s="649"/>
      <c r="O74" s="649"/>
      <c r="P74" s="649"/>
      <c r="Q74" s="649"/>
      <c r="R74" s="649"/>
      <c r="S74" s="649" t="s">
        <v>14</v>
      </c>
      <c r="T74" s="649"/>
      <c r="U74" s="649"/>
      <c r="V74" s="649"/>
      <c r="W74" s="649"/>
      <c r="X74" s="649"/>
      <c r="Y74" s="649"/>
      <c r="Z74" s="649"/>
      <c r="AA74" s="649"/>
      <c r="AB74" s="649"/>
      <c r="AC74" s="649"/>
      <c r="AD74" s="658"/>
      <c r="AE74" s="652"/>
      <c r="AF74" s="652"/>
      <c r="AG74" s="652"/>
      <c r="AK74" s="500"/>
    </row>
    <row r="75" spans="1:39" s="291" customFormat="1" ht="15.75" customHeight="1">
      <c r="B75" s="655"/>
      <c r="C75" s="655"/>
      <c r="D75" s="497"/>
      <c r="E75" s="497"/>
      <c r="F75" s="498"/>
      <c r="I75" s="499"/>
      <c r="J75" s="499"/>
      <c r="K75" s="499"/>
      <c r="L75" s="499"/>
      <c r="M75" s="499"/>
      <c r="N75" s="499"/>
      <c r="O75" s="499"/>
      <c r="P75" s="499"/>
      <c r="Q75" s="502"/>
      <c r="R75" s="499"/>
      <c r="S75" s="499"/>
      <c r="T75" s="499"/>
      <c r="U75" s="499"/>
      <c r="V75" s="499"/>
      <c r="AB75" s="655"/>
      <c r="AC75" s="655"/>
      <c r="AD75" s="499"/>
      <c r="AE75" s="648"/>
      <c r="AF75" s="648"/>
      <c r="AG75" s="648"/>
      <c r="AK75" s="500"/>
    </row>
    <row r="76" spans="1:39" s="291" customFormat="1" ht="15.75" customHeight="1">
      <c r="B76" s="648"/>
      <c r="C76" s="648"/>
      <c r="D76" s="497"/>
      <c r="E76" s="497"/>
      <c r="F76" s="498"/>
      <c r="I76" s="499"/>
      <c r="J76" s="499"/>
      <c r="K76" s="499"/>
      <c r="L76" s="499"/>
      <c r="M76" s="499"/>
      <c r="N76" s="499"/>
      <c r="O76" s="499"/>
      <c r="P76" s="499"/>
      <c r="Q76" s="499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4"/>
      <c r="AG76" s="504"/>
      <c r="AH76" s="504"/>
      <c r="AI76" s="504"/>
      <c r="AJ76" s="504"/>
      <c r="AK76" s="504"/>
      <c r="AL76" s="504"/>
      <c r="AM76" s="504"/>
    </row>
    <row r="77" spans="1:39" s="291" customFormat="1" ht="15.75" customHeight="1">
      <c r="D77" s="497"/>
      <c r="E77" s="497"/>
      <c r="F77" s="498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AC77" s="504"/>
      <c r="AD77" s="504"/>
      <c r="AE77" s="504"/>
      <c r="AF77" s="504"/>
      <c r="AG77" s="504"/>
      <c r="AH77" s="504"/>
      <c r="AI77" s="504"/>
      <c r="AJ77" s="504"/>
      <c r="AK77" s="504"/>
      <c r="AL77" s="504"/>
      <c r="AM77" s="504"/>
    </row>
    <row r="78" spans="1:39" s="291" customFormat="1" ht="9.75" customHeight="1">
      <c r="B78" s="648"/>
      <c r="C78" s="648"/>
      <c r="D78" s="497"/>
      <c r="E78" s="497"/>
      <c r="F78" s="498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AB78" s="655"/>
      <c r="AC78" s="655"/>
      <c r="AD78" s="499"/>
      <c r="AE78" s="656"/>
      <c r="AF78" s="648"/>
      <c r="AG78" s="648"/>
      <c r="AK78" s="500"/>
    </row>
    <row r="79" spans="1:39" s="291" customFormat="1" ht="15.75" customHeight="1">
      <c r="B79" s="648"/>
      <c r="C79" s="648"/>
      <c r="D79" s="497"/>
      <c r="E79" s="497"/>
      <c r="F79" s="498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AB79" s="655"/>
      <c r="AC79" s="655"/>
      <c r="AD79" s="499"/>
      <c r="AE79" s="656"/>
      <c r="AF79" s="648"/>
      <c r="AG79" s="648"/>
      <c r="AK79" s="500"/>
    </row>
    <row r="80" spans="1:39" s="291" customFormat="1" ht="15.75" customHeight="1">
      <c r="B80" s="648"/>
      <c r="C80" s="648"/>
      <c r="D80" s="497"/>
      <c r="E80" s="497"/>
      <c r="F80" s="498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AB80" s="655"/>
      <c r="AC80" s="655"/>
      <c r="AD80" s="499"/>
      <c r="AE80" s="656"/>
      <c r="AF80" s="648"/>
      <c r="AG80" s="648"/>
      <c r="AK80" s="500"/>
    </row>
    <row r="81" spans="1:37" s="291" customFormat="1" ht="15.75" customHeight="1">
      <c r="A81" s="649" t="s">
        <v>227</v>
      </c>
      <c r="B81" s="649"/>
      <c r="C81" s="649"/>
      <c r="D81" s="649"/>
      <c r="E81" s="649"/>
      <c r="F81" s="649"/>
      <c r="G81" s="649"/>
      <c r="H81" s="649"/>
      <c r="I81" s="649" t="s">
        <v>123</v>
      </c>
      <c r="J81" s="649"/>
      <c r="K81" s="649"/>
      <c r="L81" s="649"/>
      <c r="M81" s="649"/>
      <c r="N81" s="649"/>
      <c r="O81" s="649"/>
      <c r="P81" s="649"/>
      <c r="Q81" s="649"/>
      <c r="R81" s="649"/>
      <c r="S81" s="649" t="s">
        <v>120</v>
      </c>
      <c r="T81" s="649"/>
      <c r="U81" s="649"/>
      <c r="V81" s="649"/>
      <c r="W81" s="649"/>
      <c r="X81" s="649"/>
      <c r="Y81" s="649"/>
      <c r="Z81" s="649"/>
      <c r="AA81" s="649"/>
      <c r="AB81" s="649"/>
      <c r="AC81" s="649"/>
      <c r="AD81" s="501"/>
      <c r="AE81" s="652"/>
      <c r="AF81" s="652"/>
      <c r="AG81" s="652"/>
      <c r="AK81" s="500"/>
    </row>
    <row r="82" spans="1:37" s="42" customFormat="1">
      <c r="A82" s="489"/>
      <c r="B82" s="490"/>
      <c r="C82" s="491"/>
      <c r="D82" s="492"/>
      <c r="E82" s="492"/>
      <c r="F82" s="493"/>
      <c r="G82" s="490"/>
      <c r="H82" s="490"/>
      <c r="I82" s="490"/>
      <c r="J82" s="494"/>
      <c r="K82" s="490"/>
      <c r="L82" s="490"/>
      <c r="M82" s="490"/>
      <c r="N82" s="490"/>
      <c r="O82" s="490"/>
      <c r="P82" s="490"/>
      <c r="Q82" s="490"/>
      <c r="R82" s="490"/>
      <c r="S82" s="490"/>
      <c r="T82" s="490"/>
      <c r="U82" s="490"/>
      <c r="V82" s="490"/>
      <c r="W82" s="490"/>
      <c r="X82" s="490"/>
      <c r="Y82" s="490"/>
      <c r="Z82" s="490"/>
      <c r="AA82" s="490"/>
      <c r="AB82" s="653"/>
      <c r="AC82" s="653"/>
      <c r="AD82" s="494"/>
      <c r="AE82" s="654"/>
      <c r="AF82" s="650"/>
      <c r="AG82" s="650"/>
      <c r="AK82" s="58"/>
    </row>
    <row r="83" spans="1:37" s="42" customFormat="1">
      <c r="B83" s="495"/>
      <c r="C83" s="60"/>
      <c r="D83" s="496"/>
      <c r="E83" s="496"/>
      <c r="F83" s="481"/>
      <c r="G83" s="495"/>
      <c r="H83" s="495"/>
      <c r="I83" s="482"/>
      <c r="J83" s="483"/>
      <c r="K83" s="482"/>
      <c r="L83" s="482"/>
      <c r="M83" s="482"/>
      <c r="N83" s="482"/>
      <c r="O83" s="482"/>
      <c r="P83" s="482"/>
      <c r="Q83" s="482"/>
      <c r="R83" s="482"/>
      <c r="S83" s="482"/>
      <c r="T83" s="482"/>
      <c r="U83" s="482"/>
      <c r="V83" s="482"/>
      <c r="W83" s="482"/>
      <c r="X83" s="482"/>
      <c r="Y83" s="482"/>
      <c r="Z83" s="482"/>
      <c r="AA83" s="482"/>
      <c r="AB83" s="651"/>
      <c r="AC83" s="651"/>
      <c r="AD83" s="483"/>
      <c r="AE83" s="650"/>
      <c r="AF83" s="650"/>
      <c r="AG83" s="650"/>
      <c r="AK83" s="58"/>
    </row>
    <row r="84" spans="1:37" s="42" customFormat="1">
      <c r="A84" s="431"/>
      <c r="B84" s="650"/>
      <c r="C84" s="650"/>
      <c r="D84" s="496"/>
      <c r="E84" s="496"/>
      <c r="F84" s="481"/>
      <c r="G84" s="482"/>
      <c r="H84" s="482"/>
      <c r="I84" s="482"/>
      <c r="J84" s="483"/>
      <c r="K84" s="482"/>
      <c r="L84" s="482"/>
      <c r="M84" s="482"/>
      <c r="N84" s="482"/>
      <c r="O84" s="482"/>
      <c r="P84" s="482"/>
      <c r="Q84" s="482"/>
      <c r="R84" s="482"/>
      <c r="S84" s="482"/>
      <c r="T84" s="482"/>
      <c r="U84" s="482"/>
      <c r="V84" s="482"/>
      <c r="W84" s="482"/>
      <c r="X84" s="482"/>
      <c r="Y84" s="482"/>
      <c r="Z84" s="482"/>
      <c r="AA84" s="482"/>
      <c r="AB84" s="651"/>
      <c r="AC84" s="651"/>
      <c r="AD84" s="483"/>
      <c r="AE84" s="650"/>
      <c r="AF84" s="650"/>
      <c r="AG84" s="650"/>
      <c r="AK84" s="58"/>
    </row>
    <row r="85" spans="1:37" s="42" customFormat="1">
      <c r="A85" s="431"/>
      <c r="B85" s="650"/>
      <c r="C85" s="650"/>
      <c r="D85" s="496"/>
      <c r="E85" s="496"/>
      <c r="F85" s="481"/>
      <c r="G85" s="482"/>
      <c r="H85" s="482"/>
      <c r="I85" s="482"/>
      <c r="J85" s="483"/>
      <c r="K85" s="482"/>
      <c r="L85" s="482"/>
      <c r="M85" s="482"/>
      <c r="N85" s="482"/>
      <c r="O85" s="482"/>
      <c r="P85" s="482"/>
      <c r="Q85" s="482"/>
      <c r="R85" s="482"/>
      <c r="S85" s="482"/>
      <c r="T85" s="482"/>
      <c r="U85" s="482"/>
      <c r="V85" s="482"/>
      <c r="W85" s="482"/>
      <c r="X85" s="482"/>
      <c r="Y85" s="482"/>
      <c r="Z85" s="482"/>
      <c r="AA85" s="482"/>
      <c r="AB85" s="651"/>
      <c r="AC85" s="651"/>
      <c r="AD85" s="483"/>
      <c r="AE85" s="650"/>
      <c r="AF85" s="650"/>
      <c r="AG85" s="650"/>
      <c r="AK85" s="58"/>
    </row>
    <row r="86" spans="1:37">
      <c r="A86" s="5"/>
      <c r="B86" s="639"/>
      <c r="C86" s="639"/>
      <c r="AB86" s="600"/>
      <c r="AC86" s="600"/>
      <c r="AD86" s="45"/>
      <c r="AE86" s="650"/>
      <c r="AF86" s="650"/>
      <c r="AG86" s="650"/>
    </row>
    <row r="87" spans="1:37">
      <c r="A87" s="5"/>
      <c r="B87" s="639"/>
      <c r="C87" s="639"/>
      <c r="AB87" s="600"/>
      <c r="AC87" s="600"/>
      <c r="AD87" s="45"/>
      <c r="AE87" s="650"/>
      <c r="AF87" s="650"/>
      <c r="AG87" s="650"/>
    </row>
    <row r="88" spans="1:37">
      <c r="A88" s="5"/>
      <c r="B88" s="639"/>
      <c r="C88" s="639"/>
      <c r="AB88" s="600"/>
      <c r="AC88" s="600"/>
      <c r="AD88" s="45"/>
      <c r="AE88" s="650"/>
      <c r="AF88" s="650"/>
      <c r="AG88" s="650"/>
    </row>
    <row r="89" spans="1:37">
      <c r="A89" s="5"/>
      <c r="B89" s="639"/>
      <c r="C89" s="639"/>
      <c r="AB89" s="600"/>
      <c r="AC89" s="600"/>
      <c r="AD89" s="45"/>
      <c r="AE89" s="650"/>
      <c r="AF89" s="650"/>
      <c r="AG89" s="650"/>
    </row>
    <row r="90" spans="1:37">
      <c r="A90" s="5"/>
      <c r="B90" s="639"/>
      <c r="C90" s="639"/>
      <c r="AB90" s="600"/>
      <c r="AC90" s="600"/>
      <c r="AD90" s="45"/>
      <c r="AE90" s="650"/>
      <c r="AF90" s="650"/>
      <c r="AG90" s="650"/>
    </row>
    <row r="91" spans="1:37">
      <c r="A91" s="5"/>
      <c r="B91" s="639"/>
      <c r="C91" s="639"/>
      <c r="AB91" s="600"/>
      <c r="AC91" s="600"/>
      <c r="AD91" s="45"/>
      <c r="AE91" s="650"/>
      <c r="AF91" s="650"/>
      <c r="AG91" s="650"/>
    </row>
    <row r="92" spans="1:37">
      <c r="A92" s="5"/>
      <c r="B92" s="639"/>
      <c r="C92" s="639"/>
      <c r="AB92" s="600"/>
      <c r="AC92" s="600"/>
      <c r="AD92" s="45"/>
      <c r="AE92" s="650"/>
      <c r="AF92" s="650"/>
      <c r="AG92" s="650"/>
    </row>
    <row r="93" spans="1:37">
      <c r="A93" s="5"/>
      <c r="B93" s="639"/>
      <c r="C93" s="639"/>
      <c r="AB93" s="600"/>
      <c r="AC93" s="600"/>
      <c r="AD93" s="45"/>
      <c r="AE93" s="650"/>
      <c r="AF93" s="650"/>
      <c r="AG93" s="650"/>
    </row>
    <row r="94" spans="1:37">
      <c r="A94" s="5"/>
      <c r="B94" s="639"/>
      <c r="C94" s="639"/>
      <c r="AB94" s="600"/>
      <c r="AC94" s="600"/>
      <c r="AD94" s="45"/>
      <c r="AE94" s="650"/>
      <c r="AF94" s="650"/>
      <c r="AG94" s="650"/>
    </row>
    <row r="95" spans="1:37">
      <c r="A95" s="5"/>
      <c r="B95" s="639"/>
      <c r="C95" s="639"/>
      <c r="AB95" s="600"/>
      <c r="AC95" s="600"/>
      <c r="AD95" s="45"/>
      <c r="AE95" s="650"/>
      <c r="AF95" s="650"/>
      <c r="AG95" s="650"/>
    </row>
    <row r="96" spans="1:37">
      <c r="A96" s="5"/>
      <c r="B96" s="639"/>
      <c r="C96" s="639"/>
      <c r="AB96" s="600"/>
      <c r="AC96" s="600"/>
      <c r="AD96" s="45"/>
      <c r="AE96" s="650"/>
      <c r="AF96" s="650"/>
      <c r="AG96" s="650"/>
    </row>
    <row r="97" spans="1:33">
      <c r="A97" s="5"/>
      <c r="B97" s="639"/>
      <c r="C97" s="639"/>
      <c r="AB97" s="600"/>
      <c r="AC97" s="600"/>
      <c r="AD97" s="45"/>
      <c r="AE97" s="650"/>
      <c r="AF97" s="650"/>
      <c r="AG97" s="650"/>
    </row>
    <row r="98" spans="1:33">
      <c r="A98" s="5"/>
      <c r="B98" s="639"/>
      <c r="C98" s="639"/>
      <c r="AB98" s="600"/>
      <c r="AC98" s="600"/>
      <c r="AD98" s="45"/>
      <c r="AE98" s="650"/>
      <c r="AF98" s="650"/>
      <c r="AG98" s="650"/>
    </row>
    <row r="99" spans="1:33">
      <c r="A99" s="5"/>
      <c r="B99" s="639"/>
      <c r="C99" s="639"/>
      <c r="AB99" s="600"/>
      <c r="AC99" s="600"/>
      <c r="AD99" s="45"/>
      <c r="AE99" s="650"/>
      <c r="AF99" s="650"/>
      <c r="AG99" s="650"/>
    </row>
    <row r="100" spans="1:33">
      <c r="A100" s="5"/>
      <c r="B100" s="639"/>
      <c r="C100" s="639"/>
      <c r="AB100" s="600"/>
      <c r="AC100" s="600"/>
      <c r="AD100" s="45"/>
      <c r="AE100" s="650"/>
      <c r="AF100" s="650"/>
      <c r="AG100" s="650"/>
    </row>
  </sheetData>
  <mergeCells count="123"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  <mergeCell ref="AB12:AC12"/>
    <mergeCell ref="AB10:AC11"/>
    <mergeCell ref="A10:A11"/>
    <mergeCell ref="B10:C11"/>
    <mergeCell ref="D10:D11"/>
    <mergeCell ref="G10:G11"/>
    <mergeCell ref="AE24:AG24"/>
    <mergeCell ref="AE72:AG72"/>
    <mergeCell ref="B72:C72"/>
    <mergeCell ref="AB72:AC72"/>
    <mergeCell ref="AE45:AH45"/>
    <mergeCell ref="Z10:Z11"/>
    <mergeCell ref="V10:W10"/>
    <mergeCell ref="X10:Y10"/>
    <mergeCell ref="Q10:U10"/>
    <mergeCell ref="M10:M11"/>
    <mergeCell ref="E10:E11"/>
    <mergeCell ref="AE75:AG75"/>
    <mergeCell ref="B75:C75"/>
    <mergeCell ref="AE73:AG73"/>
    <mergeCell ref="AE74:AG74"/>
    <mergeCell ref="B73:C73"/>
    <mergeCell ref="AE67:AG67"/>
    <mergeCell ref="AB80:AC80"/>
    <mergeCell ref="AE80:AG80"/>
    <mergeCell ref="S81:AC81"/>
    <mergeCell ref="I81:R81"/>
    <mergeCell ref="AB78:AC78"/>
    <mergeCell ref="AB79:AC79"/>
    <mergeCell ref="AE78:AG78"/>
    <mergeCell ref="AB75:AC75"/>
    <mergeCell ref="I74:R74"/>
    <mergeCell ref="AD73:AD74"/>
    <mergeCell ref="S73:AC73"/>
    <mergeCell ref="S74:AC74"/>
    <mergeCell ref="AE79:AG79"/>
    <mergeCell ref="A74:H74"/>
    <mergeCell ref="B68:C68"/>
    <mergeCell ref="B78:C78"/>
    <mergeCell ref="B76:C76"/>
    <mergeCell ref="B71:C71"/>
    <mergeCell ref="AB85:AC85"/>
    <mergeCell ref="AE85:AG85"/>
    <mergeCell ref="AE81:AG81"/>
    <mergeCell ref="B84:C84"/>
    <mergeCell ref="AB84:AC84"/>
    <mergeCell ref="AE84:AG84"/>
    <mergeCell ref="AB82:AC82"/>
    <mergeCell ref="AE82:AG82"/>
    <mergeCell ref="AB83:AC83"/>
    <mergeCell ref="AE83:AG83"/>
    <mergeCell ref="AB90:AC90"/>
    <mergeCell ref="AE90:AG90"/>
    <mergeCell ref="AB89:AC89"/>
    <mergeCell ref="AE89:AG89"/>
    <mergeCell ref="AB88:AC88"/>
    <mergeCell ref="AE88:AG88"/>
    <mergeCell ref="AB87:AC87"/>
    <mergeCell ref="AE87:AG87"/>
    <mergeCell ref="AB86:AC86"/>
    <mergeCell ref="AE86:AG86"/>
    <mergeCell ref="AB93:AC93"/>
    <mergeCell ref="AE93:AG93"/>
    <mergeCell ref="B93:C93"/>
    <mergeCell ref="AB94:AC94"/>
    <mergeCell ref="AE94:AG94"/>
    <mergeCell ref="AB92:AC92"/>
    <mergeCell ref="AE92:AG92"/>
    <mergeCell ref="AB91:AC91"/>
    <mergeCell ref="AE91:AG91"/>
    <mergeCell ref="AB99:AC99"/>
    <mergeCell ref="AE99:AG99"/>
    <mergeCell ref="AB100:AC100"/>
    <mergeCell ref="AE100:AG100"/>
    <mergeCell ref="AB97:AC97"/>
    <mergeCell ref="AE97:AG97"/>
    <mergeCell ref="AB98:AC98"/>
    <mergeCell ref="AE98:AG98"/>
    <mergeCell ref="AB95:AC95"/>
    <mergeCell ref="AE95:AG95"/>
    <mergeCell ref="AB96:AC96"/>
    <mergeCell ref="AE96:AG96"/>
    <mergeCell ref="B100:C100"/>
    <mergeCell ref="B99:C99"/>
    <mergeCell ref="B98:C98"/>
    <mergeCell ref="B92:C92"/>
    <mergeCell ref="B91:C91"/>
    <mergeCell ref="B90:C90"/>
    <mergeCell ref="B97:C97"/>
    <mergeCell ref="B80:C80"/>
    <mergeCell ref="B79:C79"/>
    <mergeCell ref="B89:C89"/>
    <mergeCell ref="B88:C88"/>
    <mergeCell ref="B95:C95"/>
    <mergeCell ref="B94:C94"/>
    <mergeCell ref="B96:C96"/>
    <mergeCell ref="B87:C87"/>
    <mergeCell ref="A81:H81"/>
    <mergeCell ref="B86:C86"/>
    <mergeCell ref="B85:C85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8"/>
  <sheetViews>
    <sheetView topLeftCell="A13" zoomScale="110" zoomScaleNormal="110" workbookViewId="0">
      <selection activeCell="C11" sqref="C11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99" t="s">
        <v>80</v>
      </c>
      <c r="B1" s="599"/>
      <c r="C1" s="599"/>
      <c r="D1" s="599"/>
      <c r="E1" s="17"/>
      <c r="F1" s="598" t="s">
        <v>52</v>
      </c>
      <c r="G1" s="598"/>
      <c r="H1" s="598"/>
      <c r="I1" s="598"/>
      <c r="J1" s="598"/>
      <c r="K1" s="598"/>
      <c r="L1" s="5"/>
    </row>
    <row r="2" spans="1:12">
      <c r="A2" s="598" t="s">
        <v>185</v>
      </c>
      <c r="B2" s="598"/>
      <c r="C2" s="598"/>
      <c r="D2" s="598"/>
      <c r="E2" s="18"/>
      <c r="F2" s="664" t="s">
        <v>0</v>
      </c>
      <c r="G2" s="664"/>
      <c r="H2" s="664"/>
      <c r="I2" s="664"/>
      <c r="J2" s="664"/>
      <c r="K2" s="664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70" t="s">
        <v>444</v>
      </c>
      <c r="B4" s="670"/>
      <c r="C4" s="670"/>
      <c r="D4" s="670"/>
      <c r="E4" s="670"/>
      <c r="F4" s="670"/>
      <c r="G4" s="670"/>
      <c r="H4" s="670"/>
      <c r="I4" s="670"/>
      <c r="J4" s="670"/>
      <c r="K4" s="670"/>
      <c r="L4" s="669"/>
    </row>
    <row r="5" spans="1:12" ht="19.5" customHeight="1">
      <c r="A5" s="670" t="s">
        <v>226</v>
      </c>
      <c r="B5" s="670"/>
      <c r="C5" s="670"/>
      <c r="D5" s="670"/>
      <c r="E5" s="670"/>
      <c r="F5" s="670"/>
      <c r="G5" s="670"/>
      <c r="H5" s="670"/>
      <c r="I5" s="670"/>
      <c r="J5" s="670"/>
      <c r="K5" s="670"/>
      <c r="L5" s="669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0.25" customHeight="1">
      <c r="A7" s="666" t="s">
        <v>53</v>
      </c>
      <c r="B7" s="666" t="s">
        <v>50</v>
      </c>
      <c r="C7" s="666" t="s">
        <v>54</v>
      </c>
      <c r="D7" s="666" t="s">
        <v>4</v>
      </c>
      <c r="E7" s="666" t="s">
        <v>430</v>
      </c>
      <c r="F7" s="666"/>
      <c r="G7" s="666"/>
      <c r="H7" s="666" t="s">
        <v>443</v>
      </c>
      <c r="I7" s="666"/>
      <c r="J7" s="666"/>
      <c r="K7" s="671" t="s">
        <v>48</v>
      </c>
      <c r="L7" s="37"/>
    </row>
    <row r="8" spans="1:12" s="38" customFormat="1" ht="21" customHeight="1">
      <c r="A8" s="666"/>
      <c r="B8" s="666"/>
      <c r="C8" s="666"/>
      <c r="D8" s="666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71"/>
      <c r="L8" s="39"/>
    </row>
    <row r="9" spans="1:12" s="78" customFormat="1" ht="47.25" customHeight="1">
      <c r="A9" s="221" t="s">
        <v>32</v>
      </c>
      <c r="B9" s="222" t="s">
        <v>308</v>
      </c>
      <c r="C9" s="210" t="s">
        <v>412</v>
      </c>
      <c r="D9" s="210" t="s">
        <v>423</v>
      </c>
      <c r="E9" s="221" t="s">
        <v>36</v>
      </c>
      <c r="F9" s="256">
        <v>5358132</v>
      </c>
      <c r="G9" s="210"/>
      <c r="H9" s="221" t="s">
        <v>36</v>
      </c>
      <c r="I9" s="257">
        <v>5733201</v>
      </c>
      <c r="J9" s="210"/>
      <c r="K9" s="225" t="s">
        <v>441</v>
      </c>
      <c r="L9" s="39"/>
    </row>
    <row r="10" spans="1:12" s="78" customFormat="1" ht="48.75" customHeight="1">
      <c r="A10" s="221" t="s">
        <v>33</v>
      </c>
      <c r="B10" s="222" t="s">
        <v>313</v>
      </c>
      <c r="C10" s="210" t="s">
        <v>432</v>
      </c>
      <c r="D10" s="210" t="s">
        <v>377</v>
      </c>
      <c r="E10" s="221">
        <v>36</v>
      </c>
      <c r="F10" s="256">
        <v>5358132</v>
      </c>
      <c r="G10" s="210"/>
      <c r="H10" s="221">
        <v>35</v>
      </c>
      <c r="I10" s="257">
        <v>5733201</v>
      </c>
      <c r="J10" s="210"/>
      <c r="K10" s="225" t="s">
        <v>450</v>
      </c>
      <c r="L10" s="39"/>
    </row>
    <row r="11" spans="1:12" s="78" customFormat="1" ht="48.75" customHeight="1">
      <c r="A11" s="221" t="s">
        <v>34</v>
      </c>
      <c r="B11" s="222" t="s">
        <v>182</v>
      </c>
      <c r="C11" s="210" t="s">
        <v>431</v>
      </c>
      <c r="D11" s="210" t="s">
        <v>377</v>
      </c>
      <c r="E11" s="221">
        <v>46</v>
      </c>
      <c r="F11" s="256">
        <v>5417685</v>
      </c>
      <c r="G11" s="210"/>
      <c r="H11" s="221">
        <v>46</v>
      </c>
      <c r="I11" s="257">
        <v>0</v>
      </c>
      <c r="J11" s="210"/>
      <c r="K11" s="225" t="s">
        <v>449</v>
      </c>
      <c r="L11" s="39"/>
    </row>
    <row r="12" spans="1:12" s="78" customFormat="1" ht="53.25" customHeight="1">
      <c r="A12" s="221" t="s">
        <v>35</v>
      </c>
      <c r="B12" s="222" t="s">
        <v>132</v>
      </c>
      <c r="C12" s="210" t="s">
        <v>412</v>
      </c>
      <c r="D12" s="210" t="s">
        <v>423</v>
      </c>
      <c r="E12" s="221" t="s">
        <v>424</v>
      </c>
      <c r="F12" s="256">
        <v>0</v>
      </c>
      <c r="G12" s="210"/>
      <c r="H12" s="221" t="s">
        <v>424</v>
      </c>
      <c r="I12" s="256">
        <v>2279503</v>
      </c>
      <c r="J12" s="210"/>
      <c r="K12" s="225" t="s">
        <v>440</v>
      </c>
      <c r="L12" s="39"/>
    </row>
    <row r="13" spans="1:12" s="78" customFormat="1" ht="76.5" customHeight="1">
      <c r="A13" s="221" t="s">
        <v>36</v>
      </c>
      <c r="B13" s="222" t="s">
        <v>352</v>
      </c>
      <c r="C13" s="210" t="s">
        <v>425</v>
      </c>
      <c r="D13" s="210" t="s">
        <v>377</v>
      </c>
      <c r="E13" s="221">
        <v>22</v>
      </c>
      <c r="F13" s="256">
        <v>0</v>
      </c>
      <c r="G13" s="210"/>
      <c r="H13" s="221"/>
      <c r="I13" s="257"/>
      <c r="J13" s="210"/>
      <c r="K13" s="225" t="s">
        <v>442</v>
      </c>
      <c r="L13" s="39"/>
    </row>
    <row r="14" spans="1:12" s="447" customFormat="1" ht="15.75" customHeight="1">
      <c r="A14" s="531"/>
      <c r="B14" s="441"/>
      <c r="C14" s="442"/>
      <c r="D14" s="442"/>
      <c r="E14" s="443"/>
      <c r="F14" s="444"/>
      <c r="G14" s="442"/>
      <c r="H14" s="443"/>
      <c r="I14" s="444"/>
      <c r="J14" s="442"/>
      <c r="K14" s="445"/>
      <c r="L14" s="446"/>
    </row>
    <row r="15" spans="1:12" s="452" customFormat="1" ht="16.5" customHeight="1">
      <c r="A15" s="448"/>
      <c r="B15" s="668"/>
      <c r="C15" s="668"/>
      <c r="D15" s="668"/>
      <c r="E15" s="668"/>
      <c r="F15" s="449"/>
      <c r="G15" s="450"/>
      <c r="H15" s="667" t="s">
        <v>445</v>
      </c>
      <c r="I15" s="667"/>
      <c r="J15" s="667"/>
      <c r="K15" s="667"/>
      <c r="L15" s="451"/>
    </row>
    <row r="16" spans="1:12" ht="18" customHeight="1">
      <c r="A16" s="665" t="s">
        <v>57</v>
      </c>
      <c r="B16" s="665"/>
      <c r="C16" s="665"/>
      <c r="D16" s="665" t="s">
        <v>183</v>
      </c>
      <c r="E16" s="665"/>
      <c r="F16" s="665"/>
      <c r="G16" s="665"/>
      <c r="H16" s="665" t="s">
        <v>81</v>
      </c>
      <c r="I16" s="665"/>
      <c r="J16" s="665"/>
      <c r="K16" s="665"/>
      <c r="L16" s="2"/>
    </row>
    <row r="17" spans="1:12" ht="13.5" customHeight="1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8"/>
    </row>
    <row r="18" spans="1:12" ht="15.7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20.2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6.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ht="17.2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40"/>
      <c r="L21" s="5"/>
    </row>
    <row r="22" spans="1:12" s="57" customFormat="1">
      <c r="A22" s="665" t="s">
        <v>227</v>
      </c>
      <c r="B22" s="665"/>
      <c r="C22" s="665"/>
      <c r="D22" s="665" t="s">
        <v>123</v>
      </c>
      <c r="E22" s="665"/>
      <c r="F22" s="665"/>
      <c r="G22" s="665"/>
      <c r="H22" s="665" t="s">
        <v>120</v>
      </c>
      <c r="I22" s="665"/>
      <c r="J22" s="665"/>
      <c r="K22" s="665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s="57" customForma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2"/>
    </row>
    <row r="29" spans="1:12" ht="16.5" customHeight="1">
      <c r="A29" s="672"/>
      <c r="B29" s="672"/>
      <c r="C29" s="672"/>
      <c r="D29" s="672"/>
      <c r="E29" s="672"/>
      <c r="F29" s="672"/>
      <c r="G29" s="672"/>
      <c r="H29" s="672"/>
      <c r="I29" s="14"/>
      <c r="J29" s="14"/>
      <c r="K29" s="14"/>
      <c r="L29" s="5"/>
    </row>
    <row r="30" spans="1:12">
      <c r="A30" s="8"/>
      <c r="B30" s="598"/>
      <c r="C30" s="598"/>
      <c r="D30" s="598"/>
      <c r="E30" s="598"/>
      <c r="F30" s="598"/>
      <c r="G30" s="598"/>
      <c r="H30" s="598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5"/>
      <c r="B35" s="5"/>
      <c r="C35" s="5"/>
      <c r="D35" s="5"/>
      <c r="E35" s="5"/>
      <c r="F35" s="27"/>
      <c r="G35" s="27"/>
      <c r="H35" s="5"/>
      <c r="I35" s="5"/>
      <c r="J35" s="5"/>
      <c r="K35" s="2"/>
      <c r="L35" s="5"/>
    </row>
    <row r="36" spans="1:12">
      <c r="A36" s="28"/>
      <c r="B36" s="28"/>
      <c r="C36" s="28"/>
      <c r="D36" s="28"/>
      <c r="E36" s="28"/>
      <c r="F36" s="29"/>
      <c r="G36" s="29"/>
      <c r="H36" s="28"/>
      <c r="I36" s="28"/>
      <c r="J36" s="28"/>
      <c r="K36" s="28"/>
      <c r="L36" s="28"/>
    </row>
    <row r="37" spans="1:12">
      <c r="A37" s="14"/>
    </row>
    <row r="38" spans="1:12" ht="17.25">
      <c r="A38" s="1"/>
    </row>
  </sheetData>
  <mergeCells count="24">
    <mergeCell ref="H22:K22"/>
    <mergeCell ref="D16:G16"/>
    <mergeCell ref="D22:G22"/>
    <mergeCell ref="A29:H29"/>
    <mergeCell ref="B30:H30"/>
    <mergeCell ref="A22:C22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6:C16"/>
    <mergeCell ref="A7:A8"/>
    <mergeCell ref="H15:K15"/>
    <mergeCell ref="H16:K16"/>
    <mergeCell ref="A1:D1"/>
    <mergeCell ref="A2:D2"/>
    <mergeCell ref="B15:E15"/>
  </mergeCells>
  <phoneticPr fontId="17" type="noConversion"/>
  <printOptions horizontalCentered="1"/>
  <pageMargins left="0.25" right="0.16" top="0.39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79" t="s">
        <v>242</v>
      </c>
      <c r="B1" s="679"/>
      <c r="C1" s="679"/>
      <c r="D1" s="679"/>
    </row>
    <row r="2" spans="1:9">
      <c r="A2" s="598" t="s">
        <v>186</v>
      </c>
      <c r="B2" s="598"/>
      <c r="C2" s="598"/>
      <c r="D2" s="598"/>
      <c r="E2" s="8"/>
    </row>
    <row r="3" spans="1:9">
      <c r="A3" s="599"/>
      <c r="B3" s="599"/>
      <c r="C3" s="599"/>
      <c r="D3" s="4"/>
      <c r="E3" s="24"/>
    </row>
    <row r="4" spans="1:9" ht="16.5">
      <c r="A4" s="680" t="s">
        <v>193</v>
      </c>
      <c r="B4" s="680"/>
      <c r="C4" s="680"/>
      <c r="D4" s="680"/>
      <c r="E4" s="680"/>
    </row>
    <row r="5" spans="1:9" ht="16.5">
      <c r="A5" s="680" t="s">
        <v>356</v>
      </c>
      <c r="B5" s="680"/>
      <c r="C5" s="680"/>
      <c r="D5" s="680"/>
      <c r="E5" s="680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66" t="s">
        <v>195</v>
      </c>
      <c r="C7" s="666"/>
      <c r="D7" s="213" t="s">
        <v>353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77" t="s">
        <v>243</v>
      </c>
      <c r="C12" s="678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75" t="s">
        <v>200</v>
      </c>
      <c r="C17" s="676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73" t="s">
        <v>355</v>
      </c>
      <c r="E22" s="673"/>
    </row>
    <row r="23" spans="1:9" s="199" customFormat="1" ht="14.25">
      <c r="A23" s="674" t="s">
        <v>202</v>
      </c>
      <c r="B23" s="674"/>
      <c r="C23" s="674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65" t="s">
        <v>227</v>
      </c>
      <c r="B29" s="665"/>
      <c r="C29" s="665"/>
      <c r="D29" s="9" t="s">
        <v>123</v>
      </c>
      <c r="E29" s="9" t="s">
        <v>120</v>
      </c>
    </row>
    <row r="30" spans="1:9">
      <c r="A30" s="201" t="str">
        <f ca="1">CELL("filename")</f>
        <v>E:\DULIEUMAYCU\Quynh chung\Quynh Exel\2023\Luong\Co huu\[Bang luong BC T12 - 2023.xlsx]BC</v>
      </c>
      <c r="B30" s="201"/>
      <c r="C30" s="201"/>
      <c r="D30" s="201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5"/>
  <sheetViews>
    <sheetView workbookViewId="0">
      <selection activeCell="J14" sqref="J14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79" t="s">
        <v>79</v>
      </c>
      <c r="B1" s="679"/>
      <c r="C1" s="679"/>
      <c r="D1" s="679"/>
      <c r="E1" s="598" t="s">
        <v>18</v>
      </c>
      <c r="F1" s="598"/>
      <c r="G1" s="598"/>
      <c r="H1" s="598"/>
      <c r="I1" s="598"/>
      <c r="J1" s="598"/>
      <c r="K1" s="598"/>
      <c r="L1" s="598"/>
      <c r="M1" s="598"/>
      <c r="N1" s="3"/>
    </row>
    <row r="2" spans="1:15" ht="17.25">
      <c r="A2" s="664" t="s">
        <v>187</v>
      </c>
      <c r="B2" s="664"/>
      <c r="C2" s="664"/>
      <c r="D2" s="664"/>
      <c r="E2" s="664" t="s">
        <v>19</v>
      </c>
      <c r="F2" s="664"/>
      <c r="G2" s="664"/>
      <c r="H2" s="664"/>
      <c r="I2" s="664"/>
      <c r="J2" s="664"/>
      <c r="K2" s="664"/>
      <c r="L2" s="664"/>
      <c r="M2" s="664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02" t="s">
        <v>191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3"/>
    </row>
    <row r="5" spans="1:15" ht="18.75">
      <c r="A5" s="602" t="s">
        <v>436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44" t="s">
        <v>1</v>
      </c>
      <c r="K9" s="644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405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683" t="s">
        <v>42</v>
      </c>
      <c r="C12" s="684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409</v>
      </c>
      <c r="L12" s="34" t="s">
        <v>76</v>
      </c>
      <c r="M12" s="34" t="s">
        <v>159</v>
      </c>
      <c r="N12" s="35"/>
      <c r="O12" s="35"/>
    </row>
    <row r="13" spans="1:15" s="5" customFormat="1" ht="45" customHeight="1">
      <c r="A13" s="369" t="s">
        <v>32</v>
      </c>
      <c r="B13" s="373"/>
      <c r="C13" s="374"/>
      <c r="D13" s="375"/>
      <c r="E13" s="372" t="s">
        <v>377</v>
      </c>
      <c r="F13" s="370" t="s">
        <v>244</v>
      </c>
      <c r="G13" s="371">
        <v>1</v>
      </c>
      <c r="H13" s="122">
        <v>5358132</v>
      </c>
      <c r="I13" s="123"/>
      <c r="J13" s="423">
        <v>0</v>
      </c>
      <c r="K13" s="124">
        <f>H13/26*J13*85%</f>
        <v>0</v>
      </c>
      <c r="L13" s="121"/>
      <c r="M13" s="125" t="s">
        <v>435</v>
      </c>
      <c r="N13" s="23"/>
      <c r="O13" s="224"/>
    </row>
    <row r="14" spans="1:15" s="5" customFormat="1" ht="31.5" customHeight="1">
      <c r="A14" s="20"/>
      <c r="B14" s="681" t="s">
        <v>49</v>
      </c>
      <c r="C14" s="682"/>
      <c r="D14" s="22"/>
      <c r="E14" s="20"/>
      <c r="F14" s="154"/>
      <c r="G14" s="154">
        <f>SUM(G13:G13)</f>
        <v>1</v>
      </c>
      <c r="H14" s="329">
        <f>SUM(H13:H13)</f>
        <v>5358132</v>
      </c>
      <c r="I14" s="32" t="e">
        <f>SUM(#REF!)</f>
        <v>#REF!</v>
      </c>
      <c r="J14" s="330">
        <f>SUM(J13:J13)</f>
        <v>0</v>
      </c>
      <c r="K14" s="126">
        <f>SUM(K13:K13)</f>
        <v>0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122</v>
      </c>
      <c r="C16" s="644" t="s">
        <v>438</v>
      </c>
      <c r="D16" s="644"/>
      <c r="E16" s="644"/>
      <c r="F16" s="644"/>
      <c r="G16" s="644"/>
      <c r="H16" s="644"/>
      <c r="I16" s="644"/>
      <c r="J16" s="644"/>
      <c r="K16" s="644"/>
      <c r="L16" s="644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85" t="s">
        <v>437</v>
      </c>
      <c r="L18" s="685"/>
      <c r="M18" s="685"/>
      <c r="N18" s="7"/>
    </row>
    <row r="19" spans="1:14" s="14" customFormat="1">
      <c r="A19" s="665" t="s">
        <v>13</v>
      </c>
      <c r="B19" s="665"/>
      <c r="C19" s="665"/>
      <c r="D19" s="665"/>
      <c r="E19" s="665"/>
      <c r="F19" s="665" t="s">
        <v>183</v>
      </c>
      <c r="G19" s="665"/>
      <c r="H19" s="665"/>
      <c r="I19" s="665"/>
      <c r="J19" s="665"/>
      <c r="K19" s="665" t="s">
        <v>14</v>
      </c>
      <c r="L19" s="665"/>
      <c r="M19" s="665"/>
      <c r="N19" s="33"/>
    </row>
    <row r="20" spans="1:14" s="5" customFormat="1" ht="22.5" customHeight="1">
      <c r="B20" s="4"/>
      <c r="I20" s="4"/>
      <c r="J20" s="4"/>
      <c r="K20" s="4"/>
      <c r="N20" s="7"/>
    </row>
    <row r="21" spans="1:14" ht="18.75" customHeight="1">
      <c r="A21" s="14"/>
      <c r="B21" s="14"/>
      <c r="C21" s="14"/>
      <c r="D21" s="14"/>
      <c r="E21" s="14"/>
      <c r="F21" s="14"/>
      <c r="G21" s="14"/>
      <c r="H21" s="14"/>
      <c r="I21" s="13"/>
      <c r="J21" s="13"/>
      <c r="K21" s="13"/>
      <c r="L21" s="14"/>
      <c r="M21" s="14"/>
      <c r="N21" s="10"/>
    </row>
    <row r="22" spans="1:14" ht="17.2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22.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s="158" customFormat="1">
      <c r="A24" s="665" t="s">
        <v>227</v>
      </c>
      <c r="B24" s="665"/>
      <c r="C24" s="665"/>
      <c r="D24" s="665"/>
      <c r="E24" s="665"/>
      <c r="F24" s="665" t="s">
        <v>123</v>
      </c>
      <c r="G24" s="665"/>
      <c r="H24" s="665"/>
      <c r="I24" s="665"/>
      <c r="J24" s="665"/>
      <c r="K24" s="665" t="s">
        <v>120</v>
      </c>
      <c r="L24" s="665"/>
      <c r="M24" s="665"/>
    </row>
    <row r="25" spans="1:14" ht="17.25">
      <c r="A25" s="1"/>
    </row>
  </sheetData>
  <mergeCells count="17">
    <mergeCell ref="A24:E24"/>
    <mergeCell ref="F24:J24"/>
    <mergeCell ref="K24:M24"/>
    <mergeCell ref="E2:M2"/>
    <mergeCell ref="J9:K9"/>
    <mergeCell ref="A19:E19"/>
    <mergeCell ref="C16:L16"/>
    <mergeCell ref="K18:M18"/>
    <mergeCell ref="K19:M19"/>
    <mergeCell ref="F19:J19"/>
    <mergeCell ref="A1:D1"/>
    <mergeCell ref="A2:D2"/>
    <mergeCell ref="E1:M1"/>
    <mergeCell ref="B14:C14"/>
    <mergeCell ref="B12:C12"/>
    <mergeCell ref="A4:M4"/>
    <mergeCell ref="A5:M5"/>
  </mergeCells>
  <phoneticPr fontId="17" type="noConversion"/>
  <pageMargins left="0.36" right="0.19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I16" sqref="I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597" t="s">
        <v>79</v>
      </c>
      <c r="B1" s="597"/>
      <c r="C1" s="597"/>
      <c r="D1" s="597"/>
      <c r="E1" s="597"/>
      <c r="F1" s="597"/>
      <c r="G1" s="597"/>
      <c r="H1" s="597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64" t="s">
        <v>186</v>
      </c>
      <c r="B2" s="664"/>
      <c r="C2" s="664"/>
      <c r="D2" s="664"/>
      <c r="E2" s="664"/>
      <c r="F2" s="664"/>
      <c r="G2" s="664"/>
      <c r="H2" s="664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99"/>
      <c r="D3" s="59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45"/>
      <c r="AD3" s="4"/>
      <c r="AE3" s="599"/>
      <c r="AF3" s="599"/>
      <c r="AG3" s="601"/>
      <c r="AH3" s="601"/>
    </row>
    <row r="4" spans="1:37" ht="22.5" customHeight="1">
      <c r="A4" s="602" t="s">
        <v>191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02" t="s">
        <v>419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03"/>
      <c r="E6" s="603"/>
      <c r="F6" s="603"/>
      <c r="G6" s="603"/>
      <c r="H6" s="603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03"/>
      <c r="E7" s="603"/>
      <c r="F7" s="603"/>
      <c r="G7" s="603"/>
      <c r="H7" s="603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5" t="s">
        <v>2</v>
      </c>
      <c r="B10" s="605" t="s">
        <v>3</v>
      </c>
      <c r="C10" s="605"/>
      <c r="D10" s="606" t="s">
        <v>51</v>
      </c>
      <c r="E10" s="607" t="s">
        <v>237</v>
      </c>
      <c r="F10" s="609" t="s">
        <v>15</v>
      </c>
      <c r="G10" s="611" t="s">
        <v>130</v>
      </c>
      <c r="H10" s="607" t="s">
        <v>272</v>
      </c>
      <c r="I10" s="613" t="s">
        <v>180</v>
      </c>
      <c r="J10" s="613" t="s">
        <v>268</v>
      </c>
      <c r="K10" s="613" t="s">
        <v>269</v>
      </c>
      <c r="L10" s="613" t="s">
        <v>170</v>
      </c>
      <c r="M10" s="615"/>
      <c r="N10" s="607" t="s">
        <v>148</v>
      </c>
      <c r="O10" s="607" t="s">
        <v>149</v>
      </c>
      <c r="P10" s="611" t="s">
        <v>150</v>
      </c>
      <c r="Q10" s="617" t="s">
        <v>67</v>
      </c>
      <c r="R10" s="618"/>
      <c r="S10" s="618"/>
      <c r="T10" s="618"/>
      <c r="U10" s="619"/>
      <c r="V10" s="620" t="s">
        <v>168</v>
      </c>
      <c r="W10" s="621"/>
      <c r="X10" s="620" t="s">
        <v>169</v>
      </c>
      <c r="Y10" s="621"/>
      <c r="Z10" s="611" t="s">
        <v>154</v>
      </c>
      <c r="AA10" s="624" t="s">
        <v>5</v>
      </c>
      <c r="AB10" s="625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28"/>
      <c r="AJ10" s="87"/>
      <c r="AK10" s="79"/>
    </row>
    <row r="11" spans="1:37" s="43" customFormat="1" ht="41.25" customHeight="1">
      <c r="A11" s="605"/>
      <c r="B11" s="605"/>
      <c r="C11" s="605"/>
      <c r="D11" s="606"/>
      <c r="E11" s="608"/>
      <c r="F11" s="610"/>
      <c r="G11" s="612"/>
      <c r="H11" s="608"/>
      <c r="I11" s="614"/>
      <c r="J11" s="614"/>
      <c r="K11" s="614"/>
      <c r="L11" s="614"/>
      <c r="M11" s="616"/>
      <c r="N11" s="608"/>
      <c r="O11" s="608"/>
      <c r="P11" s="612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12"/>
      <c r="AA11" s="626"/>
      <c r="AB11" s="627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28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29" t="s">
        <v>172</v>
      </c>
      <c r="AB12" s="630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1"/>
      <c r="C13" s="130"/>
      <c r="D13" s="229" t="s">
        <v>377</v>
      </c>
      <c r="E13" s="312"/>
      <c r="F13" s="313"/>
      <c r="G13" s="314" t="s">
        <v>248</v>
      </c>
      <c r="H13" s="315">
        <v>1</v>
      </c>
      <c r="I13" s="131">
        <v>0</v>
      </c>
      <c r="J13" s="237"/>
      <c r="K13" s="131"/>
      <c r="L13" s="131">
        <f>ROUND(I13+K13,0)</f>
        <v>0</v>
      </c>
      <c r="M13" s="131">
        <v>7</v>
      </c>
      <c r="N13" s="131">
        <f>L13/24*M13</f>
        <v>0</v>
      </c>
      <c r="O13" s="131"/>
      <c r="P13" s="131">
        <f>L13-N13+O13</f>
        <v>0</v>
      </c>
      <c r="Q13" s="131">
        <f>L13*8%</f>
        <v>0</v>
      </c>
      <c r="R13" s="132">
        <f>L13*1.5%</f>
        <v>0</v>
      </c>
      <c r="S13" s="131">
        <f>L13*1%</f>
        <v>0</v>
      </c>
      <c r="T13" s="132"/>
      <c r="U13" s="132">
        <f>SUM(Q13:T13)</f>
        <v>0</v>
      </c>
      <c r="V13" s="132"/>
      <c r="W13" s="316"/>
      <c r="X13" s="316"/>
      <c r="Y13" s="316"/>
      <c r="Z13" s="131">
        <f>P13-U13+W13+Y13</f>
        <v>0</v>
      </c>
      <c r="AA13" s="133"/>
      <c r="AB13" s="317" t="s">
        <v>416</v>
      </c>
      <c r="AC13" s="255"/>
      <c r="AD13" s="117"/>
      <c r="AE13" s="144"/>
      <c r="AF13" s="269"/>
      <c r="AJ13" s="105"/>
    </row>
    <row r="14" spans="1:37" ht="22.5" customHeight="1">
      <c r="A14" s="88"/>
      <c r="B14" s="635" t="s">
        <v>11</v>
      </c>
      <c r="C14" s="636"/>
      <c r="D14" s="161"/>
      <c r="E14" s="161"/>
      <c r="F14" s="82"/>
      <c r="G14" s="82"/>
      <c r="H14" s="89">
        <v>2</v>
      </c>
      <c r="I14" s="80">
        <f>SUM(I13:I13)</f>
        <v>0</v>
      </c>
      <c r="J14" s="80">
        <f>SUM(J13:J13)</f>
        <v>0</v>
      </c>
      <c r="K14" s="80">
        <f>SUM(K13:K13)</f>
        <v>0</v>
      </c>
      <c r="L14" s="80">
        <f>SUM(L13:L13)</f>
        <v>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0</v>
      </c>
      <c r="Q14" s="80">
        <f t="shared" si="0"/>
        <v>0</v>
      </c>
      <c r="R14" s="80">
        <f t="shared" si="0"/>
        <v>0</v>
      </c>
      <c r="S14" s="80">
        <f t="shared" si="0"/>
        <v>0</v>
      </c>
      <c r="T14" s="80">
        <f t="shared" si="0"/>
        <v>0</v>
      </c>
      <c r="U14" s="80">
        <f t="shared" si="0"/>
        <v>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37" t="s">
        <v>12</v>
      </c>
      <c r="C16" s="637"/>
      <c r="D16" s="17" t="s">
        <v>420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37"/>
      <c r="C17" s="637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03"/>
      <c r="AB17" s="603"/>
      <c r="AC17" s="50"/>
      <c r="AD17" s="638"/>
      <c r="AE17" s="639"/>
      <c r="AF17" s="639"/>
    </row>
    <row r="18" spans="1:38" ht="15.75" customHeight="1">
      <c r="A18" s="5"/>
      <c r="B18" s="639"/>
      <c r="C18" s="639"/>
      <c r="D18" s="7"/>
      <c r="E18" s="7"/>
      <c r="F18" s="207"/>
      <c r="G18" s="5"/>
      <c r="H18" s="5"/>
      <c r="S18" s="640" t="s">
        <v>417</v>
      </c>
      <c r="T18" s="640"/>
      <c r="U18" s="640"/>
      <c r="V18" s="640"/>
      <c r="W18" s="640"/>
      <c r="X18" s="640"/>
      <c r="Y18" s="640"/>
      <c r="Z18" s="640"/>
      <c r="AA18" s="640"/>
      <c r="AB18" s="640"/>
      <c r="AC18" s="641"/>
      <c r="AD18" s="639"/>
      <c r="AE18" s="639"/>
      <c r="AF18" s="639"/>
    </row>
    <row r="19" spans="1:38" ht="15.75" customHeight="1">
      <c r="A19" s="598" t="s">
        <v>13</v>
      </c>
      <c r="B19" s="598"/>
      <c r="C19" s="598"/>
      <c r="D19" s="598"/>
      <c r="E19" s="598"/>
      <c r="F19" s="598"/>
      <c r="G19" s="598"/>
      <c r="H19" s="598"/>
      <c r="I19" s="598" t="s">
        <v>183</v>
      </c>
      <c r="J19" s="598"/>
      <c r="K19" s="598"/>
      <c r="L19" s="598"/>
      <c r="M19" s="598"/>
      <c r="N19" s="598"/>
      <c r="O19" s="598"/>
      <c r="P19" s="598"/>
      <c r="Q19" s="598"/>
      <c r="R19" s="598"/>
      <c r="S19" s="643" t="s">
        <v>14</v>
      </c>
      <c r="T19" s="643"/>
      <c r="U19" s="643"/>
      <c r="V19" s="643"/>
      <c r="W19" s="643"/>
      <c r="X19" s="643"/>
      <c r="Y19" s="643"/>
      <c r="Z19" s="643"/>
      <c r="AA19" s="643"/>
      <c r="AB19" s="643"/>
      <c r="AC19" s="642"/>
      <c r="AD19" s="644"/>
      <c r="AE19" s="644"/>
      <c r="AF19" s="644"/>
    </row>
    <row r="20" spans="1:38" ht="15.75" customHeight="1">
      <c r="A20" s="5"/>
      <c r="B20" s="599"/>
      <c r="C20" s="599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99"/>
      <c r="AB20" s="599"/>
      <c r="AC20" s="4"/>
      <c r="AD20" s="639"/>
      <c r="AE20" s="639"/>
      <c r="AF20" s="639"/>
    </row>
    <row r="21" spans="1:38" ht="15.75" customHeight="1">
      <c r="A21" s="5"/>
      <c r="B21" s="639"/>
      <c r="C21" s="639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39"/>
      <c r="C23" s="639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99"/>
      <c r="AB23" s="599"/>
      <c r="AC23" s="4"/>
      <c r="AD23" s="638"/>
      <c r="AE23" s="639"/>
      <c r="AF23" s="639"/>
    </row>
    <row r="24" spans="1:38" ht="15.75" customHeight="1">
      <c r="A24" s="5"/>
      <c r="B24" s="639"/>
      <c r="C24" s="639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99"/>
      <c r="AB24" s="599"/>
      <c r="AC24" s="4"/>
      <c r="AD24" s="638"/>
      <c r="AE24" s="639"/>
      <c r="AF24" s="639"/>
    </row>
    <row r="25" spans="1:38" ht="15.75" customHeight="1">
      <c r="A25" s="5"/>
      <c r="B25" s="639"/>
      <c r="C25" s="639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99"/>
      <c r="AB25" s="599"/>
      <c r="AC25" s="4"/>
      <c r="AD25" s="638"/>
      <c r="AE25" s="639"/>
      <c r="AF25" s="639"/>
    </row>
    <row r="26" spans="1:38" ht="15.75" customHeight="1">
      <c r="A26" s="598" t="s">
        <v>227</v>
      </c>
      <c r="B26" s="598"/>
      <c r="C26" s="598"/>
      <c r="D26" s="598"/>
      <c r="E26" s="598"/>
      <c r="F26" s="598"/>
      <c r="G26" s="598"/>
      <c r="H26" s="598"/>
      <c r="I26" s="598" t="s">
        <v>123</v>
      </c>
      <c r="J26" s="598"/>
      <c r="K26" s="598"/>
      <c r="L26" s="598"/>
      <c r="M26" s="598"/>
      <c r="N26" s="598"/>
      <c r="O26" s="598"/>
      <c r="P26" s="598"/>
      <c r="Q26" s="598"/>
      <c r="R26" s="598"/>
      <c r="S26" s="598" t="s">
        <v>120</v>
      </c>
      <c r="T26" s="598"/>
      <c r="U26" s="598"/>
      <c r="V26" s="598"/>
      <c r="W26" s="598"/>
      <c r="X26" s="598"/>
      <c r="Y26" s="598"/>
      <c r="Z26" s="598"/>
      <c r="AA26" s="598"/>
      <c r="AB26" s="598"/>
      <c r="AC26" s="8"/>
      <c r="AD26" s="644"/>
      <c r="AE26" s="644"/>
      <c r="AF26" s="644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45"/>
      <c r="AB27" s="645"/>
      <c r="AC27" s="51"/>
      <c r="AD27" s="638"/>
      <c r="AE27" s="639"/>
      <c r="AF27" s="639"/>
    </row>
    <row r="28" spans="1:38">
      <c r="B28" s="30"/>
      <c r="C28" s="19"/>
      <c r="G28" s="30"/>
      <c r="H28" s="30"/>
      <c r="AA28" s="600"/>
      <c r="AB28" s="600"/>
      <c r="AC28" s="45"/>
      <c r="AD28" s="639"/>
      <c r="AE28" s="639"/>
      <c r="AF28" s="639"/>
    </row>
    <row r="29" spans="1:38">
      <c r="A29" s="5"/>
      <c r="B29" s="639"/>
      <c r="C29" s="639"/>
      <c r="AA29" s="600"/>
      <c r="AB29" s="600"/>
      <c r="AC29" s="45"/>
      <c r="AD29" s="639"/>
      <c r="AE29" s="639"/>
      <c r="AF29" s="639"/>
    </row>
    <row r="30" spans="1:38">
      <c r="A30" s="5"/>
      <c r="B30" s="639"/>
      <c r="C30" s="639"/>
      <c r="AA30" s="600"/>
      <c r="AB30" s="600"/>
      <c r="AC30" s="45"/>
      <c r="AD30" s="639"/>
      <c r="AE30" s="639"/>
      <c r="AF30" s="639"/>
    </row>
    <row r="31" spans="1:38">
      <c r="A31" s="5"/>
      <c r="B31" s="639"/>
      <c r="C31" s="639"/>
      <c r="AA31" s="600"/>
      <c r="AB31" s="600"/>
      <c r="AC31" s="45"/>
      <c r="AD31" s="639"/>
      <c r="AE31" s="639"/>
      <c r="AF31" s="639"/>
    </row>
    <row r="32" spans="1:38">
      <c r="A32" s="5"/>
      <c r="B32" s="639"/>
      <c r="C32" s="639"/>
      <c r="AA32" s="600"/>
      <c r="AB32" s="600"/>
      <c r="AC32" s="45"/>
      <c r="AD32" s="639"/>
      <c r="AE32" s="639"/>
      <c r="AF32" s="639"/>
    </row>
    <row r="33" spans="1:32">
      <c r="A33" s="5"/>
      <c r="B33" s="639"/>
      <c r="C33" s="639"/>
      <c r="AA33" s="600"/>
      <c r="AB33" s="600"/>
      <c r="AC33" s="45"/>
      <c r="AD33" s="639"/>
      <c r="AE33" s="639"/>
      <c r="AF33" s="639"/>
    </row>
    <row r="34" spans="1:32">
      <c r="A34" s="5"/>
      <c r="B34" s="639"/>
      <c r="C34" s="639"/>
      <c r="AA34" s="600"/>
      <c r="AB34" s="600"/>
      <c r="AC34" s="45"/>
      <c r="AD34" s="639"/>
      <c r="AE34" s="639"/>
      <c r="AF34" s="639"/>
    </row>
    <row r="35" spans="1:32">
      <c r="A35" s="5"/>
      <c r="B35" s="639"/>
      <c r="C35" s="639"/>
      <c r="AA35" s="600"/>
      <c r="AB35" s="600"/>
      <c r="AC35" s="45"/>
      <c r="AD35" s="639"/>
      <c r="AE35" s="639"/>
      <c r="AF35" s="639"/>
    </row>
    <row r="36" spans="1:32">
      <c r="A36" s="5"/>
      <c r="B36" s="639"/>
      <c r="C36" s="639"/>
      <c r="AA36" s="600"/>
      <c r="AB36" s="600"/>
      <c r="AC36" s="45"/>
      <c r="AD36" s="639"/>
      <c r="AE36" s="639"/>
      <c r="AF36" s="639"/>
    </row>
    <row r="37" spans="1:32">
      <c r="A37" s="5"/>
      <c r="B37" s="639"/>
      <c r="C37" s="639"/>
      <c r="AA37" s="600"/>
      <c r="AB37" s="600"/>
      <c r="AC37" s="45"/>
      <c r="AD37" s="639"/>
      <c r="AE37" s="639"/>
      <c r="AF37" s="639"/>
    </row>
    <row r="38" spans="1:32">
      <c r="A38" s="5"/>
      <c r="B38" s="639"/>
      <c r="C38" s="639"/>
      <c r="AA38" s="600"/>
      <c r="AB38" s="600"/>
      <c r="AC38" s="45"/>
      <c r="AD38" s="639"/>
      <c r="AE38" s="639"/>
      <c r="AF38" s="639"/>
    </row>
    <row r="39" spans="1:32">
      <c r="A39" s="5"/>
      <c r="B39" s="639"/>
      <c r="C39" s="639"/>
      <c r="AA39" s="600"/>
      <c r="AB39" s="600"/>
      <c r="AC39" s="45"/>
      <c r="AD39" s="639"/>
      <c r="AE39" s="639"/>
      <c r="AF39" s="639"/>
    </row>
    <row r="40" spans="1:32">
      <c r="A40" s="5"/>
      <c r="B40" s="639"/>
      <c r="C40" s="639"/>
      <c r="AA40" s="600"/>
      <c r="AB40" s="600"/>
      <c r="AC40" s="45"/>
      <c r="AD40" s="639"/>
      <c r="AE40" s="639"/>
      <c r="AF40" s="639"/>
    </row>
    <row r="41" spans="1:32">
      <c r="A41" s="5"/>
      <c r="B41" s="639"/>
      <c r="C41" s="639"/>
      <c r="AA41" s="600"/>
      <c r="AB41" s="600"/>
      <c r="AC41" s="45"/>
      <c r="AD41" s="639"/>
      <c r="AE41" s="639"/>
      <c r="AF41" s="639"/>
    </row>
    <row r="42" spans="1:32">
      <c r="A42" s="5"/>
      <c r="B42" s="639"/>
      <c r="C42" s="639"/>
      <c r="AA42" s="600"/>
      <c r="AB42" s="600"/>
      <c r="AC42" s="45"/>
      <c r="AD42" s="639"/>
      <c r="AE42" s="639"/>
      <c r="AF42" s="639"/>
    </row>
    <row r="43" spans="1:32">
      <c r="A43" s="5"/>
      <c r="B43" s="639"/>
      <c r="C43" s="639"/>
      <c r="AA43" s="600"/>
      <c r="AB43" s="600"/>
      <c r="AC43" s="45"/>
      <c r="AD43" s="639"/>
      <c r="AE43" s="639"/>
      <c r="AF43" s="639"/>
    </row>
    <row r="44" spans="1:32">
      <c r="A44" s="5"/>
      <c r="B44" s="639"/>
      <c r="C44" s="639"/>
      <c r="AA44" s="600"/>
      <c r="AB44" s="600"/>
      <c r="AC44" s="45"/>
      <c r="AD44" s="639"/>
      <c r="AE44" s="639"/>
      <c r="AF44" s="639"/>
    </row>
    <row r="45" spans="1:32">
      <c r="A45" s="5"/>
      <c r="B45" s="639"/>
      <c r="C45" s="639"/>
      <c r="AA45" s="600"/>
      <c r="AB45" s="600"/>
      <c r="AC45" s="45"/>
      <c r="AD45" s="639"/>
      <c r="AE45" s="639"/>
      <c r="AF45" s="639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599" t="s">
        <v>79</v>
      </c>
      <c r="B1" s="599"/>
      <c r="C1" s="599"/>
      <c r="D1" s="599"/>
      <c r="E1" s="599"/>
      <c r="F1" s="598" t="s">
        <v>297</v>
      </c>
      <c r="G1" s="598"/>
      <c r="H1" s="598"/>
      <c r="I1" s="598"/>
      <c r="J1" s="598"/>
      <c r="K1" s="598"/>
      <c r="L1" s="272"/>
    </row>
    <row r="2" spans="1:15">
      <c r="A2" s="598" t="s">
        <v>186</v>
      </c>
      <c r="B2" s="598"/>
      <c r="C2" s="598"/>
      <c r="D2" s="598"/>
      <c r="E2" s="598"/>
      <c r="F2" s="664" t="s">
        <v>0</v>
      </c>
      <c r="G2" s="664"/>
      <c r="H2" s="664"/>
      <c r="I2" s="664"/>
      <c r="J2" s="664"/>
      <c r="K2" s="664"/>
      <c r="L2" s="273"/>
    </row>
    <row r="3" spans="1:15" ht="24" customHeight="1"/>
    <row r="4" spans="1:15" ht="18.75">
      <c r="A4" s="602" t="s">
        <v>298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276"/>
    </row>
    <row r="5" spans="1:15" ht="18.75">
      <c r="A5" s="602" t="s">
        <v>343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276"/>
    </row>
    <row r="6" spans="1:15" ht="41.25" customHeight="1">
      <c r="A6" s="690" t="s">
        <v>340</v>
      </c>
      <c r="B6" s="691"/>
      <c r="C6" s="691"/>
      <c r="D6" s="691"/>
      <c r="E6" s="691"/>
      <c r="F6" s="691"/>
      <c r="G6" s="691"/>
      <c r="H6" s="691"/>
      <c r="I6" s="691"/>
      <c r="J6" s="691"/>
      <c r="K6" s="691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692"/>
      <c r="I10" s="692"/>
      <c r="J10" s="692"/>
      <c r="K10" s="692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71" t="s">
        <v>2</v>
      </c>
      <c r="B12" s="693" t="s">
        <v>20</v>
      </c>
      <c r="C12" s="694" t="s">
        <v>21</v>
      </c>
      <c r="D12" s="695" t="s">
        <v>62</v>
      </c>
      <c r="E12" s="697" t="s">
        <v>4</v>
      </c>
      <c r="F12" s="697" t="s">
        <v>300</v>
      </c>
      <c r="G12" s="687" t="s">
        <v>301</v>
      </c>
      <c r="H12" s="697" t="s">
        <v>180</v>
      </c>
      <c r="I12" s="697" t="s">
        <v>15</v>
      </c>
      <c r="J12" s="671" t="s">
        <v>5</v>
      </c>
      <c r="K12" s="671"/>
      <c r="L12" s="279"/>
      <c r="M12" s="689"/>
    </row>
    <row r="13" spans="1:15" s="38" customFormat="1" ht="29.25" customHeight="1">
      <c r="A13" s="671"/>
      <c r="B13" s="693"/>
      <c r="C13" s="694"/>
      <c r="D13" s="696"/>
      <c r="E13" s="697"/>
      <c r="F13" s="697"/>
      <c r="G13" s="688"/>
      <c r="H13" s="697"/>
      <c r="I13" s="697"/>
      <c r="J13" s="671"/>
      <c r="K13" s="671"/>
      <c r="L13" s="279"/>
      <c r="M13" s="689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7" t="s">
        <v>341</v>
      </c>
      <c r="L14" s="289"/>
      <c r="M14" s="290"/>
    </row>
    <row r="15" spans="1:15" s="310" customFormat="1" ht="22.5" customHeight="1">
      <c r="A15" s="271"/>
      <c r="B15" s="671" t="s">
        <v>11</v>
      </c>
      <c r="C15" s="671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344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685" t="s">
        <v>342</v>
      </c>
      <c r="G20" s="685"/>
      <c r="H20" s="685"/>
      <c r="I20" s="685"/>
      <c r="J20" s="685"/>
      <c r="K20" s="685"/>
      <c r="L20" s="297"/>
    </row>
    <row r="21" spans="1:13" s="14" customFormat="1">
      <c r="A21" s="665" t="s">
        <v>13</v>
      </c>
      <c r="B21" s="665"/>
      <c r="C21" s="665"/>
      <c r="D21" s="9"/>
      <c r="E21" s="665" t="s">
        <v>183</v>
      </c>
      <c r="F21" s="665"/>
      <c r="G21" s="9"/>
      <c r="H21" s="665" t="s">
        <v>81</v>
      </c>
      <c r="I21" s="665"/>
      <c r="J21" s="665"/>
      <c r="K21" s="665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65" t="s">
        <v>299</v>
      </c>
      <c r="B27" s="665"/>
      <c r="C27" s="665"/>
      <c r="D27" s="9"/>
      <c r="E27" s="665" t="s">
        <v>123</v>
      </c>
      <c r="F27" s="665"/>
      <c r="G27" s="9"/>
      <c r="H27" s="665" t="s">
        <v>120</v>
      </c>
      <c r="I27" s="665"/>
      <c r="J27" s="665"/>
      <c r="K27" s="665"/>
      <c r="L27" s="298"/>
      <c r="M27" s="158"/>
    </row>
    <row r="28" spans="1:13">
      <c r="A28" s="686" t="str">
        <f ca="1">CELL("filename")</f>
        <v>E:\DULIEUMAYCU\Quynh chung\Quynh Exel\2023\Luong\Co huu\[Bang luong BC T12 - 2023.xlsx]BC</v>
      </c>
      <c r="B28" s="686"/>
      <c r="C28" s="686"/>
      <c r="D28" s="686"/>
      <c r="E28" s="686"/>
      <c r="F28" s="686"/>
      <c r="G28" s="6"/>
      <c r="H28" s="302"/>
      <c r="I28" s="302"/>
      <c r="J28" s="302"/>
      <c r="K28" s="303"/>
      <c r="L28" s="30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T09-23</vt:lpstr>
      <vt:lpstr>BHXH</vt:lpstr>
      <vt:lpstr>Thu viec CN</vt:lpstr>
      <vt:lpstr>Moi</vt:lpstr>
      <vt:lpstr>Sheet1</vt:lpstr>
      <vt:lpstr>'BĐC T09-23'!Print_Titles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2023-12-04T07:09:42Z</cp:lastPrinted>
  <dcterms:created xsi:type="dcterms:W3CDTF">2008-02-09T21:26:41Z</dcterms:created>
  <dcterms:modified xsi:type="dcterms:W3CDTF">2023-12-04T09:30:27Z</dcterms:modified>
</cp:coreProperties>
</file>