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DULIEUMAYCU\Quynh chung\Quynh Exel\2023\ABC\Bien che\"/>
    </mc:Choice>
  </mc:AlternateContent>
  <bookViews>
    <workbookView xWindow="-15" yWindow="12105" windowWidth="7560" windowHeight="1200"/>
  </bookViews>
  <sheets>
    <sheet name="CN" sheetId="6" r:id="rId1"/>
    <sheet name="NH" sheetId="2" state="hidden" r:id="rId2"/>
    <sheet name="CN mới" sheetId="9" state="hidden" r:id="rId3"/>
    <sheet name="THPT mới" sheetId="10" state="hidden" r:id="rId4"/>
    <sheet name="NH mới" sheetId="11" state="hidden" r:id="rId5"/>
    <sheet name="Sheet1" sheetId="21" r:id="rId6"/>
    <sheet name="Sheet2" sheetId="22" r:id="rId7"/>
  </sheets>
  <externalReferences>
    <externalReference r:id="rId8"/>
    <externalReference r:id="rId9"/>
    <externalReference r:id="rId10"/>
    <externalReference r:id="rId11"/>
  </externalReferences>
  <definedNames>
    <definedName name="_xlnm._FilterDatabase" localSheetId="0" hidden="1">CN!$A$11:$BJ$279</definedName>
    <definedName name="_xlnm.Print_Area" localSheetId="0">CN!$A$1:$Y$292</definedName>
    <definedName name="_xlnm.Print_Area" localSheetId="1">NH!$A$1:$Y$27</definedName>
    <definedName name="_xlnm.Print_Titles" localSheetId="0">CN!$10:$11</definedName>
  </definedNames>
  <calcPr calcId="162913"/>
  <fileRecoveryPr repairLoad="1"/>
</workbook>
</file>

<file path=xl/calcChain.xml><?xml version="1.0" encoding="utf-8"?>
<calcChain xmlns="http://schemas.openxmlformats.org/spreadsheetml/2006/main">
  <c r="A12" i="6" l="1"/>
  <c r="A13" i="6" s="1"/>
  <c r="A14" i="6" l="1"/>
  <c r="A15" i="6" l="1"/>
  <c r="A16" i="6" s="1"/>
  <c r="A17" i="6" l="1"/>
  <c r="A18" i="6" l="1"/>
  <c r="A19" i="6" l="1"/>
  <c r="A20" i="6" l="1"/>
  <c r="A21" i="6" l="1"/>
  <c r="A22" i="6"/>
  <c r="A23" i="6" l="1"/>
  <c r="A24" i="6" s="1"/>
  <c r="A25" i="6" l="1"/>
  <c r="A26" i="6" s="1"/>
  <c r="A27" i="6" l="1"/>
  <c r="A28" i="6" s="1"/>
  <c r="A29" i="6" s="1"/>
  <c r="A30" i="6" s="1"/>
  <c r="A31" i="6" s="1"/>
  <c r="A32" i="6" s="1"/>
  <c r="A33" i="6" s="1"/>
  <c r="A34" i="6" s="1"/>
  <c r="A35" i="6" s="1"/>
  <c r="A36" i="6" s="1"/>
  <c r="A37" i="6" s="1"/>
  <c r="A38" i="6" s="1"/>
  <c r="A39" i="6" s="1"/>
  <c r="A40" i="6" s="1"/>
  <c r="A41" i="6" s="1"/>
  <c r="A42" i="6" s="1"/>
  <c r="A43" i="6" s="1"/>
  <c r="A44" i="6" s="1"/>
  <c r="A45" i="6" s="1"/>
  <c r="A46" i="6" s="1"/>
  <c r="A47" i="6" s="1"/>
  <c r="A48" i="6" s="1"/>
  <c r="A49" i="6" s="1"/>
  <c r="A50" i="6" s="1"/>
  <c r="A51" i="6" s="1"/>
  <c r="A52" i="6" s="1"/>
  <c r="A53" i="6" s="1"/>
  <c r="A54" i="6" s="1"/>
  <c r="A55" i="6" s="1"/>
  <c r="A56" i="6" s="1"/>
  <c r="A57" i="6" s="1"/>
  <c r="A58" i="6" s="1"/>
  <c r="A59" i="6" s="1"/>
  <c r="A60" i="6" s="1"/>
  <c r="A61" i="6" s="1"/>
  <c r="A62" i="6" s="1"/>
  <c r="A63" i="6" s="1"/>
  <c r="A64" i="6" s="1"/>
  <c r="A65" i="6" s="1"/>
  <c r="A66" i="6" s="1"/>
  <c r="A67" i="6" s="1"/>
  <c r="A68" i="6" s="1"/>
  <c r="A69" i="6" s="1"/>
  <c r="A70" i="6" s="1"/>
  <c r="A71" i="6" s="1"/>
  <c r="A72" i="6" s="1"/>
  <c r="A73" i="6" s="1"/>
  <c r="A74" i="6" s="1"/>
  <c r="A75" i="6" s="1"/>
  <c r="A76" i="6" s="1"/>
  <c r="A77" i="6" s="1"/>
  <c r="A78" i="6" s="1"/>
  <c r="A79" i="6" s="1"/>
  <c r="A80" i="6" s="1"/>
  <c r="A81" i="6" s="1"/>
  <c r="A82" i="6" s="1"/>
  <c r="A83" i="6" s="1"/>
  <c r="A84" i="6" s="1"/>
  <c r="A85" i="6" s="1"/>
  <c r="A86" i="6" s="1"/>
  <c r="A87" i="6" s="1"/>
  <c r="A88" i="6" s="1"/>
  <c r="A89" i="6" s="1"/>
  <c r="A90" i="6" s="1"/>
  <c r="A91" i="6" s="1"/>
  <c r="A92" i="6" s="1"/>
  <c r="A93" i="6" s="1"/>
  <c r="A94" i="6" s="1"/>
  <c r="A95" i="6" s="1"/>
  <c r="A96" i="6" s="1"/>
  <c r="A97" i="6" s="1"/>
  <c r="A98" i="6" s="1"/>
  <c r="A99" i="6" s="1"/>
  <c r="A100" i="6" s="1"/>
  <c r="A101" i="6" s="1"/>
  <c r="A102" i="6" s="1"/>
  <c r="A103" i="6" s="1"/>
  <c r="A104" i="6" s="1"/>
  <c r="A105" i="6" s="1"/>
  <c r="A106" i="6" s="1"/>
  <c r="A107" i="6" s="1"/>
  <c r="A108" i="6" s="1"/>
  <c r="A109" i="6" s="1"/>
  <c r="A110" i="6" s="1"/>
  <c r="A111" i="6" s="1"/>
  <c r="A112" i="6" s="1"/>
  <c r="A113" i="6" s="1"/>
  <c r="A114" i="6" s="1"/>
  <c r="A115" i="6" s="1"/>
  <c r="A116" i="6" s="1"/>
  <c r="A117" i="6" s="1"/>
  <c r="A118" i="6" s="1"/>
  <c r="A119" i="6" s="1"/>
  <c r="A120" i="6" s="1"/>
  <c r="A121" i="6" s="1"/>
  <c r="A122" i="6" s="1"/>
  <c r="A123" i="6" s="1"/>
  <c r="A124" i="6" s="1"/>
  <c r="A125" i="6" s="1"/>
  <c r="A126" i="6" s="1"/>
  <c r="A127" i="6" s="1"/>
  <c r="A128" i="6" s="1"/>
  <c r="A129" i="6" s="1"/>
  <c r="A130" i="6" s="1"/>
  <c r="A131" i="6" s="1"/>
  <c r="A132" i="6" s="1"/>
  <c r="A133" i="6" s="1"/>
  <c r="A134" i="6" s="1"/>
  <c r="A135" i="6" s="1"/>
  <c r="A136" i="6" s="1"/>
  <c r="A137" i="6" s="1"/>
  <c r="A138" i="6" s="1"/>
  <c r="A139" i="6" s="1"/>
  <c r="A140" i="6" s="1"/>
  <c r="A141" i="6" s="1"/>
  <c r="A142" i="6" s="1"/>
  <c r="A143" i="6" s="1"/>
  <c r="A144" i="6" s="1"/>
  <c r="A145" i="6" s="1"/>
  <c r="A146" i="6" s="1"/>
  <c r="A147" i="6" s="1"/>
  <c r="A148" i="6" s="1"/>
  <c r="A149" i="6" s="1"/>
  <c r="A150" i="6" s="1"/>
  <c r="A151" i="6" s="1"/>
  <c r="A152" i="6" s="1"/>
  <c r="A153" i="6" s="1"/>
  <c r="A154" i="6" s="1"/>
  <c r="A155" i="6" s="1"/>
  <c r="A156" i="6" s="1"/>
  <c r="A157" i="6" s="1"/>
  <c r="A158" i="6" s="1"/>
  <c r="A159" i="6" s="1"/>
  <c r="A160" i="6" s="1"/>
  <c r="A161" i="6" s="1"/>
  <c r="A162" i="6" s="1"/>
  <c r="A163" i="6" s="1"/>
  <c r="A164" i="6" s="1"/>
  <c r="A165" i="6" s="1"/>
  <c r="A166" i="6" s="1"/>
  <c r="A167" i="6" s="1"/>
  <c r="A168" i="6" s="1"/>
  <c r="A169" i="6" s="1"/>
  <c r="A170" i="6" s="1"/>
  <c r="A171" i="6" s="1"/>
  <c r="A172" i="6" s="1"/>
  <c r="A173" i="6" s="1"/>
  <c r="A174" i="6" s="1"/>
  <c r="A175" i="6" s="1"/>
  <c r="A176" i="6" s="1"/>
  <c r="A177" i="6" s="1"/>
  <c r="A178" i="6" s="1"/>
  <c r="A179" i="6" s="1"/>
  <c r="A180" i="6" s="1"/>
  <c r="A181" i="6" s="1"/>
  <c r="A182" i="6" s="1"/>
  <c r="A183" i="6" s="1"/>
  <c r="A184" i="6" s="1"/>
  <c r="A185" i="6" s="1"/>
  <c r="A186" i="6" s="1"/>
  <c r="A187" i="6" s="1"/>
  <c r="A188" i="6" s="1"/>
  <c r="A189" i="6" s="1"/>
  <c r="A190" i="6" s="1"/>
  <c r="A191" i="6" s="1"/>
  <c r="A192" i="6" s="1"/>
  <c r="A193" i="6" s="1"/>
  <c r="A194" i="6" s="1"/>
  <c r="A195" i="6" s="1"/>
  <c r="A196" i="6" s="1"/>
  <c r="A197" i="6" s="1"/>
  <c r="A198" i="6" s="1"/>
  <c r="A199" i="6" s="1"/>
  <c r="A200" i="6" s="1"/>
  <c r="A201" i="6" s="1"/>
  <c r="A202" i="6" s="1"/>
  <c r="A203" i="6" s="1"/>
  <c r="A204" i="6" s="1"/>
  <c r="A205" i="6" s="1"/>
  <c r="A206" i="6" s="1"/>
  <c r="A207" i="6" s="1"/>
  <c r="A208" i="6" s="1"/>
  <c r="A209" i="6" s="1"/>
  <c r="A210" i="6" s="1"/>
  <c r="A211" i="6" s="1"/>
  <c r="A212" i="6" s="1"/>
  <c r="A213" i="6" s="1"/>
  <c r="A214" i="6" s="1"/>
  <c r="A215" i="6" s="1"/>
  <c r="A216" i="6" s="1"/>
  <c r="A217" i="6" s="1"/>
  <c r="A218" i="6" s="1"/>
  <c r="A219" i="6" s="1"/>
  <c r="A220" i="6" s="1"/>
  <c r="A221" i="6" s="1"/>
  <c r="A222" i="6" s="1"/>
  <c r="A223" i="6" s="1"/>
  <c r="A224" i="6" s="1"/>
  <c r="A225" i="6" s="1"/>
  <c r="A226" i="6" s="1"/>
  <c r="A227" i="6" s="1"/>
  <c r="A228" i="6" s="1"/>
  <c r="A229" i="6" s="1"/>
  <c r="A230" i="6" s="1"/>
  <c r="A231" i="6" s="1"/>
  <c r="A232" i="6" s="1"/>
  <c r="A233" i="6" s="1"/>
  <c r="A234" i="6" s="1"/>
  <c r="A235" i="6" s="1"/>
  <c r="A236" i="6" s="1"/>
  <c r="A237" i="6" s="1"/>
  <c r="A238" i="6" s="1"/>
  <c r="A239" i="6" s="1"/>
  <c r="A240" i="6" s="1"/>
  <c r="A241" i="6" s="1"/>
  <c r="A242" i="6" s="1"/>
  <c r="A243" i="6" s="1"/>
  <c r="A244" i="6" s="1"/>
  <c r="A245" i="6" s="1"/>
  <c r="A246" i="6" s="1"/>
  <c r="A247" i="6" s="1"/>
  <c r="A248" i="6" s="1"/>
  <c r="A249" i="6" s="1"/>
  <c r="A250" i="6" s="1"/>
  <c r="A251" i="6" s="1"/>
  <c r="A252" i="6" s="1"/>
  <c r="A253" i="6" s="1"/>
  <c r="A254" i="6" s="1"/>
  <c r="A255" i="6" s="1"/>
  <c r="A256" i="6" s="1"/>
  <c r="A257" i="6" s="1"/>
  <c r="A258" i="6" s="1"/>
  <c r="A259" i="6" s="1"/>
  <c r="A260" i="6" s="1"/>
  <c r="A261" i="6" s="1"/>
  <c r="A262" i="6" s="1"/>
  <c r="A263" i="6" s="1"/>
  <c r="A264" i="6" s="1"/>
  <c r="A265" i="6" s="1"/>
  <c r="A266" i="6" s="1"/>
  <c r="A267" i="6" s="1"/>
  <c r="A268" i="6" s="1"/>
  <c r="A269" i="6" s="1"/>
  <c r="A270" i="6" s="1"/>
  <c r="A271" i="6" s="1"/>
  <c r="A272" i="6" s="1"/>
  <c r="A273" i="6" s="1"/>
  <c r="A274" i="6" s="1"/>
  <c r="A275" i="6" s="1"/>
  <c r="A276" i="6" s="1"/>
  <c r="A277" i="6" s="1"/>
  <c r="A278" i="6" s="1"/>
  <c r="Q14" i="6" l="1"/>
  <c r="R14" i="6" s="1"/>
  <c r="Y17" i="6" l="1"/>
  <c r="Y18" i="6"/>
  <c r="Y19" i="6"/>
  <c r="Y20" i="6"/>
  <c r="Y21" i="6"/>
  <c r="Y22" i="6"/>
  <c r="Y23" i="6"/>
  <c r="Y24" i="6"/>
  <c r="Y25" i="6"/>
  <c r="Y26" i="6"/>
  <c r="Y27" i="6"/>
  <c r="Y28" i="6"/>
  <c r="Y29" i="6"/>
  <c r="Y30" i="6"/>
  <c r="Y31" i="6"/>
  <c r="Y32" i="6"/>
  <c r="Y33" i="6"/>
  <c r="Y34" i="6"/>
  <c r="Y35" i="6"/>
  <c r="Y36" i="6"/>
  <c r="Y37" i="6"/>
  <c r="Y38" i="6"/>
  <c r="Y39" i="6"/>
  <c r="Y40" i="6"/>
  <c r="Y41" i="6"/>
  <c r="Y42" i="6"/>
  <c r="Y43" i="6"/>
  <c r="Y44" i="6"/>
  <c r="Y45" i="6"/>
  <c r="Y46" i="6"/>
  <c r="Y47" i="6"/>
  <c r="Y48" i="6"/>
  <c r="Y49" i="6"/>
  <c r="Y50" i="6"/>
  <c r="Y51" i="6"/>
  <c r="Y52" i="6"/>
  <c r="Y53" i="6"/>
  <c r="Y54" i="6"/>
  <c r="Y55" i="6"/>
  <c r="Y56" i="6"/>
  <c r="Y57" i="6"/>
  <c r="Y58" i="6"/>
  <c r="Y59" i="6"/>
  <c r="Y60" i="6"/>
  <c r="Y61" i="6"/>
  <c r="Y62" i="6"/>
  <c r="Y63" i="6"/>
  <c r="Y64" i="6"/>
  <c r="Y65" i="6"/>
  <c r="Y66" i="6"/>
  <c r="Y67" i="6"/>
  <c r="Y68" i="6"/>
  <c r="Y69" i="6"/>
  <c r="Y70" i="6"/>
  <c r="Y71" i="6"/>
  <c r="Y72" i="6"/>
  <c r="Y73" i="6"/>
  <c r="Y74" i="6"/>
  <c r="Y75" i="6"/>
  <c r="Y76" i="6"/>
  <c r="Y77" i="6"/>
  <c r="Y78" i="6"/>
  <c r="Y79" i="6"/>
  <c r="Y80" i="6"/>
  <c r="Y81" i="6"/>
  <c r="Y82" i="6"/>
  <c r="Y83" i="6"/>
  <c r="Y84" i="6"/>
  <c r="Y85" i="6"/>
  <c r="Y86" i="6"/>
  <c r="Y87" i="6"/>
  <c r="Y88" i="6"/>
  <c r="Y89" i="6"/>
  <c r="Y90" i="6"/>
  <c r="Y91" i="6"/>
  <c r="Y92" i="6"/>
  <c r="Y93" i="6"/>
  <c r="Y94" i="6"/>
  <c r="Y95" i="6"/>
  <c r="Y96" i="6"/>
  <c r="Y97" i="6"/>
  <c r="Y98" i="6"/>
  <c r="Y99" i="6"/>
  <c r="Y100" i="6"/>
  <c r="Y101" i="6"/>
  <c r="Y102" i="6"/>
  <c r="Y103" i="6"/>
  <c r="Y104" i="6"/>
  <c r="Y105" i="6"/>
  <c r="Y106" i="6"/>
  <c r="Y107" i="6"/>
  <c r="Y108" i="6"/>
  <c r="Y109" i="6"/>
  <c r="Y110" i="6"/>
  <c r="Y111" i="6"/>
  <c r="Y112" i="6"/>
  <c r="Y113" i="6"/>
  <c r="Y114" i="6"/>
  <c r="Y115" i="6"/>
  <c r="Y116" i="6"/>
  <c r="Y117" i="6"/>
  <c r="Y118" i="6"/>
  <c r="Y119" i="6"/>
  <c r="Y120" i="6"/>
  <c r="Y121" i="6"/>
  <c r="Y122" i="6"/>
  <c r="Y123" i="6"/>
  <c r="Y125" i="6"/>
  <c r="Y126" i="6"/>
  <c r="Y127" i="6"/>
  <c r="Y128" i="6"/>
  <c r="Y129" i="6"/>
  <c r="Y130" i="6"/>
  <c r="Y131" i="6"/>
  <c r="Y132" i="6"/>
  <c r="Y133" i="6"/>
  <c r="Y134" i="6"/>
  <c r="Y135" i="6"/>
  <c r="Y136" i="6"/>
  <c r="Y137" i="6"/>
  <c r="Y138" i="6"/>
  <c r="Y139" i="6"/>
  <c r="Y140" i="6"/>
  <c r="Y141" i="6"/>
  <c r="Y142" i="6"/>
  <c r="Y143" i="6"/>
  <c r="Y144" i="6"/>
  <c r="Y145" i="6"/>
  <c r="Y146" i="6"/>
  <c r="Y147" i="6"/>
  <c r="Y148" i="6"/>
  <c r="Y149" i="6"/>
  <c r="Y150" i="6"/>
  <c r="Y151" i="6"/>
  <c r="Y152" i="6"/>
  <c r="Y153" i="6"/>
  <c r="Y154" i="6"/>
  <c r="Y155" i="6"/>
  <c r="Y156" i="6"/>
  <c r="Y157" i="6"/>
  <c r="Y158" i="6"/>
  <c r="Y159" i="6"/>
  <c r="Y160" i="6"/>
  <c r="Y161" i="6"/>
  <c r="Y162" i="6"/>
  <c r="Y163" i="6"/>
  <c r="Y164" i="6"/>
  <c r="Y165" i="6"/>
  <c r="Y166" i="6"/>
  <c r="Y167" i="6"/>
  <c r="Y168" i="6"/>
  <c r="Y169" i="6"/>
  <c r="Y170" i="6"/>
  <c r="Y171" i="6"/>
  <c r="Y172" i="6"/>
  <c r="Y173" i="6"/>
  <c r="Y174" i="6"/>
  <c r="Y175" i="6"/>
  <c r="Y176" i="6"/>
  <c r="Y177" i="6"/>
  <c r="Y178" i="6"/>
  <c r="Y179" i="6"/>
  <c r="Y180" i="6"/>
  <c r="Y181" i="6"/>
  <c r="Y183" i="6"/>
  <c r="Y184" i="6"/>
  <c r="Y185" i="6"/>
  <c r="Y186" i="6"/>
  <c r="Y187" i="6"/>
  <c r="Y188" i="6"/>
  <c r="Y189" i="6"/>
  <c r="Y190" i="6"/>
  <c r="Y191" i="6"/>
  <c r="Y192" i="6"/>
  <c r="Y193" i="6"/>
  <c r="Y194" i="6"/>
  <c r="Y195" i="6"/>
  <c r="Y196" i="6"/>
  <c r="Y197" i="6"/>
  <c r="Y198" i="6"/>
  <c r="Y200" i="6"/>
  <c r="Y201" i="6"/>
  <c r="Y202" i="6"/>
  <c r="Y203" i="6"/>
  <c r="Y204" i="6"/>
  <c r="Y205" i="6"/>
  <c r="Y206" i="6"/>
  <c r="Y207" i="6"/>
  <c r="Y208" i="6"/>
  <c r="Y209" i="6"/>
  <c r="Y210" i="6"/>
  <c r="Y211" i="6"/>
  <c r="Y212" i="6"/>
  <c r="Y213" i="6"/>
  <c r="Y214" i="6"/>
  <c r="Y215" i="6"/>
  <c r="Y216" i="6"/>
  <c r="Y217" i="6"/>
  <c r="Y218" i="6"/>
  <c r="Y219" i="6"/>
  <c r="Y220" i="6"/>
  <c r="Y221" i="6"/>
  <c r="Y222" i="6"/>
  <c r="Y223" i="6"/>
  <c r="Y224" i="6"/>
  <c r="Y225" i="6"/>
  <c r="Y226" i="6"/>
  <c r="Y227" i="6"/>
  <c r="Y228" i="6"/>
  <c r="Y229" i="6"/>
  <c r="Y230" i="6"/>
  <c r="Y231" i="6"/>
  <c r="Y232" i="6"/>
  <c r="Y233" i="6"/>
  <c r="Y234" i="6"/>
  <c r="Y235" i="6"/>
  <c r="Y236" i="6"/>
  <c r="Y237" i="6"/>
  <c r="Y238" i="6"/>
  <c r="Y239" i="6"/>
  <c r="Y240" i="6"/>
  <c r="Y241" i="6"/>
  <c r="Y242" i="6"/>
  <c r="Y243" i="6"/>
  <c r="Y244" i="6"/>
  <c r="Y245" i="6"/>
  <c r="Y246" i="6"/>
  <c r="Y247" i="6"/>
  <c r="Y248" i="6"/>
  <c r="Y249" i="6"/>
  <c r="Y250" i="6"/>
  <c r="Y251" i="6"/>
  <c r="Y252" i="6"/>
  <c r="Y253" i="6"/>
  <c r="Y254" i="6"/>
  <c r="Y255" i="6"/>
  <c r="Y256" i="6"/>
  <c r="Y257" i="6"/>
  <c r="Y258" i="6"/>
  <c r="Y259" i="6"/>
  <c r="Y260" i="6"/>
  <c r="Y261" i="6"/>
  <c r="Y262" i="6"/>
  <c r="Y263" i="6"/>
  <c r="Y264" i="6"/>
  <c r="Y265" i="6"/>
  <c r="Y266" i="6"/>
  <c r="Y267" i="6"/>
  <c r="Y268" i="6"/>
  <c r="Y269" i="6"/>
  <c r="Y270" i="6"/>
  <c r="Y271" i="6"/>
  <c r="Y272" i="6"/>
  <c r="Y273" i="6"/>
  <c r="Y274" i="6"/>
  <c r="Y275" i="6"/>
  <c r="Y276" i="6"/>
  <c r="Y277" i="6"/>
  <c r="Y278" i="6"/>
  <c r="Y13" i="6"/>
  <c r="Y15" i="6"/>
  <c r="Y16" i="6"/>
  <c r="Y12" i="6"/>
  <c r="L14" i="6"/>
  <c r="L15" i="6"/>
  <c r="L16" i="6"/>
  <c r="L17" i="6"/>
  <c r="L18" i="6"/>
  <c r="L19" i="6"/>
  <c r="L20" i="6"/>
  <c r="L21" i="6"/>
  <c r="L22" i="6"/>
  <c r="L23" i="6"/>
  <c r="L24" i="6"/>
  <c r="L25" i="6"/>
  <c r="L26" i="6"/>
  <c r="L27" i="6"/>
  <c r="L28" i="6"/>
  <c r="L29" i="6"/>
  <c r="L30" i="6"/>
  <c r="L31" i="6"/>
  <c r="L32" i="6"/>
  <c r="L33" i="6"/>
  <c r="L34" i="6"/>
  <c r="L35" i="6"/>
  <c r="L36" i="6"/>
  <c r="L37" i="6"/>
  <c r="L38" i="6"/>
  <c r="L39" i="6"/>
  <c r="L40" i="6"/>
  <c r="L41" i="6"/>
  <c r="L42" i="6"/>
  <c r="L43" i="6"/>
  <c r="L44" i="6"/>
  <c r="L45" i="6"/>
  <c r="L46" i="6"/>
  <c r="L47" i="6"/>
  <c r="L48" i="6"/>
  <c r="L49" i="6"/>
  <c r="L50" i="6"/>
  <c r="L51" i="6"/>
  <c r="L52" i="6"/>
  <c r="L53" i="6"/>
  <c r="L54" i="6"/>
  <c r="L55" i="6"/>
  <c r="L56" i="6"/>
  <c r="L57" i="6"/>
  <c r="L58" i="6"/>
  <c r="L59" i="6"/>
  <c r="L60" i="6"/>
  <c r="L61" i="6"/>
  <c r="L62" i="6"/>
  <c r="L63" i="6"/>
  <c r="L64" i="6"/>
  <c r="L65" i="6"/>
  <c r="L66" i="6"/>
  <c r="L67" i="6"/>
  <c r="L68" i="6"/>
  <c r="L69" i="6"/>
  <c r="L70" i="6"/>
  <c r="L71" i="6"/>
  <c r="L72" i="6"/>
  <c r="L73" i="6"/>
  <c r="L74" i="6"/>
  <c r="L75" i="6"/>
  <c r="L76" i="6"/>
  <c r="L77" i="6"/>
  <c r="L78" i="6"/>
  <c r="L79" i="6"/>
  <c r="L80" i="6"/>
  <c r="L81" i="6"/>
  <c r="L82" i="6"/>
  <c r="L83" i="6"/>
  <c r="L84" i="6"/>
  <c r="L85" i="6"/>
  <c r="L86" i="6"/>
  <c r="L87" i="6"/>
  <c r="L88" i="6"/>
  <c r="L89" i="6"/>
  <c r="L90" i="6"/>
  <c r="L91" i="6"/>
  <c r="L92" i="6"/>
  <c r="L93" i="6"/>
  <c r="L94" i="6"/>
  <c r="L95" i="6"/>
  <c r="L96" i="6"/>
  <c r="L97" i="6"/>
  <c r="L98" i="6"/>
  <c r="L99" i="6"/>
  <c r="L100" i="6"/>
  <c r="L101" i="6"/>
  <c r="L102" i="6"/>
  <c r="L103" i="6"/>
  <c r="L104" i="6"/>
  <c r="L105" i="6"/>
  <c r="L106" i="6"/>
  <c r="L107" i="6"/>
  <c r="L108" i="6"/>
  <c r="L109" i="6"/>
  <c r="L110" i="6"/>
  <c r="L111" i="6"/>
  <c r="L112" i="6"/>
  <c r="L113" i="6"/>
  <c r="L114" i="6"/>
  <c r="L115" i="6"/>
  <c r="L116" i="6"/>
  <c r="L117" i="6"/>
  <c r="L118" i="6"/>
  <c r="L119" i="6"/>
  <c r="L120" i="6"/>
  <c r="L121" i="6"/>
  <c r="L122" i="6"/>
  <c r="L123" i="6"/>
  <c r="L124" i="6"/>
  <c r="L125" i="6"/>
  <c r="L126" i="6"/>
  <c r="L127" i="6"/>
  <c r="L128" i="6"/>
  <c r="L129" i="6"/>
  <c r="L130" i="6"/>
  <c r="L131" i="6"/>
  <c r="L132" i="6"/>
  <c r="L133" i="6"/>
  <c r="L134" i="6"/>
  <c r="L135" i="6"/>
  <c r="L136" i="6"/>
  <c r="L137" i="6"/>
  <c r="L138" i="6"/>
  <c r="L139" i="6"/>
  <c r="L140" i="6"/>
  <c r="L141" i="6"/>
  <c r="L142" i="6"/>
  <c r="L143" i="6"/>
  <c r="L144" i="6"/>
  <c r="L145" i="6"/>
  <c r="L146" i="6"/>
  <c r="L147" i="6"/>
  <c r="L148" i="6"/>
  <c r="L149" i="6"/>
  <c r="L150" i="6"/>
  <c r="L151" i="6"/>
  <c r="L152" i="6"/>
  <c r="L153" i="6"/>
  <c r="L154" i="6"/>
  <c r="L155" i="6"/>
  <c r="L156" i="6"/>
  <c r="L157" i="6"/>
  <c r="L158" i="6"/>
  <c r="L159" i="6"/>
  <c r="L160" i="6"/>
  <c r="L161" i="6"/>
  <c r="L162" i="6"/>
  <c r="L163" i="6"/>
  <c r="L164" i="6"/>
  <c r="L165" i="6"/>
  <c r="L166" i="6"/>
  <c r="L167" i="6"/>
  <c r="L168" i="6"/>
  <c r="L169" i="6"/>
  <c r="L170" i="6"/>
  <c r="L171" i="6"/>
  <c r="L172" i="6"/>
  <c r="L173" i="6"/>
  <c r="L174" i="6"/>
  <c r="L175" i="6"/>
  <c r="L176" i="6"/>
  <c r="L177" i="6"/>
  <c r="L178" i="6"/>
  <c r="L179" i="6"/>
  <c r="L180" i="6"/>
  <c r="L181" i="6"/>
  <c r="L182" i="6"/>
  <c r="L183" i="6"/>
  <c r="L184" i="6"/>
  <c r="L185" i="6"/>
  <c r="L186" i="6"/>
  <c r="L187" i="6"/>
  <c r="L188" i="6"/>
  <c r="L189" i="6"/>
  <c r="L190" i="6"/>
  <c r="L191" i="6"/>
  <c r="L192" i="6"/>
  <c r="L193" i="6"/>
  <c r="L194" i="6"/>
  <c r="L195" i="6"/>
  <c r="L196" i="6"/>
  <c r="L197" i="6"/>
  <c r="L198" i="6"/>
  <c r="L200" i="6"/>
  <c r="L201" i="6"/>
  <c r="L202" i="6"/>
  <c r="L203" i="6"/>
  <c r="L204" i="6"/>
  <c r="L205" i="6"/>
  <c r="L206" i="6"/>
  <c r="L207" i="6"/>
  <c r="L208" i="6"/>
  <c r="L209" i="6"/>
  <c r="L210" i="6"/>
  <c r="L211" i="6"/>
  <c r="L212" i="6"/>
  <c r="L213" i="6"/>
  <c r="L214" i="6"/>
  <c r="L215" i="6"/>
  <c r="L216" i="6"/>
  <c r="L217" i="6"/>
  <c r="L218" i="6"/>
  <c r="L219" i="6"/>
  <c r="L220" i="6"/>
  <c r="L221" i="6"/>
  <c r="L222" i="6"/>
  <c r="L223" i="6"/>
  <c r="L224" i="6"/>
  <c r="L225" i="6"/>
  <c r="L226" i="6"/>
  <c r="L227" i="6"/>
  <c r="L228" i="6"/>
  <c r="L229" i="6"/>
  <c r="L230" i="6"/>
  <c r="L231" i="6"/>
  <c r="L232" i="6"/>
  <c r="L233" i="6"/>
  <c r="L234" i="6"/>
  <c r="L235" i="6"/>
  <c r="L236" i="6"/>
  <c r="L237" i="6"/>
  <c r="L238" i="6"/>
  <c r="L239" i="6"/>
  <c r="L240" i="6"/>
  <c r="L241" i="6"/>
  <c r="L242" i="6"/>
  <c r="L243" i="6"/>
  <c r="L244" i="6"/>
  <c r="L245" i="6"/>
  <c r="L246" i="6"/>
  <c r="L247" i="6"/>
  <c r="L248" i="6"/>
  <c r="L249" i="6"/>
  <c r="L250" i="6"/>
  <c r="L251" i="6"/>
  <c r="L252" i="6"/>
  <c r="L253" i="6"/>
  <c r="L254" i="6"/>
  <c r="L255" i="6"/>
  <c r="L256" i="6"/>
  <c r="L257" i="6"/>
  <c r="L258" i="6"/>
  <c r="L259" i="6"/>
  <c r="L260" i="6"/>
  <c r="L261" i="6"/>
  <c r="L262" i="6"/>
  <c r="L263" i="6"/>
  <c r="L264" i="6"/>
  <c r="L265" i="6"/>
  <c r="L266" i="6"/>
  <c r="L267" i="6"/>
  <c r="L268" i="6"/>
  <c r="L269" i="6"/>
  <c r="L270" i="6"/>
  <c r="L271" i="6"/>
  <c r="L272" i="6"/>
  <c r="L273" i="6"/>
  <c r="L274" i="6"/>
  <c r="L275" i="6"/>
  <c r="L276" i="6"/>
  <c r="L277" i="6"/>
  <c r="L278" i="6"/>
  <c r="L13" i="6"/>
  <c r="L12" i="6"/>
  <c r="O16" i="6"/>
  <c r="O17" i="6"/>
  <c r="O18" i="6"/>
  <c r="O19" i="6"/>
  <c r="O20" i="6"/>
  <c r="O21" i="6"/>
  <c r="O22" i="6"/>
  <c r="O23" i="6"/>
  <c r="O24" i="6"/>
  <c r="O25" i="6"/>
  <c r="O26" i="6"/>
  <c r="O27" i="6"/>
  <c r="O28" i="6"/>
  <c r="O29" i="6"/>
  <c r="O30" i="6"/>
  <c r="O31" i="6"/>
  <c r="O32" i="6"/>
  <c r="O33" i="6"/>
  <c r="O34" i="6"/>
  <c r="O35" i="6"/>
  <c r="O36" i="6"/>
  <c r="O37" i="6"/>
  <c r="O38" i="6"/>
  <c r="O39" i="6"/>
  <c r="O40" i="6"/>
  <c r="O41" i="6"/>
  <c r="O42" i="6"/>
  <c r="O43" i="6"/>
  <c r="O44" i="6"/>
  <c r="O45" i="6"/>
  <c r="O46" i="6"/>
  <c r="O47" i="6"/>
  <c r="O48" i="6"/>
  <c r="O49" i="6"/>
  <c r="O50" i="6"/>
  <c r="O51" i="6"/>
  <c r="O52" i="6"/>
  <c r="O53" i="6"/>
  <c r="O54" i="6"/>
  <c r="O55" i="6"/>
  <c r="O56" i="6"/>
  <c r="O57" i="6"/>
  <c r="O58" i="6"/>
  <c r="O59" i="6"/>
  <c r="O60" i="6"/>
  <c r="O61" i="6"/>
  <c r="O62" i="6"/>
  <c r="O63" i="6"/>
  <c r="O64" i="6"/>
  <c r="O65" i="6"/>
  <c r="O66" i="6"/>
  <c r="O67" i="6"/>
  <c r="O68" i="6"/>
  <c r="O69" i="6"/>
  <c r="O70" i="6"/>
  <c r="O71" i="6"/>
  <c r="O72" i="6"/>
  <c r="O73" i="6"/>
  <c r="O74" i="6"/>
  <c r="O75" i="6"/>
  <c r="O76" i="6"/>
  <c r="O77" i="6"/>
  <c r="O78" i="6"/>
  <c r="O79" i="6"/>
  <c r="O80" i="6"/>
  <c r="O81" i="6"/>
  <c r="O82" i="6"/>
  <c r="O83" i="6"/>
  <c r="O84" i="6"/>
  <c r="O85" i="6"/>
  <c r="O86" i="6"/>
  <c r="O87" i="6"/>
  <c r="O88" i="6"/>
  <c r="O89" i="6"/>
  <c r="O90" i="6"/>
  <c r="O91" i="6"/>
  <c r="O92" i="6"/>
  <c r="O93" i="6"/>
  <c r="O94" i="6"/>
  <c r="O95" i="6"/>
  <c r="O96" i="6"/>
  <c r="O97" i="6"/>
  <c r="O98" i="6"/>
  <c r="O99" i="6"/>
  <c r="O100" i="6"/>
  <c r="O101" i="6"/>
  <c r="O102" i="6"/>
  <c r="O103" i="6"/>
  <c r="O104" i="6"/>
  <c r="O105" i="6"/>
  <c r="O106" i="6"/>
  <c r="O107" i="6"/>
  <c r="O108" i="6"/>
  <c r="O109" i="6"/>
  <c r="O110" i="6"/>
  <c r="O111" i="6"/>
  <c r="O112" i="6"/>
  <c r="O113" i="6"/>
  <c r="O114" i="6"/>
  <c r="O115" i="6"/>
  <c r="O116" i="6"/>
  <c r="O117" i="6"/>
  <c r="O118" i="6"/>
  <c r="O119" i="6"/>
  <c r="O120" i="6"/>
  <c r="O121" i="6"/>
  <c r="O122" i="6"/>
  <c r="O123" i="6"/>
  <c r="O124" i="6"/>
  <c r="O125" i="6"/>
  <c r="O126" i="6"/>
  <c r="O127" i="6"/>
  <c r="O128" i="6"/>
  <c r="O129" i="6"/>
  <c r="O130" i="6"/>
  <c r="O131" i="6"/>
  <c r="O132" i="6"/>
  <c r="O133" i="6"/>
  <c r="O134" i="6"/>
  <c r="O135" i="6"/>
  <c r="O136" i="6"/>
  <c r="O137" i="6"/>
  <c r="O138" i="6"/>
  <c r="O139" i="6"/>
  <c r="O140" i="6"/>
  <c r="O141" i="6"/>
  <c r="O142" i="6"/>
  <c r="O143" i="6"/>
  <c r="O144" i="6"/>
  <c r="O145" i="6"/>
  <c r="O146" i="6"/>
  <c r="O147" i="6"/>
  <c r="O148" i="6"/>
  <c r="O149" i="6"/>
  <c r="O150" i="6"/>
  <c r="O151" i="6"/>
  <c r="O152" i="6"/>
  <c r="O153" i="6"/>
  <c r="O154" i="6"/>
  <c r="O155" i="6"/>
  <c r="O156" i="6"/>
  <c r="O157" i="6"/>
  <c r="O158" i="6"/>
  <c r="O159" i="6"/>
  <c r="O160" i="6"/>
  <c r="O161" i="6"/>
  <c r="O162" i="6"/>
  <c r="O163" i="6"/>
  <c r="O164" i="6"/>
  <c r="O165" i="6"/>
  <c r="O166" i="6"/>
  <c r="O167" i="6"/>
  <c r="O168" i="6"/>
  <c r="O169" i="6"/>
  <c r="O170" i="6"/>
  <c r="O171" i="6"/>
  <c r="O172" i="6"/>
  <c r="O173" i="6"/>
  <c r="O174" i="6"/>
  <c r="O175" i="6"/>
  <c r="O176" i="6"/>
  <c r="O177" i="6"/>
  <c r="O178" i="6"/>
  <c r="O179" i="6"/>
  <c r="O180" i="6"/>
  <c r="O181" i="6"/>
  <c r="O182" i="6"/>
  <c r="O183" i="6"/>
  <c r="O184" i="6"/>
  <c r="O185" i="6"/>
  <c r="O186" i="6"/>
  <c r="O187" i="6"/>
  <c r="O188" i="6"/>
  <c r="O189" i="6"/>
  <c r="O190" i="6"/>
  <c r="O191" i="6"/>
  <c r="O192" i="6"/>
  <c r="O193" i="6"/>
  <c r="O194" i="6"/>
  <c r="O195" i="6"/>
  <c r="O196" i="6"/>
  <c r="O197" i="6"/>
  <c r="O198" i="6"/>
  <c r="O199" i="6"/>
  <c r="O200" i="6"/>
  <c r="O201" i="6"/>
  <c r="O202" i="6"/>
  <c r="O203" i="6"/>
  <c r="O204" i="6"/>
  <c r="O205" i="6"/>
  <c r="O206" i="6"/>
  <c r="O207" i="6"/>
  <c r="O208" i="6"/>
  <c r="O209" i="6"/>
  <c r="O210" i="6"/>
  <c r="O211" i="6"/>
  <c r="O212" i="6"/>
  <c r="O213" i="6"/>
  <c r="O214" i="6"/>
  <c r="O215" i="6"/>
  <c r="O216" i="6"/>
  <c r="O217" i="6"/>
  <c r="O218" i="6"/>
  <c r="O219" i="6"/>
  <c r="O220" i="6"/>
  <c r="O221" i="6"/>
  <c r="O222" i="6"/>
  <c r="O223" i="6"/>
  <c r="O224" i="6"/>
  <c r="O225" i="6"/>
  <c r="O226" i="6"/>
  <c r="O227" i="6"/>
  <c r="O228" i="6"/>
  <c r="O229" i="6"/>
  <c r="O230" i="6"/>
  <c r="O231" i="6"/>
  <c r="O232" i="6"/>
  <c r="O233" i="6"/>
  <c r="O234" i="6"/>
  <c r="O235" i="6"/>
  <c r="O236" i="6"/>
  <c r="O237" i="6"/>
  <c r="O238" i="6"/>
  <c r="O239" i="6"/>
  <c r="O240" i="6"/>
  <c r="O241" i="6"/>
  <c r="O242" i="6"/>
  <c r="O243" i="6"/>
  <c r="O244" i="6"/>
  <c r="O245" i="6"/>
  <c r="O246" i="6"/>
  <c r="O247" i="6"/>
  <c r="O248" i="6"/>
  <c r="O249" i="6"/>
  <c r="O250" i="6"/>
  <c r="O251" i="6"/>
  <c r="O252" i="6"/>
  <c r="O253" i="6"/>
  <c r="O254" i="6"/>
  <c r="O255" i="6"/>
  <c r="O256" i="6"/>
  <c r="O257" i="6"/>
  <c r="O258" i="6"/>
  <c r="O259" i="6"/>
  <c r="O260" i="6"/>
  <c r="O261" i="6"/>
  <c r="O262" i="6"/>
  <c r="O263" i="6"/>
  <c r="O264" i="6"/>
  <c r="O265" i="6"/>
  <c r="O266" i="6"/>
  <c r="O267" i="6"/>
  <c r="O268" i="6"/>
  <c r="O269" i="6"/>
  <c r="O270" i="6"/>
  <c r="O271" i="6"/>
  <c r="O272" i="6"/>
  <c r="O273" i="6"/>
  <c r="O274" i="6"/>
  <c r="O275" i="6"/>
  <c r="O276" i="6"/>
  <c r="O277" i="6"/>
  <c r="O278" i="6"/>
  <c r="O13" i="6"/>
  <c r="O14" i="6"/>
  <c r="O15" i="6"/>
  <c r="O12" i="6"/>
  <c r="X106" i="6" l="1"/>
  <c r="X107" i="6"/>
  <c r="T106" i="6" l="1"/>
  <c r="R106" i="6"/>
  <c r="H106" i="6"/>
  <c r="J106" i="6" s="1"/>
  <c r="K106" i="6" s="1"/>
  <c r="U106" i="6" l="1"/>
  <c r="M106" i="6"/>
  <c r="P106" i="6" s="1"/>
  <c r="V106" i="6" l="1"/>
  <c r="X85" i="6"/>
  <c r="T85" i="6"/>
  <c r="R85" i="6"/>
  <c r="H85" i="6"/>
  <c r="J85" i="6" s="1"/>
  <c r="K85" i="6" s="1"/>
  <c r="M85" i="6" s="1"/>
  <c r="X84" i="6"/>
  <c r="T84" i="6"/>
  <c r="R84" i="6"/>
  <c r="H84" i="6"/>
  <c r="J84" i="6" s="1"/>
  <c r="U84" i="6" s="1"/>
  <c r="K84" i="6" l="1"/>
  <c r="M84" i="6" s="1"/>
  <c r="P84" i="6" s="1"/>
  <c r="V84" i="6" s="1"/>
  <c r="U85" i="6"/>
  <c r="P85" i="6"/>
  <c r="V85" i="6" l="1"/>
  <c r="X148" i="6"/>
  <c r="T148" i="6"/>
  <c r="R148" i="6"/>
  <c r="H148" i="6"/>
  <c r="J148" i="6" s="1"/>
  <c r="K148" i="6" s="1"/>
  <c r="X185" i="6"/>
  <c r="X186" i="6"/>
  <c r="T185" i="6"/>
  <c r="T186" i="6"/>
  <c r="R185" i="6"/>
  <c r="H185" i="6"/>
  <c r="J185" i="6" s="1"/>
  <c r="K185" i="6" l="1"/>
  <c r="R102" i="6" l="1"/>
  <c r="X26" i="6" l="1"/>
  <c r="X27" i="6"/>
  <c r="X28" i="6"/>
  <c r="X29" i="6"/>
  <c r="H40" i="6"/>
  <c r="X41" i="6" l="1"/>
  <c r="T41" i="6"/>
  <c r="R41" i="6"/>
  <c r="H41" i="6"/>
  <c r="J41" i="6" s="1"/>
  <c r="K41" i="6" s="1"/>
  <c r="X184" i="6"/>
  <c r="T184" i="6"/>
  <c r="R184" i="6"/>
  <c r="H184" i="6"/>
  <c r="J184" i="6" s="1"/>
  <c r="K184" i="6" s="1"/>
  <c r="X269" i="6"/>
  <c r="T269" i="6"/>
  <c r="R269" i="6"/>
  <c r="H269" i="6"/>
  <c r="J269" i="6" s="1"/>
  <c r="K269" i="6" s="1"/>
  <c r="T27" i="6" l="1"/>
  <c r="R27" i="6"/>
  <c r="H27" i="6"/>
  <c r="J27" i="6" s="1"/>
  <c r="K27" i="6" l="1"/>
  <c r="R60" i="6" l="1"/>
  <c r="R46" i="6"/>
  <c r="R24" i="6"/>
  <c r="R13" i="6"/>
  <c r="R12" i="6"/>
  <c r="R268" i="6" l="1"/>
  <c r="R213" i="6" l="1"/>
  <c r="X149" i="6" l="1"/>
  <c r="X150" i="6"/>
  <c r="R103" i="6" l="1"/>
  <c r="X104" i="6" l="1"/>
  <c r="X105" i="6"/>
  <c r="T149" i="6"/>
  <c r="R149" i="6"/>
  <c r="H149" i="6"/>
  <c r="J149" i="6" s="1"/>
  <c r="K149" i="6" l="1"/>
  <c r="O15" i="2" l="1"/>
  <c r="N15" i="2"/>
  <c r="X213" i="6"/>
  <c r="X268" i="6"/>
  <c r="T268" i="6"/>
  <c r="X242" i="6"/>
  <c r="X243" i="6"/>
  <c r="X244" i="6"/>
  <c r="T242" i="6"/>
  <c r="T243" i="6"/>
  <c r="T244" i="6"/>
  <c r="R242" i="6"/>
  <c r="R243" i="6"/>
  <c r="R244" i="6"/>
  <c r="T213" i="6"/>
  <c r="T105" i="6"/>
  <c r="R105" i="6"/>
  <c r="H243" i="6"/>
  <c r="J243" i="6" s="1"/>
  <c r="K243" i="6" s="1"/>
  <c r="H268" i="6"/>
  <c r="J268" i="6" s="1"/>
  <c r="K268" i="6" s="1"/>
  <c r="H242" i="6"/>
  <c r="J242" i="6" s="1"/>
  <c r="H105" i="6"/>
  <c r="J105" i="6" s="1"/>
  <c r="H213" i="6"/>
  <c r="J213" i="6" s="1"/>
  <c r="T104" i="6"/>
  <c r="R104" i="6"/>
  <c r="H104" i="6"/>
  <c r="J104" i="6" s="1"/>
  <c r="X100" i="6"/>
  <c r="X101" i="6"/>
  <c r="X102" i="6"/>
  <c r="X103" i="6"/>
  <c r="H188" i="6"/>
  <c r="J188" i="6" s="1"/>
  <c r="K188" i="6" s="1"/>
  <c r="H189" i="6"/>
  <c r="J189" i="6" s="1"/>
  <c r="K189" i="6" s="1"/>
  <c r="H190" i="6"/>
  <c r="J190" i="6" s="1"/>
  <c r="H191" i="6"/>
  <c r="T14" i="6"/>
  <c r="T15" i="6"/>
  <c r="T16" i="6"/>
  <c r="T17" i="6"/>
  <c r="T18" i="6"/>
  <c r="T19" i="6"/>
  <c r="T20" i="6"/>
  <c r="T21" i="6"/>
  <c r="T22" i="6"/>
  <c r="T23" i="6"/>
  <c r="T24" i="6"/>
  <c r="T25" i="6"/>
  <c r="T26" i="6"/>
  <c r="T28" i="6"/>
  <c r="T29" i="6"/>
  <c r="T30" i="6"/>
  <c r="T31" i="6"/>
  <c r="T32" i="6"/>
  <c r="T33" i="6"/>
  <c r="T34" i="6"/>
  <c r="T35" i="6"/>
  <c r="T36" i="6"/>
  <c r="T37" i="6"/>
  <c r="T38" i="6"/>
  <c r="T39" i="6"/>
  <c r="T40" i="6"/>
  <c r="T42" i="6"/>
  <c r="T43" i="6"/>
  <c r="T44" i="6"/>
  <c r="T70" i="6"/>
  <c r="T45" i="6"/>
  <c r="T46" i="6"/>
  <c r="T47" i="6"/>
  <c r="T48" i="6"/>
  <c r="T49" i="6"/>
  <c r="T50" i="6"/>
  <c r="T51" i="6"/>
  <c r="T52" i="6"/>
  <c r="T53" i="6"/>
  <c r="T54" i="6"/>
  <c r="T55" i="6"/>
  <c r="T56" i="6"/>
  <c r="T57" i="6"/>
  <c r="T58" i="6"/>
  <c r="T59" i="6"/>
  <c r="T62" i="6"/>
  <c r="T63" i="6"/>
  <c r="T64" i="6"/>
  <c r="T65" i="6"/>
  <c r="T66" i="6"/>
  <c r="T67" i="6"/>
  <c r="T68" i="6"/>
  <c r="T69" i="6"/>
  <c r="T71" i="6"/>
  <c r="T72" i="6"/>
  <c r="T73" i="6"/>
  <c r="T74" i="6"/>
  <c r="T75" i="6"/>
  <c r="T76" i="6"/>
  <c r="T77" i="6"/>
  <c r="T78" i="6"/>
  <c r="T89" i="6"/>
  <c r="T80" i="6"/>
  <c r="T81" i="6"/>
  <c r="T82" i="6"/>
  <c r="T60" i="6"/>
  <c r="T86" i="6"/>
  <c r="T87" i="6"/>
  <c r="T88" i="6"/>
  <c r="T83" i="6"/>
  <c r="T90" i="6"/>
  <c r="T91" i="6"/>
  <c r="T92" i="6"/>
  <c r="T93" i="6"/>
  <c r="T94" i="6"/>
  <c r="T95" i="6"/>
  <c r="T96" i="6"/>
  <c r="T97" i="6"/>
  <c r="T98" i="6"/>
  <c r="T99" i="6"/>
  <c r="T100" i="6"/>
  <c r="T101" i="6"/>
  <c r="T102" i="6"/>
  <c r="T103" i="6"/>
  <c r="T107" i="6"/>
  <c r="T108" i="6"/>
  <c r="T109" i="6"/>
  <c r="T110" i="6"/>
  <c r="T111" i="6"/>
  <c r="T112" i="6"/>
  <c r="T113" i="6"/>
  <c r="T114" i="6"/>
  <c r="T115" i="6"/>
  <c r="T116" i="6"/>
  <c r="T117" i="6"/>
  <c r="T118" i="6"/>
  <c r="T119" i="6"/>
  <c r="T120" i="6"/>
  <c r="T121" i="6"/>
  <c r="T122" i="6"/>
  <c r="T123" i="6"/>
  <c r="T124" i="6"/>
  <c r="T125" i="6"/>
  <c r="T126" i="6"/>
  <c r="T127" i="6"/>
  <c r="T128" i="6"/>
  <c r="T129" i="6"/>
  <c r="T130" i="6"/>
  <c r="T131" i="6"/>
  <c r="T132" i="6"/>
  <c r="T133" i="6"/>
  <c r="T134" i="6"/>
  <c r="T135" i="6"/>
  <c r="T136" i="6"/>
  <c r="T137" i="6"/>
  <c r="T138" i="6"/>
  <c r="T139" i="6"/>
  <c r="T140" i="6"/>
  <c r="T141" i="6"/>
  <c r="T142" i="6"/>
  <c r="T143" i="6"/>
  <c r="T144" i="6"/>
  <c r="T145" i="6"/>
  <c r="T146" i="6"/>
  <c r="T147" i="6"/>
  <c r="T150" i="6"/>
  <c r="T151" i="6"/>
  <c r="T152" i="6"/>
  <c r="T153" i="6"/>
  <c r="T154" i="6"/>
  <c r="T155" i="6"/>
  <c r="T156" i="6"/>
  <c r="T157" i="6"/>
  <c r="T158" i="6"/>
  <c r="T159" i="6"/>
  <c r="T160" i="6"/>
  <c r="T161" i="6"/>
  <c r="T162" i="6"/>
  <c r="T163" i="6"/>
  <c r="T164" i="6"/>
  <c r="T165" i="6"/>
  <c r="T166" i="6"/>
  <c r="T167" i="6"/>
  <c r="T168" i="6"/>
  <c r="T169" i="6"/>
  <c r="T170" i="6"/>
  <c r="T171" i="6"/>
  <c r="T172" i="6"/>
  <c r="T173" i="6"/>
  <c r="T174" i="6"/>
  <c r="T175" i="6"/>
  <c r="T176" i="6"/>
  <c r="T177" i="6"/>
  <c r="T79" i="6"/>
  <c r="T178" i="6"/>
  <c r="T179" i="6"/>
  <c r="T180" i="6"/>
  <c r="T181" i="6"/>
  <c r="T182" i="6"/>
  <c r="T183" i="6"/>
  <c r="T187" i="6"/>
  <c r="T188" i="6"/>
  <c r="T189" i="6"/>
  <c r="T190" i="6"/>
  <c r="T191" i="6"/>
  <c r="T192" i="6"/>
  <c r="T193" i="6"/>
  <c r="T194" i="6"/>
  <c r="T195" i="6"/>
  <c r="T196" i="6"/>
  <c r="T197" i="6"/>
  <c r="T198" i="6"/>
  <c r="T199" i="6"/>
  <c r="T200" i="6"/>
  <c r="T201" i="6"/>
  <c r="T202" i="6"/>
  <c r="T203" i="6"/>
  <c r="T204" i="6"/>
  <c r="T205" i="6"/>
  <c r="T206" i="6"/>
  <c r="T207" i="6"/>
  <c r="T208" i="6"/>
  <c r="T209" i="6"/>
  <c r="T210" i="6"/>
  <c r="T211" i="6"/>
  <c r="T212" i="6"/>
  <c r="T214" i="6"/>
  <c r="T215" i="6"/>
  <c r="T216" i="6"/>
  <c r="T217" i="6"/>
  <c r="T218" i="6"/>
  <c r="T219" i="6"/>
  <c r="T220" i="6"/>
  <c r="T221" i="6"/>
  <c r="T61" i="6"/>
  <c r="T222" i="6"/>
  <c r="T223" i="6"/>
  <c r="T224" i="6"/>
  <c r="T225" i="6"/>
  <c r="T226" i="6"/>
  <c r="T227" i="6"/>
  <c r="T228" i="6"/>
  <c r="T229" i="6"/>
  <c r="T230" i="6"/>
  <c r="T231" i="6"/>
  <c r="T232" i="6"/>
  <c r="T233" i="6"/>
  <c r="T234" i="6"/>
  <c r="T235" i="6"/>
  <c r="T236" i="6"/>
  <c r="T237" i="6"/>
  <c r="T238" i="6"/>
  <c r="T239" i="6"/>
  <c r="T240" i="6"/>
  <c r="T241" i="6"/>
  <c r="T245" i="6"/>
  <c r="T246" i="6"/>
  <c r="T247" i="6"/>
  <c r="T248" i="6"/>
  <c r="T249" i="6"/>
  <c r="T250" i="6"/>
  <c r="T251" i="6"/>
  <c r="T252" i="6"/>
  <c r="T253" i="6"/>
  <c r="T254" i="6"/>
  <c r="T255" i="6"/>
  <c r="T256" i="6"/>
  <c r="T257" i="6"/>
  <c r="T258" i="6"/>
  <c r="T259" i="6"/>
  <c r="T260" i="6"/>
  <c r="T261" i="6"/>
  <c r="T262" i="6"/>
  <c r="T263" i="6"/>
  <c r="T264" i="6"/>
  <c r="T265" i="6"/>
  <c r="T266" i="6"/>
  <c r="T267" i="6"/>
  <c r="T270" i="6"/>
  <c r="T271" i="6"/>
  <c r="T272" i="6"/>
  <c r="T273" i="6"/>
  <c r="T274" i="6"/>
  <c r="T275" i="6"/>
  <c r="T276" i="6"/>
  <c r="T277" i="6"/>
  <c r="T278" i="6"/>
  <c r="T13" i="6"/>
  <c r="T12" i="6"/>
  <c r="X241" i="6"/>
  <c r="R107" i="6"/>
  <c r="H103" i="6"/>
  <c r="J103" i="6" s="1"/>
  <c r="K103" i="6" s="1"/>
  <c r="H102" i="6"/>
  <c r="J102" i="6" s="1"/>
  <c r="K102" i="6" s="1"/>
  <c r="X13" i="2"/>
  <c r="T13" i="2"/>
  <c r="R13" i="2"/>
  <c r="H13" i="2"/>
  <c r="J13" i="2" s="1"/>
  <c r="R53" i="6"/>
  <c r="R54" i="6"/>
  <c r="X212" i="6"/>
  <c r="X214" i="6"/>
  <c r="R37" i="6"/>
  <c r="R66" i="6"/>
  <c r="R67" i="6"/>
  <c r="H12" i="6"/>
  <c r="J12" i="6" s="1"/>
  <c r="X12" i="6"/>
  <c r="H13" i="6"/>
  <c r="J13" i="6" s="1"/>
  <c r="K13" i="6" s="1"/>
  <c r="X13" i="6"/>
  <c r="H14" i="6"/>
  <c r="J14" i="6" s="1"/>
  <c r="X14" i="6"/>
  <c r="H15" i="6"/>
  <c r="J15" i="6" s="1"/>
  <c r="R15" i="6"/>
  <c r="X15" i="6"/>
  <c r="H16" i="6"/>
  <c r="J16" i="6" s="1"/>
  <c r="K16" i="6" s="1"/>
  <c r="R16" i="6"/>
  <c r="X16" i="6"/>
  <c r="H17" i="6"/>
  <c r="J17" i="6" s="1"/>
  <c r="K17" i="6" s="1"/>
  <c r="R17" i="6"/>
  <c r="X17" i="6"/>
  <c r="H18" i="6"/>
  <c r="J18" i="6" s="1"/>
  <c r="R18" i="6"/>
  <c r="X18" i="6"/>
  <c r="H19" i="6"/>
  <c r="J19" i="6" s="1"/>
  <c r="R19" i="6"/>
  <c r="X19" i="6"/>
  <c r="H20" i="6"/>
  <c r="J20" i="6" s="1"/>
  <c r="K20" i="6" s="1"/>
  <c r="R20" i="6"/>
  <c r="X20" i="6"/>
  <c r="H21" i="6"/>
  <c r="J21" i="6" s="1"/>
  <c r="K21" i="6" s="1"/>
  <c r="R21" i="6"/>
  <c r="X21" i="6"/>
  <c r="H22" i="6"/>
  <c r="J22" i="6" s="1"/>
  <c r="K22" i="6" s="1"/>
  <c r="R22" i="6"/>
  <c r="X22" i="6"/>
  <c r="H23" i="6"/>
  <c r="J23" i="6" s="1"/>
  <c r="K23" i="6" s="1"/>
  <c r="R23" i="6"/>
  <c r="X23" i="6"/>
  <c r="H24" i="6"/>
  <c r="J24" i="6" s="1"/>
  <c r="K24" i="6" s="1"/>
  <c r="X24" i="6"/>
  <c r="H25" i="6"/>
  <c r="J25" i="6" s="1"/>
  <c r="R25" i="6"/>
  <c r="X25" i="6"/>
  <c r="H26" i="6"/>
  <c r="J26" i="6" s="1"/>
  <c r="K26" i="6" s="1"/>
  <c r="R26" i="6"/>
  <c r="H28" i="6"/>
  <c r="J28" i="6" s="1"/>
  <c r="K28" i="6" s="1"/>
  <c r="R28" i="6"/>
  <c r="H29" i="6"/>
  <c r="J29" i="6" s="1"/>
  <c r="K29" i="6" s="1"/>
  <c r="R29" i="6"/>
  <c r="H30" i="6"/>
  <c r="J30" i="6" s="1"/>
  <c r="K30" i="6" s="1"/>
  <c r="R30" i="6"/>
  <c r="X30" i="6"/>
  <c r="H31" i="6"/>
  <c r="J31" i="6" s="1"/>
  <c r="K31" i="6" s="1"/>
  <c r="R31" i="6"/>
  <c r="X31" i="6"/>
  <c r="H32" i="6"/>
  <c r="J32" i="6" s="1"/>
  <c r="R32" i="6"/>
  <c r="X32" i="6"/>
  <c r="H33" i="6"/>
  <c r="J33" i="6" s="1"/>
  <c r="R33" i="6"/>
  <c r="X33" i="6"/>
  <c r="H34" i="6"/>
  <c r="J34" i="6" s="1"/>
  <c r="K34" i="6" s="1"/>
  <c r="R34" i="6"/>
  <c r="X34" i="6"/>
  <c r="H35" i="6"/>
  <c r="J35" i="6" s="1"/>
  <c r="R35" i="6"/>
  <c r="X35" i="6"/>
  <c r="H36" i="6"/>
  <c r="J36" i="6" s="1"/>
  <c r="K36" i="6" s="1"/>
  <c r="R36" i="6"/>
  <c r="X36" i="6"/>
  <c r="H37" i="6"/>
  <c r="J37" i="6" s="1"/>
  <c r="K37" i="6" s="1"/>
  <c r="X37" i="6"/>
  <c r="H38" i="6"/>
  <c r="J38" i="6" s="1"/>
  <c r="K38" i="6" s="1"/>
  <c r="R38" i="6"/>
  <c r="X38" i="6"/>
  <c r="H39" i="6"/>
  <c r="J39" i="6" s="1"/>
  <c r="K39" i="6" s="1"/>
  <c r="R39" i="6"/>
  <c r="X39" i="6"/>
  <c r="J40" i="6"/>
  <c r="R40" i="6"/>
  <c r="X40" i="6"/>
  <c r="H42" i="6"/>
  <c r="J42" i="6" s="1"/>
  <c r="K42" i="6" s="1"/>
  <c r="R42" i="6"/>
  <c r="X42" i="6"/>
  <c r="H43" i="6"/>
  <c r="J43" i="6" s="1"/>
  <c r="K43" i="6" s="1"/>
  <c r="R43" i="6"/>
  <c r="X43" i="6"/>
  <c r="H44" i="6"/>
  <c r="J44" i="6" s="1"/>
  <c r="R44" i="6"/>
  <c r="X44" i="6"/>
  <c r="H70" i="6"/>
  <c r="J70" i="6" s="1"/>
  <c r="R70" i="6"/>
  <c r="X70" i="6"/>
  <c r="H45" i="6"/>
  <c r="J45" i="6" s="1"/>
  <c r="K45" i="6" s="1"/>
  <c r="R45" i="6"/>
  <c r="X45" i="6"/>
  <c r="H46" i="6"/>
  <c r="J46" i="6" s="1"/>
  <c r="K46" i="6" s="1"/>
  <c r="X46" i="6"/>
  <c r="H47" i="6"/>
  <c r="J47" i="6" s="1"/>
  <c r="K47" i="6" s="1"/>
  <c r="R47" i="6"/>
  <c r="X47" i="6"/>
  <c r="H48" i="6"/>
  <c r="J48" i="6" s="1"/>
  <c r="R48" i="6"/>
  <c r="X48" i="6"/>
  <c r="H49" i="6"/>
  <c r="J49" i="6" s="1"/>
  <c r="K49" i="6" s="1"/>
  <c r="X49" i="6"/>
  <c r="H50" i="6"/>
  <c r="J50" i="6" s="1"/>
  <c r="R50" i="6"/>
  <c r="X50" i="6"/>
  <c r="H51" i="6"/>
  <c r="J51" i="6" s="1"/>
  <c r="K51" i="6" s="1"/>
  <c r="R51" i="6"/>
  <c r="X51" i="6"/>
  <c r="H52" i="6"/>
  <c r="J52" i="6" s="1"/>
  <c r="K52" i="6" s="1"/>
  <c r="R52" i="6"/>
  <c r="X52" i="6"/>
  <c r="H53" i="6"/>
  <c r="J53" i="6" s="1"/>
  <c r="K53" i="6" s="1"/>
  <c r="X53" i="6"/>
  <c r="H54" i="6"/>
  <c r="J54" i="6" s="1"/>
  <c r="X54" i="6"/>
  <c r="H55" i="6"/>
  <c r="J55" i="6" s="1"/>
  <c r="R55" i="6"/>
  <c r="X55" i="6"/>
  <c r="H56" i="6"/>
  <c r="J56" i="6" s="1"/>
  <c r="K56" i="6" s="1"/>
  <c r="R56" i="6"/>
  <c r="X56" i="6"/>
  <c r="H57" i="6"/>
  <c r="J57" i="6" s="1"/>
  <c r="K57" i="6" s="1"/>
  <c r="R57" i="6"/>
  <c r="X57" i="6"/>
  <c r="H58" i="6"/>
  <c r="J58" i="6" s="1"/>
  <c r="K58" i="6" s="1"/>
  <c r="R58" i="6"/>
  <c r="X58" i="6"/>
  <c r="H59" i="6"/>
  <c r="J59" i="6" s="1"/>
  <c r="R59" i="6"/>
  <c r="X59" i="6"/>
  <c r="H62" i="6"/>
  <c r="J62" i="6" s="1"/>
  <c r="R62" i="6"/>
  <c r="X62" i="6"/>
  <c r="H63" i="6"/>
  <c r="J63" i="6" s="1"/>
  <c r="K63" i="6" s="1"/>
  <c r="R63" i="6"/>
  <c r="X63" i="6"/>
  <c r="H64" i="6"/>
  <c r="J64" i="6" s="1"/>
  <c r="R64" i="6"/>
  <c r="X64" i="6"/>
  <c r="H65" i="6"/>
  <c r="J65" i="6" s="1"/>
  <c r="K65" i="6" s="1"/>
  <c r="R65" i="6"/>
  <c r="X65" i="6"/>
  <c r="H66" i="6"/>
  <c r="J66" i="6" s="1"/>
  <c r="K66" i="6" s="1"/>
  <c r="X66" i="6"/>
  <c r="H67" i="6"/>
  <c r="J67" i="6" s="1"/>
  <c r="K67" i="6" s="1"/>
  <c r="X67" i="6"/>
  <c r="H68" i="6"/>
  <c r="J68" i="6" s="1"/>
  <c r="K68" i="6" s="1"/>
  <c r="R68" i="6"/>
  <c r="X68" i="6"/>
  <c r="H69" i="6"/>
  <c r="J69" i="6" s="1"/>
  <c r="R69" i="6"/>
  <c r="X69" i="6"/>
  <c r="H71" i="6"/>
  <c r="J71" i="6" s="1"/>
  <c r="R71" i="6"/>
  <c r="X71" i="6"/>
  <c r="H72" i="6"/>
  <c r="J72" i="6" s="1"/>
  <c r="K72" i="6" s="1"/>
  <c r="R72" i="6"/>
  <c r="X72" i="6"/>
  <c r="H73" i="6"/>
  <c r="J73" i="6" s="1"/>
  <c r="K73" i="6" s="1"/>
  <c r="R73" i="6"/>
  <c r="X73" i="6"/>
  <c r="H74" i="6"/>
  <c r="J74" i="6" s="1"/>
  <c r="K74" i="6" s="1"/>
  <c r="R74" i="6"/>
  <c r="X74" i="6"/>
  <c r="H75" i="6"/>
  <c r="J75" i="6" s="1"/>
  <c r="R75" i="6"/>
  <c r="X75" i="6"/>
  <c r="H76" i="6"/>
  <c r="J76" i="6" s="1"/>
  <c r="R76" i="6"/>
  <c r="X76" i="6"/>
  <c r="H77" i="6"/>
  <c r="J77" i="6" s="1"/>
  <c r="K77" i="6" s="1"/>
  <c r="R77" i="6"/>
  <c r="X77" i="6"/>
  <c r="H78" i="6"/>
  <c r="J78" i="6" s="1"/>
  <c r="R78" i="6"/>
  <c r="X78" i="6"/>
  <c r="H89" i="6"/>
  <c r="J89" i="6" s="1"/>
  <c r="K89" i="6" s="1"/>
  <c r="R89" i="6"/>
  <c r="X89" i="6"/>
  <c r="H80" i="6"/>
  <c r="J80" i="6" s="1"/>
  <c r="K80" i="6" s="1"/>
  <c r="R80" i="6"/>
  <c r="X80" i="6"/>
  <c r="H81" i="6"/>
  <c r="J81" i="6" s="1"/>
  <c r="K81" i="6" s="1"/>
  <c r="R81" i="6"/>
  <c r="X81" i="6"/>
  <c r="H82" i="6"/>
  <c r="J82" i="6" s="1"/>
  <c r="K82" i="6" s="1"/>
  <c r="R82" i="6"/>
  <c r="X82" i="6"/>
  <c r="H60" i="6"/>
  <c r="J60" i="6" s="1"/>
  <c r="K60" i="6" s="1"/>
  <c r="X60" i="6"/>
  <c r="H86" i="6"/>
  <c r="J86" i="6" s="1"/>
  <c r="K86" i="6" s="1"/>
  <c r="R86" i="6"/>
  <c r="X86" i="6"/>
  <c r="H87" i="6"/>
  <c r="J87" i="6" s="1"/>
  <c r="K87" i="6" s="1"/>
  <c r="R87" i="6"/>
  <c r="X87" i="6"/>
  <c r="H88" i="6"/>
  <c r="J88" i="6" s="1"/>
  <c r="R88" i="6"/>
  <c r="X88" i="6"/>
  <c r="H83" i="6"/>
  <c r="J83" i="6" s="1"/>
  <c r="K83" i="6" s="1"/>
  <c r="R83" i="6"/>
  <c r="X83" i="6"/>
  <c r="H90" i="6"/>
  <c r="J90" i="6" s="1"/>
  <c r="R90" i="6"/>
  <c r="X90" i="6"/>
  <c r="H91" i="6"/>
  <c r="J91" i="6" s="1"/>
  <c r="K91" i="6" s="1"/>
  <c r="R91" i="6"/>
  <c r="X91" i="6"/>
  <c r="H92" i="6"/>
  <c r="J92" i="6" s="1"/>
  <c r="R92" i="6"/>
  <c r="X92" i="6"/>
  <c r="H93" i="6"/>
  <c r="J93" i="6" s="1"/>
  <c r="K93" i="6" s="1"/>
  <c r="R93" i="6"/>
  <c r="X93" i="6"/>
  <c r="H94" i="6"/>
  <c r="J94" i="6" s="1"/>
  <c r="K94" i="6" s="1"/>
  <c r="R94" i="6"/>
  <c r="X94" i="6"/>
  <c r="H95" i="6"/>
  <c r="J95" i="6" s="1"/>
  <c r="R95" i="6"/>
  <c r="X95" i="6"/>
  <c r="H96" i="6"/>
  <c r="J96" i="6" s="1"/>
  <c r="K96" i="6" s="1"/>
  <c r="R96" i="6"/>
  <c r="X96" i="6"/>
  <c r="H97" i="6"/>
  <c r="J97" i="6" s="1"/>
  <c r="R97" i="6"/>
  <c r="X97" i="6"/>
  <c r="H98" i="6"/>
  <c r="J98" i="6" s="1"/>
  <c r="K98" i="6" s="1"/>
  <c r="R98" i="6"/>
  <c r="X98" i="6"/>
  <c r="H99" i="6"/>
  <c r="J99" i="6" s="1"/>
  <c r="R99" i="6"/>
  <c r="X99" i="6"/>
  <c r="H100" i="6"/>
  <c r="J100" i="6" s="1"/>
  <c r="K100" i="6" s="1"/>
  <c r="R100" i="6"/>
  <c r="H101" i="6"/>
  <c r="J101" i="6" s="1"/>
  <c r="R101" i="6"/>
  <c r="H107" i="6"/>
  <c r="J107" i="6" s="1"/>
  <c r="K107" i="6" s="1"/>
  <c r="H108" i="6"/>
  <c r="J108" i="6" s="1"/>
  <c r="R108" i="6"/>
  <c r="X108" i="6"/>
  <c r="H109" i="6"/>
  <c r="J109" i="6" s="1"/>
  <c r="R109" i="6"/>
  <c r="X109" i="6"/>
  <c r="H110" i="6"/>
  <c r="J110" i="6" s="1"/>
  <c r="R110" i="6"/>
  <c r="X110" i="6"/>
  <c r="H111" i="6"/>
  <c r="J111" i="6" s="1"/>
  <c r="K111" i="6" s="1"/>
  <c r="R111" i="6"/>
  <c r="X111" i="6"/>
  <c r="H112" i="6"/>
  <c r="J112" i="6" s="1"/>
  <c r="R112" i="6"/>
  <c r="X112" i="6"/>
  <c r="H113" i="6"/>
  <c r="J113" i="6" s="1"/>
  <c r="K113" i="6" s="1"/>
  <c r="R113" i="6"/>
  <c r="X113" i="6"/>
  <c r="H114" i="6"/>
  <c r="J114" i="6" s="1"/>
  <c r="R114" i="6"/>
  <c r="X114" i="6"/>
  <c r="H115" i="6"/>
  <c r="J115" i="6" s="1"/>
  <c r="K115" i="6" s="1"/>
  <c r="R115" i="6"/>
  <c r="X115" i="6"/>
  <c r="H116" i="6"/>
  <c r="J116" i="6" s="1"/>
  <c r="R116" i="6"/>
  <c r="X116" i="6"/>
  <c r="H117" i="6"/>
  <c r="J117" i="6" s="1"/>
  <c r="K117" i="6" s="1"/>
  <c r="R117" i="6"/>
  <c r="X117" i="6"/>
  <c r="H118" i="6"/>
  <c r="J118" i="6" s="1"/>
  <c r="R118" i="6"/>
  <c r="X118" i="6"/>
  <c r="H119" i="6"/>
  <c r="J119" i="6" s="1"/>
  <c r="K119" i="6" s="1"/>
  <c r="R119" i="6"/>
  <c r="X119" i="6"/>
  <c r="H120" i="6"/>
  <c r="J120" i="6" s="1"/>
  <c r="R120" i="6"/>
  <c r="X120" i="6"/>
  <c r="H121" i="6"/>
  <c r="J121" i="6" s="1"/>
  <c r="R121" i="6"/>
  <c r="X121" i="6"/>
  <c r="H122" i="6"/>
  <c r="J122" i="6" s="1"/>
  <c r="K122" i="6" s="1"/>
  <c r="R122" i="6"/>
  <c r="X122" i="6"/>
  <c r="H123" i="6"/>
  <c r="J123" i="6" s="1"/>
  <c r="R123" i="6"/>
  <c r="X123" i="6"/>
  <c r="H124" i="6"/>
  <c r="J124" i="6" s="1"/>
  <c r="R124" i="6"/>
  <c r="X124" i="6"/>
  <c r="H125" i="6"/>
  <c r="J125" i="6" s="1"/>
  <c r="K125" i="6" s="1"/>
  <c r="R125" i="6"/>
  <c r="X125" i="6"/>
  <c r="H126" i="6"/>
  <c r="J126" i="6" s="1"/>
  <c r="R126" i="6"/>
  <c r="X126" i="6"/>
  <c r="H127" i="6"/>
  <c r="J127" i="6" s="1"/>
  <c r="R127" i="6"/>
  <c r="X127" i="6"/>
  <c r="H128" i="6"/>
  <c r="J128" i="6" s="1"/>
  <c r="R128" i="6"/>
  <c r="X128" i="6"/>
  <c r="H129" i="6"/>
  <c r="J129" i="6" s="1"/>
  <c r="R129" i="6"/>
  <c r="X129" i="6"/>
  <c r="H130" i="6"/>
  <c r="J130" i="6" s="1"/>
  <c r="K130" i="6" s="1"/>
  <c r="R130" i="6"/>
  <c r="X130" i="6"/>
  <c r="H131" i="6"/>
  <c r="J131" i="6" s="1"/>
  <c r="K131" i="6" s="1"/>
  <c r="R131" i="6"/>
  <c r="X131" i="6"/>
  <c r="H132" i="6"/>
  <c r="I132" i="6"/>
  <c r="R132" i="6"/>
  <c r="X132" i="6"/>
  <c r="H133" i="6"/>
  <c r="J133" i="6" s="1"/>
  <c r="R133" i="6"/>
  <c r="X133" i="6"/>
  <c r="H134" i="6"/>
  <c r="J134" i="6" s="1"/>
  <c r="K134" i="6" s="1"/>
  <c r="R134" i="6"/>
  <c r="X134" i="6"/>
  <c r="H135" i="6"/>
  <c r="J135" i="6" s="1"/>
  <c r="K135" i="6" s="1"/>
  <c r="R135" i="6"/>
  <c r="X135" i="6"/>
  <c r="H136" i="6"/>
  <c r="J136" i="6" s="1"/>
  <c r="R136" i="6"/>
  <c r="X136" i="6"/>
  <c r="H137" i="6"/>
  <c r="J137" i="6" s="1"/>
  <c r="R137" i="6"/>
  <c r="X137" i="6"/>
  <c r="H138" i="6"/>
  <c r="J138" i="6" s="1"/>
  <c r="R138" i="6"/>
  <c r="X138" i="6"/>
  <c r="H139" i="6"/>
  <c r="J139" i="6" s="1"/>
  <c r="K139" i="6" s="1"/>
  <c r="R139" i="6"/>
  <c r="X139" i="6"/>
  <c r="H140" i="6"/>
  <c r="J140" i="6" s="1"/>
  <c r="R140" i="6"/>
  <c r="X140" i="6"/>
  <c r="H141" i="6"/>
  <c r="J141" i="6" s="1"/>
  <c r="R141" i="6"/>
  <c r="X141" i="6"/>
  <c r="H142" i="6"/>
  <c r="J142" i="6" s="1"/>
  <c r="K142" i="6" s="1"/>
  <c r="R142" i="6"/>
  <c r="X142" i="6"/>
  <c r="H143" i="6"/>
  <c r="J143" i="6" s="1"/>
  <c r="R143" i="6"/>
  <c r="X143" i="6"/>
  <c r="H144" i="6"/>
  <c r="J144" i="6" s="1"/>
  <c r="R144" i="6"/>
  <c r="X144" i="6"/>
  <c r="H145" i="6"/>
  <c r="J145" i="6" s="1"/>
  <c r="R145" i="6"/>
  <c r="X145" i="6"/>
  <c r="H146" i="6"/>
  <c r="J146" i="6" s="1"/>
  <c r="K146" i="6" s="1"/>
  <c r="R146" i="6"/>
  <c r="X146" i="6"/>
  <c r="H147" i="6"/>
  <c r="J147" i="6" s="1"/>
  <c r="R147" i="6"/>
  <c r="X147" i="6"/>
  <c r="H150" i="6"/>
  <c r="J150" i="6" s="1"/>
  <c r="R150" i="6"/>
  <c r="H151" i="6"/>
  <c r="J151" i="6" s="1"/>
  <c r="R151" i="6"/>
  <c r="X151" i="6"/>
  <c r="H152" i="6"/>
  <c r="J152" i="6" s="1"/>
  <c r="K152" i="6" s="1"/>
  <c r="R152" i="6"/>
  <c r="X152" i="6"/>
  <c r="H153" i="6"/>
  <c r="J153" i="6" s="1"/>
  <c r="K153" i="6" s="1"/>
  <c r="R153" i="6"/>
  <c r="X153" i="6"/>
  <c r="H154" i="6"/>
  <c r="J154" i="6" s="1"/>
  <c r="K154" i="6" s="1"/>
  <c r="R154" i="6"/>
  <c r="X154" i="6"/>
  <c r="H155" i="6"/>
  <c r="J155" i="6" s="1"/>
  <c r="K155" i="6" s="1"/>
  <c r="R155" i="6"/>
  <c r="X155" i="6"/>
  <c r="H156" i="6"/>
  <c r="J156" i="6" s="1"/>
  <c r="R156" i="6"/>
  <c r="X156" i="6"/>
  <c r="H157" i="6"/>
  <c r="J157" i="6" s="1"/>
  <c r="K157" i="6" s="1"/>
  <c r="R157" i="6"/>
  <c r="X157" i="6"/>
  <c r="H158" i="6"/>
  <c r="J158" i="6" s="1"/>
  <c r="R158" i="6"/>
  <c r="X158" i="6"/>
  <c r="H159" i="6"/>
  <c r="J159" i="6" s="1"/>
  <c r="K159" i="6" s="1"/>
  <c r="R159" i="6"/>
  <c r="X159" i="6"/>
  <c r="H160" i="6"/>
  <c r="J160" i="6" s="1"/>
  <c r="R160" i="6"/>
  <c r="X160" i="6"/>
  <c r="H161" i="6"/>
  <c r="J161" i="6" s="1"/>
  <c r="K161" i="6" s="1"/>
  <c r="R161" i="6"/>
  <c r="X161" i="6"/>
  <c r="H162" i="6"/>
  <c r="J162" i="6" s="1"/>
  <c r="R162" i="6"/>
  <c r="X162" i="6"/>
  <c r="H163" i="6"/>
  <c r="J163" i="6" s="1"/>
  <c r="K163" i="6" s="1"/>
  <c r="R163" i="6"/>
  <c r="X163" i="6"/>
  <c r="H164" i="6"/>
  <c r="J164" i="6" s="1"/>
  <c r="K164" i="6" s="1"/>
  <c r="R164" i="6"/>
  <c r="X164" i="6"/>
  <c r="H165" i="6"/>
  <c r="J165" i="6" s="1"/>
  <c r="K165" i="6" s="1"/>
  <c r="R165" i="6"/>
  <c r="X165" i="6"/>
  <c r="H166" i="6"/>
  <c r="J166" i="6" s="1"/>
  <c r="K166" i="6" s="1"/>
  <c r="R166" i="6"/>
  <c r="X166" i="6"/>
  <c r="H167" i="6"/>
  <c r="J167" i="6" s="1"/>
  <c r="K167" i="6" s="1"/>
  <c r="R167" i="6"/>
  <c r="X167" i="6"/>
  <c r="H168" i="6"/>
  <c r="J168" i="6" s="1"/>
  <c r="R168" i="6"/>
  <c r="X168" i="6"/>
  <c r="H169" i="6"/>
  <c r="J169" i="6" s="1"/>
  <c r="R169" i="6"/>
  <c r="X169" i="6"/>
  <c r="H170" i="6"/>
  <c r="J170" i="6" s="1"/>
  <c r="R170" i="6"/>
  <c r="X170" i="6"/>
  <c r="H171" i="6"/>
  <c r="J171" i="6" s="1"/>
  <c r="R171" i="6"/>
  <c r="X171" i="6"/>
  <c r="H172" i="6"/>
  <c r="J172" i="6" s="1"/>
  <c r="K172" i="6" s="1"/>
  <c r="R172" i="6"/>
  <c r="X172" i="6"/>
  <c r="H173" i="6"/>
  <c r="J173" i="6" s="1"/>
  <c r="R173" i="6"/>
  <c r="X173" i="6"/>
  <c r="H174" i="6"/>
  <c r="J174" i="6" s="1"/>
  <c r="R174" i="6"/>
  <c r="X174" i="6"/>
  <c r="H175" i="6"/>
  <c r="J175" i="6" s="1"/>
  <c r="R175" i="6"/>
  <c r="X175" i="6"/>
  <c r="H176" i="6"/>
  <c r="J176" i="6" s="1"/>
  <c r="R176" i="6"/>
  <c r="X176" i="6"/>
  <c r="H177" i="6"/>
  <c r="J177" i="6" s="1"/>
  <c r="R177" i="6"/>
  <c r="X177" i="6"/>
  <c r="H79" i="6"/>
  <c r="J79" i="6" s="1"/>
  <c r="K79" i="6" s="1"/>
  <c r="R79" i="6"/>
  <c r="X79" i="6"/>
  <c r="H178" i="6"/>
  <c r="J178" i="6" s="1"/>
  <c r="R178" i="6"/>
  <c r="X178" i="6"/>
  <c r="H179" i="6"/>
  <c r="J179" i="6" s="1"/>
  <c r="K179" i="6" s="1"/>
  <c r="R179" i="6"/>
  <c r="X179" i="6"/>
  <c r="H180" i="6"/>
  <c r="J180" i="6" s="1"/>
  <c r="R180" i="6"/>
  <c r="X180" i="6"/>
  <c r="H181" i="6"/>
  <c r="J181" i="6" s="1"/>
  <c r="K181" i="6" s="1"/>
  <c r="R181" i="6"/>
  <c r="X181" i="6"/>
  <c r="H182" i="6"/>
  <c r="J182" i="6" s="1"/>
  <c r="R182" i="6"/>
  <c r="X182" i="6"/>
  <c r="H183" i="6"/>
  <c r="J183" i="6" s="1"/>
  <c r="R183" i="6"/>
  <c r="X183" i="6"/>
  <c r="AC183" i="6"/>
  <c r="H186" i="6"/>
  <c r="J186" i="6" s="1"/>
  <c r="R186" i="6"/>
  <c r="H187" i="6"/>
  <c r="J187" i="6" s="1"/>
  <c r="R187" i="6"/>
  <c r="X187" i="6"/>
  <c r="R188" i="6"/>
  <c r="X188" i="6"/>
  <c r="R189" i="6"/>
  <c r="X189" i="6"/>
  <c r="R190" i="6"/>
  <c r="X190" i="6"/>
  <c r="I191" i="6"/>
  <c r="R191" i="6"/>
  <c r="X191" i="6"/>
  <c r="H192" i="6"/>
  <c r="J192" i="6" s="1"/>
  <c r="K192" i="6" s="1"/>
  <c r="R192" i="6"/>
  <c r="X192" i="6"/>
  <c r="H193" i="6"/>
  <c r="J193" i="6" s="1"/>
  <c r="R193" i="6"/>
  <c r="X193" i="6"/>
  <c r="H194" i="6"/>
  <c r="J194" i="6" s="1"/>
  <c r="R194" i="6"/>
  <c r="X194" i="6"/>
  <c r="H195" i="6"/>
  <c r="J195" i="6" s="1"/>
  <c r="R195" i="6"/>
  <c r="X195" i="6"/>
  <c r="H196" i="6"/>
  <c r="J196" i="6" s="1"/>
  <c r="R196" i="6"/>
  <c r="X196" i="6"/>
  <c r="H197" i="6"/>
  <c r="J197" i="6" s="1"/>
  <c r="K197" i="6" s="1"/>
  <c r="R197" i="6"/>
  <c r="X197" i="6"/>
  <c r="H198" i="6"/>
  <c r="J198" i="6" s="1"/>
  <c r="R198" i="6"/>
  <c r="X198" i="6"/>
  <c r="H199" i="6"/>
  <c r="J199" i="6" s="1"/>
  <c r="K199" i="6" s="1"/>
  <c r="R199" i="6"/>
  <c r="X199" i="6"/>
  <c r="H200" i="6"/>
  <c r="J200" i="6" s="1"/>
  <c r="K200" i="6" s="1"/>
  <c r="R200" i="6"/>
  <c r="X200" i="6"/>
  <c r="H201" i="6"/>
  <c r="J201" i="6" s="1"/>
  <c r="K201" i="6" s="1"/>
  <c r="R201" i="6"/>
  <c r="X201" i="6"/>
  <c r="H202" i="6"/>
  <c r="J202" i="6" s="1"/>
  <c r="R202" i="6"/>
  <c r="X202" i="6"/>
  <c r="H203" i="6"/>
  <c r="J203" i="6" s="1"/>
  <c r="R203" i="6"/>
  <c r="X203" i="6"/>
  <c r="H204" i="6"/>
  <c r="J204" i="6" s="1"/>
  <c r="K204" i="6" s="1"/>
  <c r="R204" i="6"/>
  <c r="X204" i="6"/>
  <c r="H205" i="6"/>
  <c r="J205" i="6" s="1"/>
  <c r="R205" i="6"/>
  <c r="X205" i="6"/>
  <c r="H206" i="6"/>
  <c r="J206" i="6" s="1"/>
  <c r="K206" i="6" s="1"/>
  <c r="R206" i="6"/>
  <c r="X206" i="6"/>
  <c r="H207" i="6"/>
  <c r="J207" i="6" s="1"/>
  <c r="K207" i="6" s="1"/>
  <c r="R207" i="6"/>
  <c r="X207" i="6"/>
  <c r="H208" i="6"/>
  <c r="J208" i="6" s="1"/>
  <c r="R208" i="6"/>
  <c r="X208" i="6"/>
  <c r="H209" i="6"/>
  <c r="J209" i="6" s="1"/>
  <c r="R209" i="6"/>
  <c r="X209" i="6"/>
  <c r="H210" i="6"/>
  <c r="J210" i="6" s="1"/>
  <c r="K210" i="6" s="1"/>
  <c r="R210" i="6"/>
  <c r="X210" i="6"/>
  <c r="H211" i="6"/>
  <c r="J211" i="6" s="1"/>
  <c r="K211" i="6" s="1"/>
  <c r="R211" i="6"/>
  <c r="X211" i="6"/>
  <c r="H212" i="6"/>
  <c r="J212" i="6" s="1"/>
  <c r="K212" i="6" s="1"/>
  <c r="R212" i="6"/>
  <c r="H214" i="6"/>
  <c r="J214" i="6" s="1"/>
  <c r="R214" i="6"/>
  <c r="H215" i="6"/>
  <c r="I215" i="6"/>
  <c r="R215" i="6"/>
  <c r="X215" i="6"/>
  <c r="H216" i="6"/>
  <c r="J216" i="6" s="1"/>
  <c r="K216" i="6" s="1"/>
  <c r="R216" i="6"/>
  <c r="X216" i="6"/>
  <c r="H217" i="6"/>
  <c r="J217" i="6" s="1"/>
  <c r="R217" i="6"/>
  <c r="X217" i="6"/>
  <c r="H218" i="6"/>
  <c r="J218" i="6" s="1"/>
  <c r="K218" i="6" s="1"/>
  <c r="R218" i="6"/>
  <c r="X218" i="6"/>
  <c r="H219" i="6"/>
  <c r="J219" i="6" s="1"/>
  <c r="R219" i="6"/>
  <c r="X219" i="6"/>
  <c r="H220" i="6"/>
  <c r="J220" i="6" s="1"/>
  <c r="K220" i="6" s="1"/>
  <c r="R220" i="6"/>
  <c r="X220" i="6"/>
  <c r="H221" i="6"/>
  <c r="J221" i="6" s="1"/>
  <c r="R221" i="6"/>
  <c r="X221" i="6"/>
  <c r="H61" i="6"/>
  <c r="J61" i="6" s="1"/>
  <c r="R61" i="6"/>
  <c r="X61" i="6"/>
  <c r="H222" i="6"/>
  <c r="J222" i="6" s="1"/>
  <c r="R222" i="6"/>
  <c r="X222" i="6"/>
  <c r="H223" i="6"/>
  <c r="J223" i="6" s="1"/>
  <c r="K223" i="6" s="1"/>
  <c r="R223" i="6"/>
  <c r="X223" i="6"/>
  <c r="H224" i="6"/>
  <c r="J224" i="6" s="1"/>
  <c r="R224" i="6"/>
  <c r="X224" i="6"/>
  <c r="H225" i="6"/>
  <c r="J225" i="6" s="1"/>
  <c r="K225" i="6" s="1"/>
  <c r="R225" i="6"/>
  <c r="X225" i="6"/>
  <c r="H226" i="6"/>
  <c r="J226" i="6" s="1"/>
  <c r="R226" i="6"/>
  <c r="X226" i="6"/>
  <c r="H227" i="6"/>
  <c r="J227" i="6" s="1"/>
  <c r="K227" i="6" s="1"/>
  <c r="R227" i="6"/>
  <c r="X227" i="6"/>
  <c r="H228" i="6"/>
  <c r="J228" i="6" s="1"/>
  <c r="R228" i="6"/>
  <c r="X228" i="6"/>
  <c r="H229" i="6"/>
  <c r="J229" i="6" s="1"/>
  <c r="K229" i="6" s="1"/>
  <c r="R229" i="6"/>
  <c r="X229" i="6"/>
  <c r="H230" i="6"/>
  <c r="J230" i="6" s="1"/>
  <c r="R230" i="6"/>
  <c r="X230" i="6"/>
  <c r="H231" i="6"/>
  <c r="J231" i="6" s="1"/>
  <c r="K231" i="6" s="1"/>
  <c r="R231" i="6"/>
  <c r="X231" i="6"/>
  <c r="H232" i="6"/>
  <c r="J232" i="6" s="1"/>
  <c r="R232" i="6"/>
  <c r="X232" i="6"/>
  <c r="H233" i="6"/>
  <c r="J233" i="6" s="1"/>
  <c r="R233" i="6"/>
  <c r="X233" i="6"/>
  <c r="H234" i="6"/>
  <c r="J234" i="6" s="1"/>
  <c r="R234" i="6"/>
  <c r="X234" i="6"/>
  <c r="H235" i="6"/>
  <c r="J235" i="6" s="1"/>
  <c r="K235" i="6" s="1"/>
  <c r="R235" i="6"/>
  <c r="X235" i="6"/>
  <c r="H236" i="6"/>
  <c r="J236" i="6" s="1"/>
  <c r="R236" i="6"/>
  <c r="X236" i="6"/>
  <c r="H237" i="6"/>
  <c r="J237" i="6" s="1"/>
  <c r="K237" i="6" s="1"/>
  <c r="R237" i="6"/>
  <c r="X237" i="6"/>
  <c r="H238" i="6"/>
  <c r="J238" i="6" s="1"/>
  <c r="K238" i="6" s="1"/>
  <c r="R238" i="6"/>
  <c r="X238" i="6"/>
  <c r="H239" i="6"/>
  <c r="J239" i="6" s="1"/>
  <c r="R239" i="6"/>
  <c r="X239" i="6"/>
  <c r="H240" i="6"/>
  <c r="J240" i="6" s="1"/>
  <c r="R240" i="6"/>
  <c r="X240" i="6"/>
  <c r="H241" i="6"/>
  <c r="J241" i="6" s="1"/>
  <c r="K241" i="6" s="1"/>
  <c r="R241" i="6"/>
  <c r="H244" i="6"/>
  <c r="J244" i="6" s="1"/>
  <c r="K244" i="6" s="1"/>
  <c r="H245" i="6"/>
  <c r="J245" i="6" s="1"/>
  <c r="K245" i="6" s="1"/>
  <c r="R245" i="6"/>
  <c r="X245" i="6"/>
  <c r="H246" i="6"/>
  <c r="J246" i="6" s="1"/>
  <c r="K246" i="6" s="1"/>
  <c r="R246" i="6"/>
  <c r="X246" i="6"/>
  <c r="H247" i="6"/>
  <c r="J247" i="6" s="1"/>
  <c r="R247" i="6"/>
  <c r="X247" i="6"/>
  <c r="H248" i="6"/>
  <c r="J248" i="6" s="1"/>
  <c r="R248" i="6"/>
  <c r="X248" i="6"/>
  <c r="H249" i="6"/>
  <c r="J249" i="6" s="1"/>
  <c r="R249" i="6"/>
  <c r="X249" i="6"/>
  <c r="H250" i="6"/>
  <c r="J250" i="6" s="1"/>
  <c r="K250" i="6" s="1"/>
  <c r="R250" i="6"/>
  <c r="X250" i="6"/>
  <c r="H251" i="6"/>
  <c r="J251" i="6" s="1"/>
  <c r="R251" i="6"/>
  <c r="X251" i="6"/>
  <c r="H252" i="6"/>
  <c r="J252" i="6" s="1"/>
  <c r="R252" i="6"/>
  <c r="X252" i="6"/>
  <c r="H253" i="6"/>
  <c r="J253" i="6" s="1"/>
  <c r="K253" i="6" s="1"/>
  <c r="R253" i="6"/>
  <c r="X253" i="6"/>
  <c r="H254" i="6"/>
  <c r="J254" i="6" s="1"/>
  <c r="K254" i="6" s="1"/>
  <c r="R254" i="6"/>
  <c r="X254" i="6"/>
  <c r="H255" i="6"/>
  <c r="J255" i="6" s="1"/>
  <c r="R255" i="6"/>
  <c r="X255" i="6"/>
  <c r="H256" i="6"/>
  <c r="J256" i="6" s="1"/>
  <c r="K256" i="6" s="1"/>
  <c r="R256" i="6"/>
  <c r="X256" i="6"/>
  <c r="H257" i="6"/>
  <c r="J257" i="6" s="1"/>
  <c r="R257" i="6"/>
  <c r="X257" i="6"/>
  <c r="H258" i="6"/>
  <c r="J258" i="6" s="1"/>
  <c r="K258" i="6" s="1"/>
  <c r="R258" i="6"/>
  <c r="X258" i="6"/>
  <c r="H259" i="6"/>
  <c r="J259" i="6" s="1"/>
  <c r="K259" i="6" s="1"/>
  <c r="R259" i="6"/>
  <c r="X259" i="6"/>
  <c r="H260" i="6"/>
  <c r="J260" i="6" s="1"/>
  <c r="K260" i="6" s="1"/>
  <c r="R260" i="6"/>
  <c r="X260" i="6"/>
  <c r="H261" i="6"/>
  <c r="J261" i="6" s="1"/>
  <c r="K261" i="6" s="1"/>
  <c r="R261" i="6"/>
  <c r="X261" i="6"/>
  <c r="H262" i="6"/>
  <c r="J262" i="6" s="1"/>
  <c r="R262" i="6"/>
  <c r="X262" i="6"/>
  <c r="H263" i="6"/>
  <c r="J263" i="6" s="1"/>
  <c r="R263" i="6"/>
  <c r="X263" i="6"/>
  <c r="H264" i="6"/>
  <c r="J264" i="6" s="1"/>
  <c r="R264" i="6"/>
  <c r="X264" i="6"/>
  <c r="H265" i="6"/>
  <c r="J265" i="6" s="1"/>
  <c r="R265" i="6"/>
  <c r="X265" i="6"/>
  <c r="H266" i="6"/>
  <c r="J266" i="6" s="1"/>
  <c r="K266" i="6" s="1"/>
  <c r="R266" i="6"/>
  <c r="X266" i="6"/>
  <c r="H267" i="6"/>
  <c r="J267" i="6" s="1"/>
  <c r="K267" i="6" s="1"/>
  <c r="R267" i="6"/>
  <c r="X267" i="6"/>
  <c r="H270" i="6"/>
  <c r="J270" i="6" s="1"/>
  <c r="K270" i="6" s="1"/>
  <c r="R270" i="6"/>
  <c r="X270" i="6"/>
  <c r="H271" i="6"/>
  <c r="J271" i="6" s="1"/>
  <c r="K271" i="6" s="1"/>
  <c r="R271" i="6"/>
  <c r="X271" i="6"/>
  <c r="H272" i="6"/>
  <c r="J272" i="6" s="1"/>
  <c r="R272" i="6"/>
  <c r="X272" i="6"/>
  <c r="H273" i="6"/>
  <c r="J273" i="6" s="1"/>
  <c r="R273" i="6"/>
  <c r="X273" i="6"/>
  <c r="H274" i="6"/>
  <c r="J274" i="6" s="1"/>
  <c r="K274" i="6" s="1"/>
  <c r="R274" i="6"/>
  <c r="X274" i="6"/>
  <c r="H275" i="6"/>
  <c r="J275" i="6" s="1"/>
  <c r="R275" i="6"/>
  <c r="X275" i="6"/>
  <c r="H276" i="6"/>
  <c r="J276" i="6" s="1"/>
  <c r="K276" i="6" s="1"/>
  <c r="R276" i="6"/>
  <c r="X276" i="6"/>
  <c r="H277" i="6"/>
  <c r="J277" i="6" s="1"/>
  <c r="K277" i="6" s="1"/>
  <c r="R277" i="6"/>
  <c r="X277" i="6"/>
  <c r="H278" i="6"/>
  <c r="J278" i="6" s="1"/>
  <c r="K278" i="6" s="1"/>
  <c r="R278" i="6"/>
  <c r="X278" i="6"/>
  <c r="F279" i="6"/>
  <c r="G279" i="6"/>
  <c r="N279" i="6"/>
  <c r="Q279" i="6"/>
  <c r="S279" i="6"/>
  <c r="H14" i="2"/>
  <c r="R14" i="2"/>
  <c r="T14" i="2"/>
  <c r="X14" i="2"/>
  <c r="F15" i="2"/>
  <c r="G15" i="2"/>
  <c r="I15" i="2"/>
  <c r="Q15" i="2"/>
  <c r="S15" i="2"/>
  <c r="I11" i="9"/>
  <c r="K11" i="9" s="1"/>
  <c r="O11" i="9"/>
  <c r="U11" i="9"/>
  <c r="W11" i="9"/>
  <c r="Z11" i="9"/>
  <c r="I12" i="9"/>
  <c r="K12" i="9" s="1"/>
  <c r="O12" i="9"/>
  <c r="U12" i="9"/>
  <c r="W12" i="9"/>
  <c r="Z12" i="9"/>
  <c r="I13" i="9"/>
  <c r="K13" i="9" s="1"/>
  <c r="O13" i="9"/>
  <c r="U13" i="9"/>
  <c r="W13" i="9"/>
  <c r="Z13" i="9"/>
  <c r="I14" i="9"/>
  <c r="K14" i="9" s="1"/>
  <c r="X14" i="9" s="1"/>
  <c r="O14" i="9"/>
  <c r="U14" i="9"/>
  <c r="W14" i="9"/>
  <c r="Z14" i="9"/>
  <c r="I15" i="9"/>
  <c r="K15" i="9" s="1"/>
  <c r="L15" i="9" s="1"/>
  <c r="N15" i="9"/>
  <c r="R15" i="9" s="1"/>
  <c r="S15" i="9" s="1"/>
  <c r="O15" i="9"/>
  <c r="U15" i="9"/>
  <c r="W15" i="9"/>
  <c r="Z15" i="9"/>
  <c r="I16" i="9"/>
  <c r="K16" i="9" s="1"/>
  <c r="X16" i="9" s="1"/>
  <c r="O16" i="9"/>
  <c r="U16" i="9"/>
  <c r="W16" i="9"/>
  <c r="Z16" i="9"/>
  <c r="I17" i="9"/>
  <c r="K17" i="9" s="1"/>
  <c r="X17" i="9" s="1"/>
  <c r="O17" i="9"/>
  <c r="U17" i="9"/>
  <c r="W17" i="9"/>
  <c r="Z17" i="9"/>
  <c r="I18" i="9"/>
  <c r="K18" i="9"/>
  <c r="X18" i="9" s="1"/>
  <c r="O18" i="9"/>
  <c r="U18" i="9"/>
  <c r="W18" i="9"/>
  <c r="Z18" i="9"/>
  <c r="I19" i="9"/>
  <c r="K19" i="9" s="1"/>
  <c r="O19" i="9"/>
  <c r="U19" i="9"/>
  <c r="W19" i="9"/>
  <c r="Z19" i="9"/>
  <c r="I20" i="9"/>
  <c r="K20" i="9" s="1"/>
  <c r="O20" i="9"/>
  <c r="U20" i="9"/>
  <c r="W20" i="9"/>
  <c r="Z20" i="9"/>
  <c r="I21" i="9"/>
  <c r="K21" i="9" s="1"/>
  <c r="O21" i="9"/>
  <c r="U21" i="9"/>
  <c r="W21" i="9"/>
  <c r="Z21" i="9"/>
  <c r="I22" i="9"/>
  <c r="K22" i="9" s="1"/>
  <c r="O22" i="9"/>
  <c r="U22" i="9"/>
  <c r="W22" i="9"/>
  <c r="Z22" i="9"/>
  <c r="I23" i="9"/>
  <c r="K23" i="9" s="1"/>
  <c r="L23" i="9" s="1"/>
  <c r="N23" i="9"/>
  <c r="R23" i="9" s="1"/>
  <c r="S23" i="9" s="1"/>
  <c r="Y23" i="9" s="1"/>
  <c r="O23" i="9"/>
  <c r="U23" i="9"/>
  <c r="W23" i="9"/>
  <c r="Z23" i="9"/>
  <c r="I24" i="9"/>
  <c r="K24" i="9" s="1"/>
  <c r="L24" i="9" s="1"/>
  <c r="N24" i="9" s="1"/>
  <c r="R24" i="9" s="1"/>
  <c r="S24" i="9" s="1"/>
  <c r="O24" i="9"/>
  <c r="U24" i="9"/>
  <c r="W24" i="9"/>
  <c r="Z24" i="9"/>
  <c r="I25" i="9"/>
  <c r="K25" i="9" s="1"/>
  <c r="X25" i="9" s="1"/>
  <c r="O25" i="9"/>
  <c r="U25" i="9"/>
  <c r="W25" i="9"/>
  <c r="Z25" i="9"/>
  <c r="I26" i="9"/>
  <c r="K26" i="9" s="1"/>
  <c r="L26" i="9" s="1"/>
  <c r="N26" i="9" s="1"/>
  <c r="R26" i="9" s="1"/>
  <c r="S26" i="9" s="1"/>
  <c r="O26" i="9"/>
  <c r="U26" i="9"/>
  <c r="W26" i="9"/>
  <c r="Z26" i="9"/>
  <c r="I27" i="9"/>
  <c r="K27" i="9" s="1"/>
  <c r="O27" i="9"/>
  <c r="U27" i="9"/>
  <c r="W27" i="9"/>
  <c r="Z27" i="9"/>
  <c r="I28" i="9"/>
  <c r="K28" i="9" s="1"/>
  <c r="L28" i="9" s="1"/>
  <c r="N28" i="9" s="1"/>
  <c r="R28" i="9" s="1"/>
  <c r="S28" i="9" s="1"/>
  <c r="O28" i="9"/>
  <c r="U28" i="9"/>
  <c r="W28" i="9"/>
  <c r="Z28" i="9"/>
  <c r="I29" i="9"/>
  <c r="K29" i="9" s="1"/>
  <c r="X29" i="9" s="1"/>
  <c r="O29" i="9"/>
  <c r="U29" i="9"/>
  <c r="W29" i="9"/>
  <c r="Z29" i="9"/>
  <c r="I30" i="9"/>
  <c r="K30" i="9" s="1"/>
  <c r="L30" i="9" s="1"/>
  <c r="N30" i="9" s="1"/>
  <c r="R30" i="9" s="1"/>
  <c r="S30" i="9" s="1"/>
  <c r="O30" i="9"/>
  <c r="U30" i="9"/>
  <c r="W30" i="9"/>
  <c r="Z30" i="9"/>
  <c r="I31" i="9"/>
  <c r="K31" i="9" s="1"/>
  <c r="O31" i="9"/>
  <c r="U31" i="9"/>
  <c r="W31" i="9"/>
  <c r="Z31" i="9"/>
  <c r="I32" i="9"/>
  <c r="K32" i="9" s="1"/>
  <c r="L32" i="9" s="1"/>
  <c r="N32" i="9" s="1"/>
  <c r="R32" i="9" s="1"/>
  <c r="S32" i="9" s="1"/>
  <c r="O32" i="9"/>
  <c r="U32" i="9"/>
  <c r="W32" i="9"/>
  <c r="Z32" i="9"/>
  <c r="I33" i="9"/>
  <c r="K33" i="9" s="1"/>
  <c r="X33" i="9" s="1"/>
  <c r="O33" i="9"/>
  <c r="U33" i="9"/>
  <c r="W33" i="9"/>
  <c r="Z33" i="9"/>
  <c r="I34" i="9"/>
  <c r="K34" i="9" s="1"/>
  <c r="X34" i="9" s="1"/>
  <c r="O34" i="9"/>
  <c r="U34" i="9"/>
  <c r="W34" i="9"/>
  <c r="Z34" i="9"/>
  <c r="I35" i="9"/>
  <c r="K35" i="9" s="1"/>
  <c r="O35" i="9"/>
  <c r="U35" i="9"/>
  <c r="W35" i="9"/>
  <c r="Z35" i="9"/>
  <c r="I36" i="9"/>
  <c r="K36" i="9" s="1"/>
  <c r="O36" i="9"/>
  <c r="U36" i="9"/>
  <c r="W36" i="9"/>
  <c r="Z36" i="9"/>
  <c r="I37" i="9"/>
  <c r="K37" i="9" s="1"/>
  <c r="O37" i="9"/>
  <c r="U37" i="9"/>
  <c r="W37" i="9"/>
  <c r="Z37" i="9"/>
  <c r="I38" i="9"/>
  <c r="K38" i="9" s="1"/>
  <c r="O38" i="9"/>
  <c r="U38" i="9"/>
  <c r="W38" i="9"/>
  <c r="Z38" i="9"/>
  <c r="I39" i="9"/>
  <c r="K39" i="9"/>
  <c r="O39" i="9"/>
  <c r="U39" i="9"/>
  <c r="W39" i="9"/>
  <c r="Z39" i="9"/>
  <c r="AD39" i="9"/>
  <c r="AD37" i="9" s="1"/>
  <c r="I40" i="9"/>
  <c r="K40" i="9" s="1"/>
  <c r="O40" i="9"/>
  <c r="U40" i="9"/>
  <c r="W40" i="9"/>
  <c r="Z40" i="9"/>
  <c r="I41" i="9"/>
  <c r="K41" i="9" s="1"/>
  <c r="O41" i="9"/>
  <c r="U41" i="9"/>
  <c r="W41" i="9"/>
  <c r="Z41" i="9"/>
  <c r="I42" i="9"/>
  <c r="K42" i="9" s="1"/>
  <c r="O42" i="9"/>
  <c r="U42" i="9"/>
  <c r="W42" i="9"/>
  <c r="Z42" i="9"/>
  <c r="I43" i="9"/>
  <c r="K43" i="9" s="1"/>
  <c r="O43" i="9"/>
  <c r="U43" i="9"/>
  <c r="W43" i="9"/>
  <c r="Z43" i="9"/>
  <c r="I44" i="9"/>
  <c r="K44" i="9" s="1"/>
  <c r="O44" i="9"/>
  <c r="U44" i="9"/>
  <c r="W44" i="9"/>
  <c r="Z44" i="9"/>
  <c r="I45" i="9"/>
  <c r="K45" i="9" s="1"/>
  <c r="O45" i="9"/>
  <c r="U45" i="9"/>
  <c r="W45" i="9"/>
  <c r="Z45" i="9"/>
  <c r="I46" i="9"/>
  <c r="K46" i="9" s="1"/>
  <c r="O46" i="9"/>
  <c r="U46" i="9"/>
  <c r="W46" i="9"/>
  <c r="Z46" i="9"/>
  <c r="I47" i="9"/>
  <c r="K47" i="9" s="1"/>
  <c r="O47" i="9"/>
  <c r="U47" i="9"/>
  <c r="W47" i="9"/>
  <c r="Z47" i="9"/>
  <c r="I48" i="9"/>
  <c r="K48" i="9" s="1"/>
  <c r="O48" i="9"/>
  <c r="U48" i="9"/>
  <c r="W48" i="9"/>
  <c r="Z48" i="9"/>
  <c r="I49" i="9"/>
  <c r="K49" i="9" s="1"/>
  <c r="L49" i="9" s="1"/>
  <c r="N49" i="9" s="1"/>
  <c r="O49" i="9"/>
  <c r="U49" i="9"/>
  <c r="W49" i="9"/>
  <c r="Z49" i="9"/>
  <c r="I50" i="9"/>
  <c r="K50" i="9" s="1"/>
  <c r="O50" i="9"/>
  <c r="U50" i="9"/>
  <c r="W50" i="9"/>
  <c r="Z50" i="9"/>
  <c r="I51" i="9"/>
  <c r="K51" i="9" s="1"/>
  <c r="O51" i="9"/>
  <c r="U51" i="9"/>
  <c r="W51" i="9"/>
  <c r="Z51" i="9"/>
  <c r="I52" i="9"/>
  <c r="K52" i="9" s="1"/>
  <c r="O52" i="9"/>
  <c r="U52" i="9"/>
  <c r="W52" i="9"/>
  <c r="Z52" i="9"/>
  <c r="I53" i="9"/>
  <c r="K53" i="9" s="1"/>
  <c r="O53" i="9"/>
  <c r="U53" i="9"/>
  <c r="W53" i="9"/>
  <c r="Z53" i="9"/>
  <c r="I54" i="9"/>
  <c r="K54" i="9" s="1"/>
  <c r="O54" i="9"/>
  <c r="U54" i="9"/>
  <c r="W54" i="9"/>
  <c r="Z54" i="9"/>
  <c r="I55" i="9"/>
  <c r="K55" i="9" s="1"/>
  <c r="L55" i="9" s="1"/>
  <c r="N55" i="9"/>
  <c r="O55" i="9"/>
  <c r="R55" i="9" s="1"/>
  <c r="S55" i="9" s="1"/>
  <c r="Y55" i="9" s="1"/>
  <c r="U55" i="9"/>
  <c r="W55" i="9"/>
  <c r="Z55" i="9"/>
  <c r="I56" i="9"/>
  <c r="K56" i="9" s="1"/>
  <c r="O56" i="9"/>
  <c r="U56" i="9"/>
  <c r="W56" i="9"/>
  <c r="Z56" i="9"/>
  <c r="I57" i="9"/>
  <c r="K57" i="9" s="1"/>
  <c r="O57" i="9"/>
  <c r="U57" i="9"/>
  <c r="W57" i="9"/>
  <c r="Z57" i="9"/>
  <c r="I58" i="9"/>
  <c r="K58" i="9" s="1"/>
  <c r="O58" i="9"/>
  <c r="U58" i="9"/>
  <c r="W58" i="9"/>
  <c r="Z58" i="9"/>
  <c r="I59" i="9"/>
  <c r="K59" i="9" s="1"/>
  <c r="O59" i="9"/>
  <c r="U59" i="9"/>
  <c r="W59" i="9"/>
  <c r="Z59" i="9"/>
  <c r="I60" i="9"/>
  <c r="K60" i="9" s="1"/>
  <c r="O60" i="9"/>
  <c r="U60" i="9"/>
  <c r="W60" i="9"/>
  <c r="Z60" i="9"/>
  <c r="I61" i="9"/>
  <c r="K61" i="9" s="1"/>
  <c r="O61" i="9"/>
  <c r="U61" i="9"/>
  <c r="W61" i="9"/>
  <c r="Z61" i="9"/>
  <c r="I62" i="9"/>
  <c r="K62" i="9" s="1"/>
  <c r="O62" i="9"/>
  <c r="U62" i="9"/>
  <c r="W62" i="9"/>
  <c r="Z62" i="9"/>
  <c r="I63" i="9"/>
  <c r="K63" i="9" s="1"/>
  <c r="O63" i="9"/>
  <c r="U63" i="9"/>
  <c r="W63" i="9"/>
  <c r="Z63" i="9"/>
  <c r="I64" i="9"/>
  <c r="K64" i="9" s="1"/>
  <c r="O64" i="9"/>
  <c r="U64" i="9"/>
  <c r="W64" i="9"/>
  <c r="Z64" i="9"/>
  <c r="I65" i="9"/>
  <c r="K65" i="9" s="1"/>
  <c r="O65" i="9"/>
  <c r="U65" i="9"/>
  <c r="W65" i="9"/>
  <c r="Z65" i="9"/>
  <c r="I66" i="9"/>
  <c r="K66" i="9" s="1"/>
  <c r="O66" i="9"/>
  <c r="U66" i="9"/>
  <c r="W66" i="9"/>
  <c r="Z66" i="9"/>
  <c r="I67" i="9"/>
  <c r="K67" i="9" s="1"/>
  <c r="O67" i="9"/>
  <c r="U67" i="9"/>
  <c r="W67" i="9"/>
  <c r="Z67" i="9"/>
  <c r="I68" i="9"/>
  <c r="K68" i="9" s="1"/>
  <c r="L68" i="9" s="1"/>
  <c r="N68" i="9" s="1"/>
  <c r="X68" i="9"/>
  <c r="O68" i="9"/>
  <c r="U68" i="9"/>
  <c r="W68" i="9"/>
  <c r="Z68" i="9"/>
  <c r="I69" i="9"/>
  <c r="K69" i="9" s="1"/>
  <c r="L69" i="9" s="1"/>
  <c r="N69" i="9" s="1"/>
  <c r="O69" i="9"/>
  <c r="U69" i="9"/>
  <c r="W69" i="9"/>
  <c r="Z69" i="9"/>
  <c r="I70" i="9"/>
  <c r="K70" i="9" s="1"/>
  <c r="L70" i="9" s="1"/>
  <c r="N70" i="9" s="1"/>
  <c r="R70" i="9" s="1"/>
  <c r="S70" i="9" s="1"/>
  <c r="O70" i="9"/>
  <c r="U70" i="9"/>
  <c r="W70" i="9"/>
  <c r="Z70" i="9"/>
  <c r="I71" i="9"/>
  <c r="K71" i="9" s="1"/>
  <c r="O71" i="9"/>
  <c r="U71" i="9"/>
  <c r="W71" i="9"/>
  <c r="Z71" i="9"/>
  <c r="I72" i="9"/>
  <c r="K72" i="9" s="1"/>
  <c r="O72" i="9"/>
  <c r="U72" i="9"/>
  <c r="W72" i="9"/>
  <c r="Z72" i="9"/>
  <c r="I73" i="9"/>
  <c r="K73" i="9" s="1"/>
  <c r="L73" i="9" s="1"/>
  <c r="N73" i="9" s="1"/>
  <c r="O73" i="9"/>
  <c r="U73" i="9"/>
  <c r="W73" i="9"/>
  <c r="Z73" i="9"/>
  <c r="I74" i="9"/>
  <c r="K74" i="9" s="1"/>
  <c r="O74" i="9"/>
  <c r="U74" i="9"/>
  <c r="W74" i="9"/>
  <c r="Z74" i="9"/>
  <c r="I75" i="9"/>
  <c r="K75" i="9" s="1"/>
  <c r="O75" i="9"/>
  <c r="U75" i="9"/>
  <c r="W75" i="9"/>
  <c r="Z75" i="9"/>
  <c r="I76" i="9"/>
  <c r="K76" i="9" s="1"/>
  <c r="L76" i="9" s="1"/>
  <c r="N76" i="9" s="1"/>
  <c r="R76" i="9" s="1"/>
  <c r="S76" i="9" s="1"/>
  <c r="O76" i="9"/>
  <c r="U76" i="9"/>
  <c r="W76" i="9"/>
  <c r="Z76" i="9"/>
  <c r="I77" i="9"/>
  <c r="K77" i="9" s="1"/>
  <c r="L77" i="9" s="1"/>
  <c r="N77" i="9"/>
  <c r="R77" i="9" s="1"/>
  <c r="S77" i="9" s="1"/>
  <c r="Y77" i="9" s="1"/>
  <c r="O77" i="9"/>
  <c r="U77" i="9"/>
  <c r="W77" i="9"/>
  <c r="Z77" i="9"/>
  <c r="I78" i="9"/>
  <c r="K78" i="9" s="1"/>
  <c r="O78" i="9"/>
  <c r="U78" i="9"/>
  <c r="W78" i="9"/>
  <c r="Z78" i="9"/>
  <c r="I79" i="9"/>
  <c r="K79" i="9" s="1"/>
  <c r="O79" i="9"/>
  <c r="U79" i="9"/>
  <c r="W79" i="9"/>
  <c r="Z79" i="9"/>
  <c r="I80" i="9"/>
  <c r="K80" i="9" s="1"/>
  <c r="O80" i="9"/>
  <c r="U80" i="9"/>
  <c r="W80" i="9"/>
  <c r="Z80" i="9"/>
  <c r="G81" i="9"/>
  <c r="I81" i="9"/>
  <c r="K81" i="9" s="1"/>
  <c r="O81" i="9"/>
  <c r="U81" i="9"/>
  <c r="W81" i="9"/>
  <c r="Z81" i="9"/>
  <c r="G82" i="9"/>
  <c r="I82" i="9" s="1"/>
  <c r="K82" i="9" s="1"/>
  <c r="L82" i="9" s="1"/>
  <c r="N82" i="9" s="1"/>
  <c r="O82" i="9"/>
  <c r="U82" i="9"/>
  <c r="W82" i="9"/>
  <c r="Z82" i="9"/>
  <c r="G83" i="9"/>
  <c r="I83" i="9" s="1"/>
  <c r="K83" i="9" s="1"/>
  <c r="O83" i="9"/>
  <c r="U83" i="9"/>
  <c r="W83" i="9"/>
  <c r="Z83" i="9"/>
  <c r="I84" i="9"/>
  <c r="K84" i="9"/>
  <c r="O84" i="9"/>
  <c r="U84" i="9"/>
  <c r="W84" i="9"/>
  <c r="Z84" i="9"/>
  <c r="I85" i="9"/>
  <c r="K85" i="9"/>
  <c r="O85" i="9"/>
  <c r="U85" i="9"/>
  <c r="W85" i="9"/>
  <c r="Z85" i="9"/>
  <c r="I86" i="9"/>
  <c r="K86" i="9"/>
  <c r="O86" i="9"/>
  <c r="U86" i="9"/>
  <c r="W86" i="9"/>
  <c r="Z86" i="9"/>
  <c r="I87" i="9"/>
  <c r="K87" i="9"/>
  <c r="O87" i="9"/>
  <c r="U87" i="9"/>
  <c r="W87" i="9"/>
  <c r="Z87" i="9"/>
  <c r="I88" i="9"/>
  <c r="K88" i="9"/>
  <c r="O88" i="9"/>
  <c r="U88" i="9"/>
  <c r="W88" i="9"/>
  <c r="Z88" i="9"/>
  <c r="I89" i="9"/>
  <c r="K89" i="9"/>
  <c r="O89" i="9"/>
  <c r="U89" i="9"/>
  <c r="W89" i="9"/>
  <c r="Z89" i="9"/>
  <c r="I90" i="9"/>
  <c r="K90" i="9"/>
  <c r="O90" i="9"/>
  <c r="U90" i="9"/>
  <c r="W90" i="9"/>
  <c r="Z90" i="9"/>
  <c r="I91" i="9"/>
  <c r="K91" i="9"/>
  <c r="O91" i="9"/>
  <c r="U91" i="9"/>
  <c r="W91" i="9"/>
  <c r="Z91" i="9"/>
  <c r="G92" i="9"/>
  <c r="I92" i="9"/>
  <c r="K92" i="9" s="1"/>
  <c r="L92" i="9" s="1"/>
  <c r="N92" i="9" s="1"/>
  <c r="O92" i="9"/>
  <c r="U92" i="9"/>
  <c r="W92" i="9"/>
  <c r="Z92" i="9"/>
  <c r="I93" i="9"/>
  <c r="K93" i="9" s="1"/>
  <c r="X93" i="9" s="1"/>
  <c r="O93" i="9"/>
  <c r="U93" i="9"/>
  <c r="W93" i="9"/>
  <c r="Z93" i="9"/>
  <c r="I94" i="9"/>
  <c r="K94" i="9" s="1"/>
  <c r="X94" i="9" s="1"/>
  <c r="L94" i="9"/>
  <c r="N94" i="9" s="1"/>
  <c r="R94" i="9" s="1"/>
  <c r="S94" i="9" s="1"/>
  <c r="O94" i="9"/>
  <c r="U94" i="9"/>
  <c r="W94" i="9"/>
  <c r="Z94" i="9"/>
  <c r="I95" i="9"/>
  <c r="K95" i="9" s="1"/>
  <c r="X95" i="9" s="1"/>
  <c r="O95" i="9"/>
  <c r="U95" i="9"/>
  <c r="W95" i="9"/>
  <c r="Z95" i="9"/>
  <c r="I96" i="9"/>
  <c r="K96" i="9" s="1"/>
  <c r="X96" i="9" s="1"/>
  <c r="O96" i="9"/>
  <c r="U96" i="9"/>
  <c r="W96" i="9"/>
  <c r="Z96" i="9"/>
  <c r="I97" i="9"/>
  <c r="K97" i="9" s="1"/>
  <c r="X97" i="9" s="1"/>
  <c r="O97" i="9"/>
  <c r="U97" i="9"/>
  <c r="W97" i="9"/>
  <c r="Z97" i="9"/>
  <c r="I98" i="9"/>
  <c r="K98" i="9" s="1"/>
  <c r="X98" i="9" s="1"/>
  <c r="L98" i="9"/>
  <c r="N98" i="9" s="1"/>
  <c r="R98" i="9" s="1"/>
  <c r="S98" i="9" s="1"/>
  <c r="Y98" i="9" s="1"/>
  <c r="O98" i="9"/>
  <c r="U98" i="9"/>
  <c r="W98" i="9"/>
  <c r="Z98" i="9"/>
  <c r="I99" i="9"/>
  <c r="K99" i="9" s="1"/>
  <c r="X99" i="9" s="1"/>
  <c r="O99" i="9"/>
  <c r="U99" i="9"/>
  <c r="W99" i="9"/>
  <c r="Z99" i="9"/>
  <c r="I100" i="9"/>
  <c r="K100" i="9" s="1"/>
  <c r="X100" i="9" s="1"/>
  <c r="O100" i="9"/>
  <c r="U100" i="9"/>
  <c r="W100" i="9"/>
  <c r="Z100" i="9"/>
  <c r="I101" i="9"/>
  <c r="K101" i="9" s="1"/>
  <c r="X101" i="9" s="1"/>
  <c r="O101" i="9"/>
  <c r="U101" i="9"/>
  <c r="W101" i="9"/>
  <c r="Z101" i="9"/>
  <c r="I102" i="9"/>
  <c r="K102" i="9" s="1"/>
  <c r="X102" i="9" s="1"/>
  <c r="L102" i="9"/>
  <c r="N102" i="9" s="1"/>
  <c r="R102" i="9" s="1"/>
  <c r="S102" i="9" s="1"/>
  <c r="O102" i="9"/>
  <c r="U102" i="9"/>
  <c r="W102" i="9"/>
  <c r="Z102" i="9"/>
  <c r="I103" i="9"/>
  <c r="K103" i="9" s="1"/>
  <c r="X103" i="9" s="1"/>
  <c r="O103" i="9"/>
  <c r="U103" i="9"/>
  <c r="W103" i="9"/>
  <c r="Z103" i="9"/>
  <c r="I104" i="9"/>
  <c r="K104" i="9" s="1"/>
  <c r="X104" i="9" s="1"/>
  <c r="O104" i="9"/>
  <c r="U104" i="9"/>
  <c r="W104" i="9"/>
  <c r="Z104" i="9"/>
  <c r="I105" i="9"/>
  <c r="K105" i="9" s="1"/>
  <c r="X105" i="9" s="1"/>
  <c r="O105" i="9"/>
  <c r="U105" i="9"/>
  <c r="W105" i="9"/>
  <c r="Z105" i="9"/>
  <c r="I106" i="9"/>
  <c r="K106" i="9" s="1"/>
  <c r="X106" i="9" s="1"/>
  <c r="L106" i="9"/>
  <c r="N106" i="9" s="1"/>
  <c r="R106" i="9" s="1"/>
  <c r="S106" i="9" s="1"/>
  <c r="Y106" i="9" s="1"/>
  <c r="O106" i="9"/>
  <c r="U106" i="9"/>
  <c r="W106" i="9"/>
  <c r="Z106" i="9"/>
  <c r="I107" i="9"/>
  <c r="K107" i="9" s="1"/>
  <c r="X107" i="9" s="1"/>
  <c r="O107" i="9"/>
  <c r="U107" i="9"/>
  <c r="W107" i="9"/>
  <c r="Z107" i="9"/>
  <c r="I108" i="9"/>
  <c r="K108" i="9" s="1"/>
  <c r="X108" i="9" s="1"/>
  <c r="O108" i="9"/>
  <c r="U108" i="9"/>
  <c r="W108" i="9"/>
  <c r="Z108" i="9"/>
  <c r="I109" i="9"/>
  <c r="K109" i="9" s="1"/>
  <c r="X109" i="9" s="1"/>
  <c r="O109" i="9"/>
  <c r="U109" i="9"/>
  <c r="W109" i="9"/>
  <c r="Z109" i="9"/>
  <c r="I110" i="9"/>
  <c r="K110" i="9" s="1"/>
  <c r="O110" i="9"/>
  <c r="U110" i="9"/>
  <c r="W110" i="9"/>
  <c r="Z110" i="9"/>
  <c r="I111" i="9"/>
  <c r="K111" i="9" s="1"/>
  <c r="L111" i="9" s="1"/>
  <c r="N111" i="9"/>
  <c r="O111" i="9"/>
  <c r="U111" i="9"/>
  <c r="W111" i="9"/>
  <c r="Z111" i="9"/>
  <c r="I112" i="9"/>
  <c r="K112" i="9" s="1"/>
  <c r="L112" i="9" s="1"/>
  <c r="N112" i="9"/>
  <c r="O112" i="9"/>
  <c r="U112" i="9"/>
  <c r="W112" i="9"/>
  <c r="Z112" i="9"/>
  <c r="I113" i="9"/>
  <c r="K113" i="9"/>
  <c r="L113" i="9" s="1"/>
  <c r="N113" i="9" s="1"/>
  <c r="R113" i="9" s="1"/>
  <c r="S113" i="9" s="1"/>
  <c r="O113" i="9"/>
  <c r="U113" i="9"/>
  <c r="W113" i="9"/>
  <c r="Z113" i="9"/>
  <c r="I114" i="9"/>
  <c r="K114" i="9" s="1"/>
  <c r="L114" i="9" s="1"/>
  <c r="N114" i="9" s="1"/>
  <c r="R114" i="9" s="1"/>
  <c r="S114" i="9" s="1"/>
  <c r="O114" i="9"/>
  <c r="U114" i="9"/>
  <c r="W114" i="9"/>
  <c r="Z114" i="9"/>
  <c r="I115" i="9"/>
  <c r="K115" i="9" s="1"/>
  <c r="O115" i="9"/>
  <c r="U115" i="9"/>
  <c r="W115" i="9"/>
  <c r="Z115" i="9"/>
  <c r="I116" i="9"/>
  <c r="K116" i="9" s="1"/>
  <c r="O116" i="9"/>
  <c r="U116" i="9"/>
  <c r="W116" i="9"/>
  <c r="Z116" i="9"/>
  <c r="I117" i="9"/>
  <c r="K117" i="9"/>
  <c r="L117" i="9" s="1"/>
  <c r="N117" i="9" s="1"/>
  <c r="O117" i="9"/>
  <c r="R117" i="9"/>
  <c r="S117" i="9" s="1"/>
  <c r="U117" i="9"/>
  <c r="W117" i="9"/>
  <c r="Z117" i="9"/>
  <c r="I118" i="9"/>
  <c r="K118" i="9" s="1"/>
  <c r="L118" i="9" s="1"/>
  <c r="N118" i="9" s="1"/>
  <c r="R118" i="9" s="1"/>
  <c r="S118" i="9" s="1"/>
  <c r="O118" i="9"/>
  <c r="U118" i="9"/>
  <c r="W118" i="9"/>
  <c r="Z118" i="9"/>
  <c r="I119" i="9"/>
  <c r="K119" i="9" s="1"/>
  <c r="O119" i="9"/>
  <c r="U119" i="9"/>
  <c r="W119" i="9"/>
  <c r="Z119" i="9"/>
  <c r="I120" i="9"/>
  <c r="K120" i="9" s="1"/>
  <c r="O120" i="9"/>
  <c r="U120" i="9"/>
  <c r="W120" i="9"/>
  <c r="Z120" i="9"/>
  <c r="I121" i="9"/>
  <c r="K121" i="9"/>
  <c r="L121" i="9" s="1"/>
  <c r="N121" i="9" s="1"/>
  <c r="R121" i="9" s="1"/>
  <c r="S121" i="9" s="1"/>
  <c r="O121" i="9"/>
  <c r="U121" i="9"/>
  <c r="W121" i="9"/>
  <c r="Z121" i="9"/>
  <c r="I122" i="9"/>
  <c r="K122" i="9" s="1"/>
  <c r="L122" i="9" s="1"/>
  <c r="N122" i="9" s="1"/>
  <c r="R122" i="9" s="1"/>
  <c r="S122" i="9" s="1"/>
  <c r="O122" i="9"/>
  <c r="U122" i="9"/>
  <c r="W122" i="9"/>
  <c r="Z122" i="9"/>
  <c r="I123" i="9"/>
  <c r="K123" i="9" s="1"/>
  <c r="O123" i="9"/>
  <c r="U123" i="9"/>
  <c r="W123" i="9"/>
  <c r="Z123" i="9"/>
  <c r="I124" i="9"/>
  <c r="K124" i="9" s="1"/>
  <c r="O124" i="9"/>
  <c r="U124" i="9"/>
  <c r="W124" i="9"/>
  <c r="Z124" i="9"/>
  <c r="I125" i="9"/>
  <c r="K125" i="9"/>
  <c r="L125" i="9" s="1"/>
  <c r="N125" i="9" s="1"/>
  <c r="O125" i="9"/>
  <c r="R125" i="9"/>
  <c r="S125" i="9" s="1"/>
  <c r="U125" i="9"/>
  <c r="W125" i="9"/>
  <c r="Z125" i="9"/>
  <c r="I126" i="9"/>
  <c r="K126" i="9" s="1"/>
  <c r="L126" i="9" s="1"/>
  <c r="N126" i="9" s="1"/>
  <c r="R126" i="9" s="1"/>
  <c r="S126" i="9" s="1"/>
  <c r="O126" i="9"/>
  <c r="U126" i="9"/>
  <c r="W126" i="9"/>
  <c r="Z126" i="9"/>
  <c r="I127" i="9"/>
  <c r="K127" i="9" s="1"/>
  <c r="O127" i="9"/>
  <c r="U127" i="9"/>
  <c r="W127" i="9"/>
  <c r="Z127" i="9"/>
  <c r="I128" i="9"/>
  <c r="K128" i="9" s="1"/>
  <c r="O128" i="9"/>
  <c r="U128" i="9"/>
  <c r="W128" i="9"/>
  <c r="Z128" i="9"/>
  <c r="I129" i="9"/>
  <c r="K129" i="9"/>
  <c r="L129" i="9" s="1"/>
  <c r="N129" i="9" s="1"/>
  <c r="R129" i="9" s="1"/>
  <c r="S129" i="9" s="1"/>
  <c r="O129" i="9"/>
  <c r="U129" i="9"/>
  <c r="W129" i="9"/>
  <c r="Z129" i="9"/>
  <c r="I130" i="9"/>
  <c r="K130" i="9" s="1"/>
  <c r="L130" i="9" s="1"/>
  <c r="N130" i="9" s="1"/>
  <c r="R130" i="9" s="1"/>
  <c r="S130" i="9" s="1"/>
  <c r="O130" i="9"/>
  <c r="U130" i="9"/>
  <c r="W130" i="9"/>
  <c r="Z130" i="9"/>
  <c r="AD130" i="9"/>
  <c r="I131" i="9"/>
  <c r="K131" i="9" s="1"/>
  <c r="O131" i="9"/>
  <c r="U131" i="9"/>
  <c r="W131" i="9"/>
  <c r="Z131" i="9"/>
  <c r="I132" i="9"/>
  <c r="K132" i="9" s="1"/>
  <c r="O132" i="9"/>
  <c r="U132" i="9"/>
  <c r="W132" i="9"/>
  <c r="Z132" i="9"/>
  <c r="AE132" i="9"/>
  <c r="I133" i="9"/>
  <c r="K133" i="9" s="1"/>
  <c r="O133" i="9"/>
  <c r="U133" i="9"/>
  <c r="W133" i="9"/>
  <c r="Z133" i="9"/>
  <c r="I134" i="9"/>
  <c r="K134" i="9"/>
  <c r="O134" i="9"/>
  <c r="U134" i="9"/>
  <c r="W134" i="9"/>
  <c r="Z134" i="9"/>
  <c r="G135" i="9"/>
  <c r="I135" i="9" s="1"/>
  <c r="O135" i="9"/>
  <c r="U135" i="9"/>
  <c r="W135" i="9"/>
  <c r="Z135" i="9"/>
  <c r="I136" i="9"/>
  <c r="K136" i="9" s="1"/>
  <c r="X136" i="9" s="1"/>
  <c r="L136" i="9"/>
  <c r="N136" i="9" s="1"/>
  <c r="O136" i="9"/>
  <c r="U136" i="9"/>
  <c r="W136" i="9"/>
  <c r="Z136" i="9"/>
  <c r="I137" i="9"/>
  <c r="K137" i="9"/>
  <c r="O137" i="9"/>
  <c r="U137" i="9"/>
  <c r="W137" i="9"/>
  <c r="Z137" i="9"/>
  <c r="I138" i="9"/>
  <c r="K138" i="9"/>
  <c r="O138" i="9"/>
  <c r="U138" i="9"/>
  <c r="W138" i="9"/>
  <c r="Z138" i="9"/>
  <c r="I139" i="9"/>
  <c r="K139" i="9"/>
  <c r="O139" i="9"/>
  <c r="U139" i="9"/>
  <c r="W139" i="9"/>
  <c r="Z139" i="9"/>
  <c r="I140" i="9"/>
  <c r="K140" i="9"/>
  <c r="O140" i="9"/>
  <c r="U140" i="9"/>
  <c r="W140" i="9"/>
  <c r="Z140" i="9"/>
  <c r="I141" i="9"/>
  <c r="K141" i="9"/>
  <c r="O141" i="9"/>
  <c r="U141" i="9"/>
  <c r="W141" i="9"/>
  <c r="Z141" i="9"/>
  <c r="I142" i="9"/>
  <c r="K142" i="9"/>
  <c r="X142" i="9" s="1"/>
  <c r="O142" i="9"/>
  <c r="U142" i="9"/>
  <c r="W142" i="9"/>
  <c r="Z142" i="9"/>
  <c r="I143" i="9"/>
  <c r="K143" i="9"/>
  <c r="O143" i="9"/>
  <c r="U143" i="9"/>
  <c r="W143" i="9"/>
  <c r="Z143" i="9"/>
  <c r="I144" i="9"/>
  <c r="K144" i="9" s="1"/>
  <c r="O144" i="9"/>
  <c r="U144" i="9"/>
  <c r="W144" i="9"/>
  <c r="Z144" i="9"/>
  <c r="I145" i="9"/>
  <c r="K145" i="9" s="1"/>
  <c r="O145" i="9"/>
  <c r="U145" i="9"/>
  <c r="W145" i="9"/>
  <c r="Z145" i="9"/>
  <c r="I146" i="9"/>
  <c r="K146" i="9" s="1"/>
  <c r="X146" i="9" s="1"/>
  <c r="O146" i="9"/>
  <c r="U146" i="9"/>
  <c r="W146" i="9"/>
  <c r="Z146" i="9"/>
  <c r="I147" i="9"/>
  <c r="K147" i="9" s="1"/>
  <c r="O147" i="9"/>
  <c r="U147" i="9"/>
  <c r="W147" i="9"/>
  <c r="Z147" i="9"/>
  <c r="I148" i="9"/>
  <c r="K148" i="9" s="1"/>
  <c r="O148" i="9"/>
  <c r="U148" i="9"/>
  <c r="W148" i="9"/>
  <c r="Z148" i="9"/>
  <c r="I149" i="9"/>
  <c r="K149" i="9" s="1"/>
  <c r="O149" i="9"/>
  <c r="U149" i="9"/>
  <c r="W149" i="9"/>
  <c r="Z149" i="9"/>
  <c r="I150" i="9"/>
  <c r="K150" i="9"/>
  <c r="O150" i="9"/>
  <c r="U150" i="9"/>
  <c r="W150" i="9"/>
  <c r="Z150" i="9"/>
  <c r="I151" i="9"/>
  <c r="K151" i="9" s="1"/>
  <c r="L151" i="9" s="1"/>
  <c r="N151" i="9" s="1"/>
  <c r="R151" i="9" s="1"/>
  <c r="S151" i="9" s="1"/>
  <c r="O151" i="9"/>
  <c r="U151" i="9"/>
  <c r="W151" i="9"/>
  <c r="Z151" i="9"/>
  <c r="I152" i="9"/>
  <c r="K152" i="9" s="1"/>
  <c r="X152" i="9" s="1"/>
  <c r="O152" i="9"/>
  <c r="U152" i="9"/>
  <c r="W152" i="9"/>
  <c r="Z152" i="9"/>
  <c r="I153" i="9"/>
  <c r="K153" i="9" s="1"/>
  <c r="O153" i="9"/>
  <c r="U153" i="9"/>
  <c r="W153" i="9"/>
  <c r="Z153" i="9"/>
  <c r="I154" i="9"/>
  <c r="K154" i="9"/>
  <c r="X154" i="9" s="1"/>
  <c r="O154" i="9"/>
  <c r="U154" i="9"/>
  <c r="W154" i="9"/>
  <c r="Z154" i="9"/>
  <c r="G155" i="9"/>
  <c r="I155" i="9" s="1"/>
  <c r="K155" i="9" s="1"/>
  <c r="O155" i="9"/>
  <c r="U155" i="9"/>
  <c r="W155" i="9"/>
  <c r="Z155" i="9"/>
  <c r="I156" i="9"/>
  <c r="K156" i="9" s="1"/>
  <c r="O156" i="9"/>
  <c r="U156" i="9"/>
  <c r="W156" i="9"/>
  <c r="Z156" i="9"/>
  <c r="I157" i="9"/>
  <c r="K157" i="9" s="1"/>
  <c r="L157" i="9" s="1"/>
  <c r="N157" i="9" s="1"/>
  <c r="O157" i="9"/>
  <c r="U157" i="9"/>
  <c r="W157" i="9"/>
  <c r="X157" i="9"/>
  <c r="Z157" i="9"/>
  <c r="I158" i="9"/>
  <c r="K158" i="9"/>
  <c r="L158" i="9"/>
  <c r="N158" i="9" s="1"/>
  <c r="R158" i="9" s="1"/>
  <c r="S158" i="9"/>
  <c r="O158" i="9"/>
  <c r="U158" i="9"/>
  <c r="W158" i="9"/>
  <c r="X158" i="9"/>
  <c r="Z158" i="9"/>
  <c r="G159" i="9"/>
  <c r="I159" i="9" s="1"/>
  <c r="K159" i="9"/>
  <c r="O159" i="9"/>
  <c r="U159" i="9"/>
  <c r="W159" i="9"/>
  <c r="Z159" i="9"/>
  <c r="G160" i="9"/>
  <c r="I160" i="9" s="1"/>
  <c r="K160" i="9" s="1"/>
  <c r="X160" i="9" s="1"/>
  <c r="O160" i="9"/>
  <c r="U160" i="9"/>
  <c r="W160" i="9"/>
  <c r="Z160" i="9"/>
  <c r="I161" i="9"/>
  <c r="K161" i="9" s="1"/>
  <c r="O161" i="9"/>
  <c r="U161" i="9"/>
  <c r="W161" i="9"/>
  <c r="Z161" i="9"/>
  <c r="I162" i="9"/>
  <c r="K162" i="9" s="1"/>
  <c r="O162" i="9"/>
  <c r="U162" i="9"/>
  <c r="W162" i="9"/>
  <c r="Z162" i="9"/>
  <c r="I163" i="9"/>
  <c r="K163" i="9" s="1"/>
  <c r="O163" i="9"/>
  <c r="U163" i="9"/>
  <c r="W163" i="9"/>
  <c r="Z163" i="9"/>
  <c r="I164" i="9"/>
  <c r="K164" i="9" s="1"/>
  <c r="O164" i="9"/>
  <c r="U164" i="9"/>
  <c r="W164" i="9"/>
  <c r="Z164" i="9"/>
  <c r="I165" i="9"/>
  <c r="K165" i="9" s="1"/>
  <c r="O165" i="9"/>
  <c r="U165" i="9"/>
  <c r="W165" i="9"/>
  <c r="Z165" i="9"/>
  <c r="I166" i="9"/>
  <c r="K166" i="9" s="1"/>
  <c r="O166" i="9"/>
  <c r="U166" i="9"/>
  <c r="W166" i="9"/>
  <c r="Z166" i="9"/>
  <c r="I167" i="9"/>
  <c r="K167" i="9" s="1"/>
  <c r="O167" i="9"/>
  <c r="U167" i="9"/>
  <c r="W167" i="9"/>
  <c r="Z167" i="9"/>
  <c r="I168" i="9"/>
  <c r="K168" i="9" s="1"/>
  <c r="O168" i="9"/>
  <c r="U168" i="9"/>
  <c r="W168" i="9"/>
  <c r="Z168" i="9"/>
  <c r="I169" i="9"/>
  <c r="K169" i="9" s="1"/>
  <c r="O169" i="9"/>
  <c r="U169" i="9"/>
  <c r="W169" i="9"/>
  <c r="Z169" i="9"/>
  <c r="I170" i="9"/>
  <c r="K170" i="9" s="1"/>
  <c r="O170" i="9"/>
  <c r="U170" i="9"/>
  <c r="W170" i="9"/>
  <c r="Z170" i="9"/>
  <c r="I171" i="9"/>
  <c r="K171" i="9" s="1"/>
  <c r="O171" i="9"/>
  <c r="U171" i="9"/>
  <c r="W171" i="9"/>
  <c r="Z171" i="9"/>
  <c r="I172" i="9"/>
  <c r="K172" i="9" s="1"/>
  <c r="O172" i="9"/>
  <c r="U172" i="9"/>
  <c r="W172" i="9"/>
  <c r="Z172" i="9"/>
  <c r="I173" i="9"/>
  <c r="K173" i="9" s="1"/>
  <c r="O173" i="9"/>
  <c r="U173" i="9"/>
  <c r="W173" i="9"/>
  <c r="Z173" i="9"/>
  <c r="I174" i="9"/>
  <c r="K174" i="9" s="1"/>
  <c r="O174" i="9"/>
  <c r="U174" i="9"/>
  <c r="W174" i="9"/>
  <c r="Z174" i="9"/>
  <c r="I175" i="9"/>
  <c r="K175" i="9" s="1"/>
  <c r="O175" i="9"/>
  <c r="U175" i="9"/>
  <c r="W175" i="9"/>
  <c r="Z175" i="9"/>
  <c r="I176" i="9"/>
  <c r="K176" i="9" s="1"/>
  <c r="O176" i="9"/>
  <c r="U176" i="9"/>
  <c r="W176" i="9"/>
  <c r="Z176" i="9"/>
  <c r="I177" i="9"/>
  <c r="K177" i="9" s="1"/>
  <c r="O177" i="9"/>
  <c r="U177" i="9"/>
  <c r="W177" i="9"/>
  <c r="Z177" i="9"/>
  <c r="I178" i="9"/>
  <c r="K178" i="9" s="1"/>
  <c r="O178" i="9"/>
  <c r="U178" i="9"/>
  <c r="W178" i="9"/>
  <c r="Z178" i="9"/>
  <c r="I179" i="9"/>
  <c r="K179" i="9" s="1"/>
  <c r="O179" i="9"/>
  <c r="U179" i="9"/>
  <c r="W179" i="9"/>
  <c r="Z179" i="9"/>
  <c r="I180" i="9"/>
  <c r="K180" i="9" s="1"/>
  <c r="O180" i="9"/>
  <c r="U180" i="9"/>
  <c r="W180" i="9"/>
  <c r="Z180" i="9"/>
  <c r="I181" i="9"/>
  <c r="K181" i="9" s="1"/>
  <c r="O181" i="9"/>
  <c r="U181" i="9"/>
  <c r="W181" i="9"/>
  <c r="Z181" i="9"/>
  <c r="G182" i="9"/>
  <c r="I182" i="9" s="1"/>
  <c r="K182" i="9" s="1"/>
  <c r="X182" i="9" s="1"/>
  <c r="L182" i="9"/>
  <c r="N182" i="9" s="1"/>
  <c r="R182" i="9" s="1"/>
  <c r="S182" i="9"/>
  <c r="O182" i="9"/>
  <c r="U182" i="9"/>
  <c r="W182" i="9"/>
  <c r="Z182" i="9"/>
  <c r="I183" i="9"/>
  <c r="K183" i="9" s="1"/>
  <c r="L183" i="9" s="1"/>
  <c r="N183" i="9" s="1"/>
  <c r="R183" i="9" s="1"/>
  <c r="S183" i="9" s="1"/>
  <c r="Y183" i="9" s="1"/>
  <c r="O183" i="9"/>
  <c r="U183" i="9"/>
  <c r="W183" i="9"/>
  <c r="X183" i="9"/>
  <c r="Z183" i="9"/>
  <c r="G184" i="9"/>
  <c r="I184" i="9" s="1"/>
  <c r="K184" i="9" s="1"/>
  <c r="O184" i="9"/>
  <c r="U184" i="9"/>
  <c r="W184" i="9"/>
  <c r="Z184" i="9"/>
  <c r="G185" i="9"/>
  <c r="I185" i="9" s="1"/>
  <c r="O185" i="9"/>
  <c r="U185" i="9"/>
  <c r="W185" i="9"/>
  <c r="Z185" i="9"/>
  <c r="G186" i="9"/>
  <c r="I186" i="9" s="1"/>
  <c r="K186" i="9" s="1"/>
  <c r="X186" i="9" s="1"/>
  <c r="O186" i="9"/>
  <c r="U186" i="9"/>
  <c r="W186" i="9"/>
  <c r="Z186" i="9"/>
  <c r="I187" i="9"/>
  <c r="K187" i="9" s="1"/>
  <c r="L187" i="9" s="1"/>
  <c r="N187" i="9" s="1"/>
  <c r="O187" i="9"/>
  <c r="U187" i="9"/>
  <c r="W187" i="9"/>
  <c r="X187" i="9"/>
  <c r="Z187" i="9"/>
  <c r="I188" i="9"/>
  <c r="K188" i="9" s="1"/>
  <c r="L188" i="9" s="1"/>
  <c r="N188" i="9" s="1"/>
  <c r="R188" i="9" s="1"/>
  <c r="S188" i="9" s="1"/>
  <c r="Y188" i="9" s="1"/>
  <c r="O188" i="9"/>
  <c r="U188" i="9"/>
  <c r="W188" i="9"/>
  <c r="X188" i="9"/>
  <c r="Z188" i="9"/>
  <c r="I189" i="9"/>
  <c r="K189" i="9" s="1"/>
  <c r="X189" i="9" s="1"/>
  <c r="O189" i="9"/>
  <c r="U189" i="9"/>
  <c r="W189" i="9"/>
  <c r="Z189" i="9"/>
  <c r="I190" i="9"/>
  <c r="K190" i="9" s="1"/>
  <c r="O190" i="9"/>
  <c r="U190" i="9"/>
  <c r="W190" i="9"/>
  <c r="Z190" i="9"/>
  <c r="I191" i="9"/>
  <c r="K191" i="9" s="1"/>
  <c r="O191" i="9"/>
  <c r="U191" i="9"/>
  <c r="W191" i="9"/>
  <c r="Z191" i="9"/>
  <c r="I192" i="9"/>
  <c r="K192" i="9" s="1"/>
  <c r="O192" i="9"/>
  <c r="U192" i="9"/>
  <c r="W192" i="9"/>
  <c r="Z192" i="9"/>
  <c r="I193" i="9"/>
  <c r="K193" i="9" s="1"/>
  <c r="O193" i="9"/>
  <c r="U193" i="9"/>
  <c r="W193" i="9"/>
  <c r="Z193" i="9"/>
  <c r="I194" i="9"/>
  <c r="K194" i="9" s="1"/>
  <c r="O194" i="9"/>
  <c r="U194" i="9"/>
  <c r="W194" i="9"/>
  <c r="Z194" i="9"/>
  <c r="I195" i="9"/>
  <c r="K195" i="9" s="1"/>
  <c r="O195" i="9"/>
  <c r="U195" i="9"/>
  <c r="W195" i="9"/>
  <c r="Z195" i="9"/>
  <c r="I196" i="9"/>
  <c r="K196" i="9"/>
  <c r="O196" i="9"/>
  <c r="U196" i="9"/>
  <c r="W196" i="9"/>
  <c r="Z196" i="9"/>
  <c r="I197" i="9"/>
  <c r="K197" i="9" s="1"/>
  <c r="O197" i="9"/>
  <c r="U197" i="9"/>
  <c r="W197" i="9"/>
  <c r="Z197" i="9"/>
  <c r="I198" i="9"/>
  <c r="K198" i="9"/>
  <c r="O198" i="9"/>
  <c r="U198" i="9"/>
  <c r="W198" i="9"/>
  <c r="Z198" i="9"/>
  <c r="I199" i="9"/>
  <c r="K199" i="9" s="1"/>
  <c r="O199" i="9"/>
  <c r="U199" i="9"/>
  <c r="W199" i="9"/>
  <c r="Z199" i="9"/>
  <c r="I200" i="9"/>
  <c r="K200" i="9"/>
  <c r="X200" i="9" s="1"/>
  <c r="O200" i="9"/>
  <c r="U200" i="9"/>
  <c r="W200" i="9"/>
  <c r="Z200" i="9"/>
  <c r="I201" i="9"/>
  <c r="K201" i="9"/>
  <c r="L201" i="9" s="1"/>
  <c r="N201" i="9" s="1"/>
  <c r="O201" i="9"/>
  <c r="U201" i="9"/>
  <c r="W201" i="9"/>
  <c r="X201" i="9"/>
  <c r="Z201" i="9"/>
  <c r="I202" i="9"/>
  <c r="K202" i="9"/>
  <c r="X202" i="9" s="1"/>
  <c r="L202" i="9"/>
  <c r="N202" i="9" s="1"/>
  <c r="O202" i="9"/>
  <c r="U202" i="9"/>
  <c r="W202" i="9"/>
  <c r="Z202" i="9"/>
  <c r="I203" i="9"/>
  <c r="K203" i="9" s="1"/>
  <c r="X203" i="9" s="1"/>
  <c r="O203" i="9"/>
  <c r="U203" i="9"/>
  <c r="W203" i="9"/>
  <c r="Z203" i="9"/>
  <c r="I204" i="9"/>
  <c r="K204" i="9" s="1"/>
  <c r="O204" i="9"/>
  <c r="U204" i="9"/>
  <c r="W204" i="9"/>
  <c r="Z204" i="9"/>
  <c r="I205" i="9"/>
  <c r="K205" i="9" s="1"/>
  <c r="L205" i="9" s="1"/>
  <c r="N205" i="9" s="1"/>
  <c r="O205" i="9"/>
  <c r="U205" i="9"/>
  <c r="W205" i="9"/>
  <c r="X205" i="9"/>
  <c r="Z205" i="9"/>
  <c r="G206" i="9"/>
  <c r="I206" i="9" s="1"/>
  <c r="K206" i="9"/>
  <c r="O206" i="9"/>
  <c r="U206" i="9"/>
  <c r="W206" i="9"/>
  <c r="Z206" i="9"/>
  <c r="I207" i="9"/>
  <c r="K207" i="9" s="1"/>
  <c r="O207" i="9"/>
  <c r="U207" i="9"/>
  <c r="W207" i="9"/>
  <c r="Z207" i="9"/>
  <c r="I208" i="9"/>
  <c r="K208" i="9" s="1"/>
  <c r="O208" i="9"/>
  <c r="U208" i="9"/>
  <c r="W208" i="9"/>
  <c r="Z208" i="9"/>
  <c r="I209" i="9"/>
  <c r="K209" i="9" s="1"/>
  <c r="O209" i="9"/>
  <c r="U209" i="9"/>
  <c r="W209" i="9"/>
  <c r="Z209" i="9"/>
  <c r="I210" i="9"/>
  <c r="K210" i="9" s="1"/>
  <c r="O210" i="9"/>
  <c r="U210" i="9"/>
  <c r="W210" i="9"/>
  <c r="Z210" i="9"/>
  <c r="I211" i="9"/>
  <c r="K211" i="9"/>
  <c r="O211" i="9"/>
  <c r="U211" i="9"/>
  <c r="W211" i="9"/>
  <c r="Z211" i="9"/>
  <c r="I212" i="9"/>
  <c r="K212" i="9" s="1"/>
  <c r="O212" i="9"/>
  <c r="U212" i="9"/>
  <c r="W212" i="9"/>
  <c r="Z212" i="9"/>
  <c r="I213" i="9"/>
  <c r="K213" i="9" s="1"/>
  <c r="X213" i="9" s="1"/>
  <c r="O213" i="9"/>
  <c r="U213" i="9"/>
  <c r="W213" i="9"/>
  <c r="Z213" i="9"/>
  <c r="I214" i="9"/>
  <c r="K214" i="9" s="1"/>
  <c r="L214" i="9" s="1"/>
  <c r="N214" i="9" s="1"/>
  <c r="O214" i="9"/>
  <c r="U214" i="9"/>
  <c r="W214" i="9"/>
  <c r="Z214" i="9"/>
  <c r="I215" i="9"/>
  <c r="K215" i="9" s="1"/>
  <c r="O215" i="9"/>
  <c r="U215" i="9"/>
  <c r="W215" i="9"/>
  <c r="Z215" i="9"/>
  <c r="I216" i="9"/>
  <c r="K216" i="9" s="1"/>
  <c r="O216" i="9"/>
  <c r="U216" i="9"/>
  <c r="W216" i="9"/>
  <c r="Z216" i="9"/>
  <c r="I217" i="9"/>
  <c r="K217" i="9"/>
  <c r="L217" i="9" s="1"/>
  <c r="N217" i="9"/>
  <c r="O217" i="9"/>
  <c r="R217" i="9"/>
  <c r="S217" i="9" s="1"/>
  <c r="U217" i="9"/>
  <c r="W217" i="9"/>
  <c r="Z217" i="9"/>
  <c r="I218" i="9"/>
  <c r="K218" i="9" s="1"/>
  <c r="X218" i="9" s="1"/>
  <c r="L218" i="9"/>
  <c r="N218" i="9" s="1"/>
  <c r="R218" i="9" s="1"/>
  <c r="S218" i="9" s="1"/>
  <c r="Y218" i="9" s="1"/>
  <c r="O218" i="9"/>
  <c r="U218" i="9"/>
  <c r="W218" i="9"/>
  <c r="Z218" i="9"/>
  <c r="I219" i="9"/>
  <c r="K219" i="9" s="1"/>
  <c r="X219" i="9" s="1"/>
  <c r="L219" i="9"/>
  <c r="N219" i="9" s="1"/>
  <c r="R219" i="9" s="1"/>
  <c r="S219" i="9" s="1"/>
  <c r="O219" i="9"/>
  <c r="U219" i="9"/>
  <c r="W219" i="9"/>
  <c r="Z219" i="9"/>
  <c r="I220" i="9"/>
  <c r="K220" i="9" s="1"/>
  <c r="L220" i="9" s="1"/>
  <c r="N220" i="9"/>
  <c r="O220" i="9"/>
  <c r="U220" i="9"/>
  <c r="W220" i="9"/>
  <c r="Z220" i="9"/>
  <c r="I221" i="9"/>
  <c r="K221" i="9" s="1"/>
  <c r="X221" i="9" s="1"/>
  <c r="O221" i="9"/>
  <c r="U221" i="9"/>
  <c r="W221" i="9"/>
  <c r="Z221" i="9"/>
  <c r="I222" i="9"/>
  <c r="K222" i="9" s="1"/>
  <c r="O222" i="9"/>
  <c r="U222" i="9"/>
  <c r="W222" i="9"/>
  <c r="Z222" i="9"/>
  <c r="I223" i="9"/>
  <c r="K223" i="9" s="1"/>
  <c r="O223" i="9"/>
  <c r="U223" i="9"/>
  <c r="W223" i="9"/>
  <c r="Z223" i="9"/>
  <c r="I224" i="9"/>
  <c r="K224" i="9"/>
  <c r="O224" i="9"/>
  <c r="U224" i="9"/>
  <c r="W224" i="9"/>
  <c r="Z224" i="9"/>
  <c r="I225" i="9"/>
  <c r="K225" i="9" s="1"/>
  <c r="O225" i="9"/>
  <c r="U225" i="9"/>
  <c r="W225" i="9"/>
  <c r="Z225" i="9"/>
  <c r="I226" i="9"/>
  <c r="K226" i="9"/>
  <c r="X226" i="9" s="1"/>
  <c r="O226" i="9"/>
  <c r="U226" i="9"/>
  <c r="W226" i="9"/>
  <c r="Z226" i="9"/>
  <c r="I227" i="9"/>
  <c r="K227" i="9" s="1"/>
  <c r="O227" i="9"/>
  <c r="U227" i="9"/>
  <c r="W227" i="9"/>
  <c r="Z227" i="9"/>
  <c r="I228" i="9"/>
  <c r="K228" i="9"/>
  <c r="X228" i="9" s="1"/>
  <c r="O228" i="9"/>
  <c r="U228" i="9"/>
  <c r="W228" i="9"/>
  <c r="Z228" i="9"/>
  <c r="I229" i="9"/>
  <c r="K229" i="9" s="1"/>
  <c r="O229" i="9"/>
  <c r="U229" i="9"/>
  <c r="W229" i="9"/>
  <c r="W254" i="9" s="1"/>
  <c r="Z229" i="9"/>
  <c r="I230" i="9"/>
  <c r="K230" i="9" s="1"/>
  <c r="X230" i="9" s="1"/>
  <c r="O230" i="9"/>
  <c r="U230" i="9"/>
  <c r="W230" i="9"/>
  <c r="Z230" i="9"/>
  <c r="I231" i="9"/>
  <c r="K231" i="9" s="1"/>
  <c r="X231" i="9" s="1"/>
  <c r="O231" i="9"/>
  <c r="U231" i="9"/>
  <c r="W231" i="9"/>
  <c r="Z231" i="9"/>
  <c r="I232" i="9"/>
  <c r="K232" i="9" s="1"/>
  <c r="X232" i="9" s="1"/>
  <c r="O232" i="9"/>
  <c r="U232" i="9"/>
  <c r="W232" i="9"/>
  <c r="Z232" i="9"/>
  <c r="I233" i="9"/>
  <c r="K233" i="9" s="1"/>
  <c r="O233" i="9"/>
  <c r="U233" i="9"/>
  <c r="W233" i="9"/>
  <c r="Z233" i="9"/>
  <c r="I234" i="9"/>
  <c r="K234" i="9" s="1"/>
  <c r="O234" i="9"/>
  <c r="U234" i="9"/>
  <c r="W234" i="9"/>
  <c r="Z234" i="9"/>
  <c r="I235" i="9"/>
  <c r="K235" i="9" s="1"/>
  <c r="X235" i="9" s="1"/>
  <c r="O235" i="9"/>
  <c r="U235" i="9"/>
  <c r="W235" i="9"/>
  <c r="Z235" i="9"/>
  <c r="I236" i="9"/>
  <c r="K236" i="9" s="1"/>
  <c r="O236" i="9"/>
  <c r="U236" i="9"/>
  <c r="W236" i="9"/>
  <c r="Z236" i="9"/>
  <c r="I237" i="9"/>
  <c r="K237" i="9" s="1"/>
  <c r="O237" i="9"/>
  <c r="U237" i="9"/>
  <c r="W237" i="9"/>
  <c r="Z237" i="9"/>
  <c r="I238" i="9"/>
  <c r="K238" i="9"/>
  <c r="L238" i="9" s="1"/>
  <c r="N238" i="9"/>
  <c r="O238" i="9"/>
  <c r="U238" i="9"/>
  <c r="W238" i="9"/>
  <c r="Z238" i="9"/>
  <c r="I239" i="9"/>
  <c r="K239" i="9" s="1"/>
  <c r="L239" i="9" s="1"/>
  <c r="N239" i="9" s="1"/>
  <c r="R239" i="9" s="1"/>
  <c r="S239" i="9" s="1"/>
  <c r="O239" i="9"/>
  <c r="U239" i="9"/>
  <c r="W239" i="9"/>
  <c r="Z239" i="9"/>
  <c r="I240" i="9"/>
  <c r="K240" i="9" s="1"/>
  <c r="O240" i="9"/>
  <c r="U240" i="9"/>
  <c r="W240" i="9"/>
  <c r="Z240" i="9"/>
  <c r="I241" i="9"/>
  <c r="K241" i="9" s="1"/>
  <c r="L241" i="9" s="1"/>
  <c r="N241" i="9" s="1"/>
  <c r="R241" i="9" s="1"/>
  <c r="S241" i="9" s="1"/>
  <c r="O241" i="9"/>
  <c r="U241" i="9"/>
  <c r="W241" i="9"/>
  <c r="Z241" i="9"/>
  <c r="I242" i="9"/>
  <c r="K242" i="9" s="1"/>
  <c r="O242" i="9"/>
  <c r="U242" i="9"/>
  <c r="W242" i="9"/>
  <c r="Z242" i="9"/>
  <c r="I243" i="9"/>
  <c r="K243" i="9" s="1"/>
  <c r="L243" i="9" s="1"/>
  <c r="N243" i="9" s="1"/>
  <c r="O243" i="9"/>
  <c r="U243" i="9"/>
  <c r="W243" i="9"/>
  <c r="Z243" i="9"/>
  <c r="I244" i="9"/>
  <c r="K244" i="9" s="1"/>
  <c r="O244" i="9"/>
  <c r="U244" i="9"/>
  <c r="W244" i="9"/>
  <c r="Z244" i="9"/>
  <c r="I245" i="9"/>
  <c r="K245" i="9" s="1"/>
  <c r="O245" i="9"/>
  <c r="U245" i="9"/>
  <c r="W245" i="9"/>
  <c r="Z245" i="9"/>
  <c r="I246" i="9"/>
  <c r="K246" i="9" s="1"/>
  <c r="O246" i="9"/>
  <c r="U246" i="9"/>
  <c r="W246" i="9"/>
  <c r="Z246" i="9"/>
  <c r="I247" i="9"/>
  <c r="K247" i="9" s="1"/>
  <c r="O247" i="9"/>
  <c r="U247" i="9"/>
  <c r="W247" i="9"/>
  <c r="Z247" i="9"/>
  <c r="I248" i="9"/>
  <c r="K248" i="9" s="1"/>
  <c r="O248" i="9"/>
  <c r="U248" i="9"/>
  <c r="W248" i="9"/>
  <c r="Z248" i="9"/>
  <c r="I249" i="9"/>
  <c r="K249" i="9" s="1"/>
  <c r="O249" i="9"/>
  <c r="U249" i="9"/>
  <c r="W249" i="9"/>
  <c r="Z249" i="9"/>
  <c r="I250" i="9"/>
  <c r="K250" i="9" s="1"/>
  <c r="O250" i="9"/>
  <c r="U250" i="9"/>
  <c r="W250" i="9"/>
  <c r="Z250" i="9"/>
  <c r="G251" i="9"/>
  <c r="I251" i="9" s="1"/>
  <c r="K251" i="9" s="1"/>
  <c r="O251" i="9"/>
  <c r="U251" i="9"/>
  <c r="W251" i="9"/>
  <c r="Z251" i="9"/>
  <c r="G252" i="9"/>
  <c r="I252" i="9" s="1"/>
  <c r="K252" i="9" s="1"/>
  <c r="L252" i="9" s="1"/>
  <c r="N252" i="9" s="1"/>
  <c r="R252" i="9" s="1"/>
  <c r="S252" i="9" s="1"/>
  <c r="O252" i="9"/>
  <c r="U252" i="9"/>
  <c r="W252" i="9"/>
  <c r="Z252" i="9"/>
  <c r="G253" i="9"/>
  <c r="I253" i="9" s="1"/>
  <c r="K253" i="9" s="1"/>
  <c r="X253" i="9" s="1"/>
  <c r="O253" i="9"/>
  <c r="U253" i="9"/>
  <c r="W253" i="9"/>
  <c r="Z253" i="9"/>
  <c r="H254" i="9"/>
  <c r="J254" i="9"/>
  <c r="P254" i="9"/>
  <c r="Q254" i="9"/>
  <c r="T254" i="9"/>
  <c r="V254" i="9"/>
  <c r="AB255" i="9"/>
  <c r="H12" i="10"/>
  <c r="J12" i="10" s="1"/>
  <c r="N12" i="10"/>
  <c r="T12" i="10"/>
  <c r="V12" i="10"/>
  <c r="Y12" i="10"/>
  <c r="H13" i="10"/>
  <c r="N13" i="10"/>
  <c r="T13" i="10"/>
  <c r="T72" i="10" s="1"/>
  <c r="V13" i="10"/>
  <c r="Y13" i="10"/>
  <c r="H14" i="10"/>
  <c r="J14" i="10" s="1"/>
  <c r="N14" i="10"/>
  <c r="T14" i="10"/>
  <c r="V14" i="10"/>
  <c r="Y14" i="10"/>
  <c r="H15" i="10"/>
  <c r="J15" i="10" s="1"/>
  <c r="N15" i="10"/>
  <c r="T15" i="10"/>
  <c r="V15" i="10"/>
  <c r="Y15" i="10"/>
  <c r="H16" i="10"/>
  <c r="J16" i="10" s="1"/>
  <c r="N16" i="10"/>
  <c r="T16" i="10"/>
  <c r="V16" i="10"/>
  <c r="Y16" i="10"/>
  <c r="H17" i="10"/>
  <c r="J17" i="10"/>
  <c r="W17" i="10" s="1"/>
  <c r="N17" i="10"/>
  <c r="T17" i="10"/>
  <c r="V17" i="10"/>
  <c r="Y17" i="10"/>
  <c r="H18" i="10"/>
  <c r="J18" i="10" s="1"/>
  <c r="N18" i="10"/>
  <c r="T18" i="10"/>
  <c r="V18" i="10"/>
  <c r="Y18" i="10"/>
  <c r="H19" i="10"/>
  <c r="J19" i="10" s="1"/>
  <c r="N19" i="10"/>
  <c r="T19" i="10"/>
  <c r="V19" i="10"/>
  <c r="Y19" i="10"/>
  <c r="H20" i="10"/>
  <c r="J20" i="10" s="1"/>
  <c r="N20" i="10"/>
  <c r="T20" i="10"/>
  <c r="V20" i="10"/>
  <c r="Y20" i="10"/>
  <c r="H21" i="10"/>
  <c r="J21" i="10" s="1"/>
  <c r="N21" i="10"/>
  <c r="T21" i="10"/>
  <c r="V21" i="10"/>
  <c r="Y21" i="10"/>
  <c r="H22" i="10"/>
  <c r="J22" i="10" s="1"/>
  <c r="W22" i="10" s="1"/>
  <c r="N22" i="10"/>
  <c r="T22" i="10"/>
  <c r="V22" i="10"/>
  <c r="Y22" i="10"/>
  <c r="H23" i="10"/>
  <c r="J23" i="10" s="1"/>
  <c r="N23" i="10"/>
  <c r="T23" i="10"/>
  <c r="V23" i="10"/>
  <c r="Y23" i="10"/>
  <c r="H24" i="10"/>
  <c r="J24" i="10" s="1"/>
  <c r="N24" i="10"/>
  <c r="T24" i="10"/>
  <c r="V24" i="10"/>
  <c r="Y24" i="10"/>
  <c r="H25" i="10"/>
  <c r="J25" i="10" s="1"/>
  <c r="N25" i="10"/>
  <c r="T25" i="10"/>
  <c r="V25" i="10"/>
  <c r="Y25" i="10"/>
  <c r="H26" i="10"/>
  <c r="J26" i="10" s="1"/>
  <c r="K26" i="10" s="1"/>
  <c r="M26" i="10"/>
  <c r="Q26" i="10" s="1"/>
  <c r="R26" i="10" s="1"/>
  <c r="N26" i="10"/>
  <c r="T26" i="10"/>
  <c r="V26" i="10"/>
  <c r="Y26" i="10"/>
  <c r="H27" i="10"/>
  <c r="J27" i="10" s="1"/>
  <c r="W27" i="10" s="1"/>
  <c r="N27" i="10"/>
  <c r="T27" i="10"/>
  <c r="V27" i="10"/>
  <c r="Y27" i="10"/>
  <c r="H28" i="10"/>
  <c r="J28" i="10" s="1"/>
  <c r="W28" i="10" s="1"/>
  <c r="N28" i="10"/>
  <c r="T28" i="10"/>
  <c r="V28" i="10"/>
  <c r="Y28" i="10"/>
  <c r="H29" i="10"/>
  <c r="J29" i="10" s="1"/>
  <c r="N29" i="10"/>
  <c r="T29" i="10"/>
  <c r="V29" i="10"/>
  <c r="Y29" i="10"/>
  <c r="H30" i="10"/>
  <c r="J30" i="10" s="1"/>
  <c r="N30" i="10"/>
  <c r="T30" i="10"/>
  <c r="V30" i="10"/>
  <c r="Y30" i="10"/>
  <c r="H31" i="10"/>
  <c r="J31" i="10" s="1"/>
  <c r="N31" i="10"/>
  <c r="T31" i="10"/>
  <c r="V31" i="10"/>
  <c r="Y31" i="10"/>
  <c r="H32" i="10"/>
  <c r="J32" i="10" s="1"/>
  <c r="N32" i="10"/>
  <c r="T32" i="10"/>
  <c r="V32" i="10"/>
  <c r="Y32" i="10"/>
  <c r="H33" i="10"/>
  <c r="J33" i="10" s="1"/>
  <c r="N33" i="10"/>
  <c r="T33" i="10"/>
  <c r="V33" i="10"/>
  <c r="Y33" i="10"/>
  <c r="H34" i="10"/>
  <c r="J34" i="10" s="1"/>
  <c r="N34" i="10"/>
  <c r="T34" i="10"/>
  <c r="V34" i="10"/>
  <c r="Y34" i="10"/>
  <c r="H35" i="10"/>
  <c r="J35" i="10" s="1"/>
  <c r="N35" i="10"/>
  <c r="T35" i="10"/>
  <c r="V35" i="10"/>
  <c r="Y35" i="10"/>
  <c r="H36" i="10"/>
  <c r="J36" i="10"/>
  <c r="N36" i="10"/>
  <c r="T36" i="10"/>
  <c r="V36" i="10"/>
  <c r="Y36" i="10"/>
  <c r="H37" i="10"/>
  <c r="J37" i="10" s="1"/>
  <c r="N37" i="10"/>
  <c r="T37" i="10"/>
  <c r="V37" i="10"/>
  <c r="Y37" i="10"/>
  <c r="H38" i="10"/>
  <c r="J38" i="10" s="1"/>
  <c r="K38" i="10" s="1"/>
  <c r="M38" i="10"/>
  <c r="N38" i="10"/>
  <c r="Q38" i="10" s="1"/>
  <c r="R38" i="10" s="1"/>
  <c r="T38" i="10"/>
  <c r="V38" i="10"/>
  <c r="Y38" i="10"/>
  <c r="H39" i="10"/>
  <c r="J39" i="10" s="1"/>
  <c r="N39" i="10"/>
  <c r="T39" i="10"/>
  <c r="V39" i="10"/>
  <c r="Y39" i="10"/>
  <c r="H40" i="10"/>
  <c r="J40" i="10" s="1"/>
  <c r="K40" i="10" s="1"/>
  <c r="M40" i="10" s="1"/>
  <c r="Q40" i="10" s="1"/>
  <c r="R40" i="10" s="1"/>
  <c r="N40" i="10"/>
  <c r="T40" i="10"/>
  <c r="V40" i="10"/>
  <c r="Y40" i="10"/>
  <c r="H41" i="10"/>
  <c r="J41" i="10" s="1"/>
  <c r="K41" i="10" s="1"/>
  <c r="M41" i="10" s="1"/>
  <c r="Q41" i="10" s="1"/>
  <c r="R41" i="10" s="1"/>
  <c r="N41" i="10"/>
  <c r="T41" i="10"/>
  <c r="V41" i="10"/>
  <c r="Y41" i="10"/>
  <c r="H42" i="10"/>
  <c r="J42" i="10" s="1"/>
  <c r="K42" i="10" s="1"/>
  <c r="M42" i="10" s="1"/>
  <c r="Q42" i="10" s="1"/>
  <c r="R42" i="10" s="1"/>
  <c r="N42" i="10"/>
  <c r="T42" i="10"/>
  <c r="V42" i="10"/>
  <c r="Y42" i="10"/>
  <c r="H43" i="10"/>
  <c r="J43" i="10"/>
  <c r="K43" i="10" s="1"/>
  <c r="M43" i="10" s="1"/>
  <c r="Q43" i="10"/>
  <c r="R43" i="10" s="1"/>
  <c r="N43" i="10"/>
  <c r="T43" i="10"/>
  <c r="V43" i="10"/>
  <c r="Y43" i="10"/>
  <c r="H44" i="10"/>
  <c r="J44" i="10"/>
  <c r="K44" i="10" s="1"/>
  <c r="M44" i="10" s="1"/>
  <c r="Q44" i="10" s="1"/>
  <c r="R44" i="10" s="1"/>
  <c r="N44" i="10"/>
  <c r="T44" i="10"/>
  <c r="V44" i="10"/>
  <c r="Y44" i="10"/>
  <c r="H45" i="10"/>
  <c r="J45" i="10"/>
  <c r="K45" i="10" s="1"/>
  <c r="M45" i="10" s="1"/>
  <c r="Q45" i="10" s="1"/>
  <c r="R45" i="10" s="1"/>
  <c r="N45" i="10"/>
  <c r="T45" i="10"/>
  <c r="V45" i="10"/>
  <c r="Y45" i="10"/>
  <c r="H46" i="10"/>
  <c r="J46" i="10"/>
  <c r="K46" i="10" s="1"/>
  <c r="M46" i="10" s="1"/>
  <c r="Q46" i="10" s="1"/>
  <c r="R46" i="10" s="1"/>
  <c r="N46" i="10"/>
  <c r="T46" i="10"/>
  <c r="V46" i="10"/>
  <c r="Y46" i="10"/>
  <c r="H47" i="10"/>
  <c r="J47" i="10" s="1"/>
  <c r="N47" i="10"/>
  <c r="T47" i="10"/>
  <c r="V47" i="10"/>
  <c r="Y47" i="10"/>
  <c r="H48" i="10"/>
  <c r="J48" i="10" s="1"/>
  <c r="K48" i="10" s="1"/>
  <c r="M48" i="10" s="1"/>
  <c r="Q48" i="10" s="1"/>
  <c r="R48" i="10" s="1"/>
  <c r="N48" i="10"/>
  <c r="T48" i="10"/>
  <c r="V48" i="10"/>
  <c r="Y48" i="10"/>
  <c r="H49" i="10"/>
  <c r="J49" i="10" s="1"/>
  <c r="K49" i="10" s="1"/>
  <c r="M49" i="10" s="1"/>
  <c r="Q49" i="10" s="1"/>
  <c r="R49" i="10" s="1"/>
  <c r="N49" i="10"/>
  <c r="T49" i="10"/>
  <c r="V49" i="10"/>
  <c r="Y49" i="10"/>
  <c r="H50" i="10"/>
  <c r="J50" i="10" s="1"/>
  <c r="K50" i="10" s="1"/>
  <c r="M50" i="10" s="1"/>
  <c r="Q50" i="10" s="1"/>
  <c r="R50" i="10" s="1"/>
  <c r="N50" i="10"/>
  <c r="T50" i="10"/>
  <c r="V50" i="10"/>
  <c r="Y50" i="10"/>
  <c r="H51" i="10"/>
  <c r="J51" i="10"/>
  <c r="K51" i="10" s="1"/>
  <c r="M51" i="10" s="1"/>
  <c r="Q51" i="10" s="1"/>
  <c r="R51" i="10" s="1"/>
  <c r="N51" i="10"/>
  <c r="T51" i="10"/>
  <c r="V51" i="10"/>
  <c r="Y51" i="10"/>
  <c r="H52" i="10"/>
  <c r="J52" i="10"/>
  <c r="K52" i="10" s="1"/>
  <c r="M52" i="10" s="1"/>
  <c r="Q52" i="10" s="1"/>
  <c r="R52" i="10" s="1"/>
  <c r="N52" i="10"/>
  <c r="T52" i="10"/>
  <c r="V52" i="10"/>
  <c r="Y52" i="10"/>
  <c r="H53" i="10"/>
  <c r="J53" i="10"/>
  <c r="K53" i="10" s="1"/>
  <c r="M53" i="10" s="1"/>
  <c r="Q53" i="10" s="1"/>
  <c r="R53" i="10" s="1"/>
  <c r="N53" i="10"/>
  <c r="T53" i="10"/>
  <c r="V53" i="10"/>
  <c r="Y53" i="10"/>
  <c r="H54" i="10"/>
  <c r="J54" i="10"/>
  <c r="K54" i="10" s="1"/>
  <c r="M54" i="10" s="1"/>
  <c r="Q54" i="10" s="1"/>
  <c r="R54" i="10" s="1"/>
  <c r="N54" i="10"/>
  <c r="T54" i="10"/>
  <c r="V54" i="10"/>
  <c r="Y54" i="10"/>
  <c r="H55" i="10"/>
  <c r="J55" i="10" s="1"/>
  <c r="N55" i="10"/>
  <c r="T55" i="10"/>
  <c r="V55" i="10"/>
  <c r="Y55" i="10"/>
  <c r="H56" i="10"/>
  <c r="J56" i="10" s="1"/>
  <c r="K56" i="10" s="1"/>
  <c r="M56" i="10" s="1"/>
  <c r="Q56" i="10" s="1"/>
  <c r="R56" i="10" s="1"/>
  <c r="N56" i="10"/>
  <c r="T56" i="10"/>
  <c r="V56" i="10"/>
  <c r="Y56" i="10"/>
  <c r="H57" i="10"/>
  <c r="J57" i="10" s="1"/>
  <c r="K57" i="10" s="1"/>
  <c r="M57" i="10" s="1"/>
  <c r="Q57" i="10" s="1"/>
  <c r="R57" i="10" s="1"/>
  <c r="N57" i="10"/>
  <c r="T57" i="10"/>
  <c r="V57" i="10"/>
  <c r="Y57" i="10"/>
  <c r="H58" i="10"/>
  <c r="J58" i="10" s="1"/>
  <c r="K58" i="10" s="1"/>
  <c r="M58" i="10" s="1"/>
  <c r="Q58" i="10" s="1"/>
  <c r="R58" i="10" s="1"/>
  <c r="N58" i="10"/>
  <c r="T58" i="10"/>
  <c r="V58" i="10"/>
  <c r="Y58" i="10"/>
  <c r="H59" i="10"/>
  <c r="J59" i="10"/>
  <c r="K59" i="10" s="1"/>
  <c r="M59" i="10" s="1"/>
  <c r="Q59" i="10"/>
  <c r="R59" i="10" s="1"/>
  <c r="N59" i="10"/>
  <c r="T59" i="10"/>
  <c r="V59" i="10"/>
  <c r="Y59" i="10"/>
  <c r="H60" i="10"/>
  <c r="J60" i="10"/>
  <c r="K60" i="10" s="1"/>
  <c r="M60" i="10" s="1"/>
  <c r="Q60" i="10" s="1"/>
  <c r="R60" i="10" s="1"/>
  <c r="N60" i="10"/>
  <c r="T60" i="10"/>
  <c r="V60" i="10"/>
  <c r="Y60" i="10"/>
  <c r="H61" i="10"/>
  <c r="J61" i="10"/>
  <c r="K61" i="10" s="1"/>
  <c r="M61" i="10" s="1"/>
  <c r="Q61" i="10" s="1"/>
  <c r="R61" i="10" s="1"/>
  <c r="N61" i="10"/>
  <c r="T61" i="10"/>
  <c r="V61" i="10"/>
  <c r="Y61" i="10"/>
  <c r="H62" i="10"/>
  <c r="J62" i="10" s="1"/>
  <c r="N62" i="10"/>
  <c r="T62" i="10"/>
  <c r="V62" i="10"/>
  <c r="Y62" i="10"/>
  <c r="H63" i="10"/>
  <c r="J63" i="10" s="1"/>
  <c r="N63" i="10"/>
  <c r="T63" i="10"/>
  <c r="V63" i="10"/>
  <c r="Y63" i="10"/>
  <c r="F64" i="10"/>
  <c r="F72" i="10" s="1"/>
  <c r="N64" i="10"/>
  <c r="T64" i="10"/>
  <c r="V64" i="10"/>
  <c r="Y64" i="10"/>
  <c r="F65" i="10"/>
  <c r="H65" i="10" s="1"/>
  <c r="J65" i="10" s="1"/>
  <c r="N65" i="10"/>
  <c r="T65" i="10"/>
  <c r="V65" i="10"/>
  <c r="Y65" i="10"/>
  <c r="H66" i="10"/>
  <c r="J66" i="10" s="1"/>
  <c r="N66" i="10"/>
  <c r="T66" i="10"/>
  <c r="V66" i="10"/>
  <c r="Y66" i="10"/>
  <c r="F67" i="10"/>
  <c r="H67" i="10" s="1"/>
  <c r="J67" i="10" s="1"/>
  <c r="N67" i="10"/>
  <c r="T67" i="10"/>
  <c r="V67" i="10"/>
  <c r="Y67" i="10"/>
  <c r="F68" i="10"/>
  <c r="H68" i="10" s="1"/>
  <c r="J68" i="10" s="1"/>
  <c r="N68" i="10"/>
  <c r="T68" i="10"/>
  <c r="V68" i="10"/>
  <c r="Y68" i="10"/>
  <c r="F69" i="10"/>
  <c r="H69" i="10" s="1"/>
  <c r="J69" i="10" s="1"/>
  <c r="N69" i="10"/>
  <c r="T69" i="10"/>
  <c r="V69" i="10"/>
  <c r="Y69" i="10"/>
  <c r="F70" i="10"/>
  <c r="H70" i="10" s="1"/>
  <c r="J70" i="10" s="1"/>
  <c r="N70" i="10"/>
  <c r="T70" i="10"/>
  <c r="V70" i="10"/>
  <c r="Y70" i="10"/>
  <c r="F71" i="10"/>
  <c r="H71" i="10" s="1"/>
  <c r="J71" i="10" s="1"/>
  <c r="N71" i="10"/>
  <c r="T71" i="10"/>
  <c r="V71" i="10"/>
  <c r="Y71" i="10"/>
  <c r="G72" i="10"/>
  <c r="I72" i="10"/>
  <c r="O72" i="10"/>
  <c r="P72" i="10"/>
  <c r="S72" i="10"/>
  <c r="U72" i="10"/>
  <c r="I13" i="11"/>
  <c r="K13" i="11" s="1"/>
  <c r="O13" i="11"/>
  <c r="U13" i="11"/>
  <c r="W13" i="11"/>
  <c r="W17" i="11" s="1"/>
  <c r="Z13" i="11"/>
  <c r="I14" i="11"/>
  <c r="K14" i="11" s="1"/>
  <c r="L14" i="11" s="1"/>
  <c r="N14" i="11" s="1"/>
  <c r="R14" i="11" s="1"/>
  <c r="S14" i="11" s="1"/>
  <c r="O14" i="11"/>
  <c r="U14" i="11"/>
  <c r="W14" i="11"/>
  <c r="Z14" i="11"/>
  <c r="I15" i="11"/>
  <c r="K15" i="11" s="1"/>
  <c r="L15" i="11" s="1"/>
  <c r="N15" i="11" s="1"/>
  <c r="R15" i="11" s="1"/>
  <c r="S15" i="11" s="1"/>
  <c r="O15" i="11"/>
  <c r="U15" i="11"/>
  <c r="W15" i="11"/>
  <c r="Z15" i="11"/>
  <c r="I16" i="11"/>
  <c r="L16" i="11"/>
  <c r="N16" i="11" s="1"/>
  <c r="O16" i="11"/>
  <c r="U16" i="11"/>
  <c r="W16" i="11"/>
  <c r="X16" i="11"/>
  <c r="Z16" i="11"/>
  <c r="G17" i="11"/>
  <c r="H17" i="11"/>
  <c r="J17" i="11"/>
  <c r="P17" i="11"/>
  <c r="Q17" i="11"/>
  <c r="T17" i="11"/>
  <c r="V17" i="11"/>
  <c r="H15" i="2"/>
  <c r="J14" i="2"/>
  <c r="K14" i="2" s="1"/>
  <c r="K12" i="10"/>
  <c r="M12" i="10" s="1"/>
  <c r="Q12" i="10" s="1"/>
  <c r="W12" i="10"/>
  <c r="X237" i="9"/>
  <c r="L237" i="9"/>
  <c r="N237" i="9" s="1"/>
  <c r="R237" i="9" s="1"/>
  <c r="S237" i="9" s="1"/>
  <c r="Y237" i="9" s="1"/>
  <c r="L141" i="9"/>
  <c r="N141" i="9" s="1"/>
  <c r="R141" i="9" s="1"/>
  <c r="S141" i="9" s="1"/>
  <c r="X141" i="9"/>
  <c r="K24" i="10"/>
  <c r="M24" i="10" s="1"/>
  <c r="W24" i="10"/>
  <c r="K185" i="9"/>
  <c r="L185" i="9" s="1"/>
  <c r="N185" i="9" s="1"/>
  <c r="R185" i="9" s="1"/>
  <c r="S185" i="9" s="1"/>
  <c r="K20" i="10"/>
  <c r="M20" i="10" s="1"/>
  <c r="W20" i="10"/>
  <c r="K17" i="10"/>
  <c r="M17" i="10" s="1"/>
  <c r="Q17" i="10" s="1"/>
  <c r="R17" i="10" s="1"/>
  <c r="X233" i="9"/>
  <c r="L233" i="9"/>
  <c r="N233" i="9" s="1"/>
  <c r="R233" i="9" s="1"/>
  <c r="S233" i="9" s="1"/>
  <c r="K16" i="10"/>
  <c r="M16" i="10" s="1"/>
  <c r="Q16" i="10" s="1"/>
  <c r="R16" i="10" s="1"/>
  <c r="X16" i="10" s="1"/>
  <c r="W16" i="10"/>
  <c r="J13" i="10"/>
  <c r="K13" i="10" s="1"/>
  <c r="L210" i="9"/>
  <c r="N210" i="9" s="1"/>
  <c r="R210" i="9" s="1"/>
  <c r="S210" i="9" s="1"/>
  <c r="Y210" i="9" s="1"/>
  <c r="X210" i="9"/>
  <c r="H64" i="10"/>
  <c r="J64" i="10" s="1"/>
  <c r="L253" i="9"/>
  <c r="N253" i="9" s="1"/>
  <c r="R253" i="9" s="1"/>
  <c r="S253" i="9" s="1"/>
  <c r="Y253" i="9" s="1"/>
  <c r="X243" i="9"/>
  <c r="L230" i="9"/>
  <c r="N230" i="9" s="1"/>
  <c r="R230" i="9" s="1"/>
  <c r="S230" i="9" s="1"/>
  <c r="Y230" i="9" s="1"/>
  <c r="R157" i="9"/>
  <c r="S157" i="9" s="1"/>
  <c r="Y157" i="9" s="1"/>
  <c r="L75" i="9"/>
  <c r="N75" i="9"/>
  <c r="R75" i="9" s="1"/>
  <c r="S75" i="9" s="1"/>
  <c r="Y75" i="9" s="1"/>
  <c r="X75" i="9"/>
  <c r="X224" i="9"/>
  <c r="L224" i="9"/>
  <c r="N224" i="9"/>
  <c r="R224" i="9" s="1"/>
  <c r="S224" i="9" s="1"/>
  <c r="Y224" i="9" s="1"/>
  <c r="Y158" i="9"/>
  <c r="L149" i="9"/>
  <c r="N149" i="9" s="1"/>
  <c r="R149" i="9" s="1"/>
  <c r="S149" i="9" s="1"/>
  <c r="Y149" i="9" s="1"/>
  <c r="X149" i="9"/>
  <c r="X241" i="9"/>
  <c r="L206" i="9"/>
  <c r="N206" i="9" s="1"/>
  <c r="R206" i="9" s="1"/>
  <c r="S206" i="9" s="1"/>
  <c r="Y206" i="9" s="1"/>
  <c r="X206" i="9"/>
  <c r="L153" i="9"/>
  <c r="N153" i="9" s="1"/>
  <c r="R153" i="9" s="1"/>
  <c r="S153" i="9" s="1"/>
  <c r="X153" i="9"/>
  <c r="Y153" i="9" s="1"/>
  <c r="L137" i="9"/>
  <c r="N137" i="9"/>
  <c r="R137" i="9" s="1"/>
  <c r="S137" i="9" s="1"/>
  <c r="Y137" i="9" s="1"/>
  <c r="X137" i="9"/>
  <c r="L59" i="9"/>
  <c r="N59" i="9" s="1"/>
  <c r="R59" i="9" s="1"/>
  <c r="S59" i="9" s="1"/>
  <c r="Y59" i="9" s="1"/>
  <c r="X59" i="9"/>
  <c r="X159" i="9"/>
  <c r="L159" i="9"/>
  <c r="N159" i="9"/>
  <c r="R159" i="9" s="1"/>
  <c r="S159" i="9" s="1"/>
  <c r="Y159" i="9" s="1"/>
  <c r="X132" i="9"/>
  <c r="L132" i="9"/>
  <c r="N132" i="9" s="1"/>
  <c r="R132" i="9" s="1"/>
  <c r="S132" i="9" s="1"/>
  <c r="R112" i="9"/>
  <c r="S112" i="9" s="1"/>
  <c r="Y112" i="9" s="1"/>
  <c r="L63" i="9"/>
  <c r="N63" i="9" s="1"/>
  <c r="R63" i="9" s="1"/>
  <c r="S63" i="9" s="1"/>
  <c r="Y63" i="9" s="1"/>
  <c r="X63" i="9"/>
  <c r="L17" i="9"/>
  <c r="N17" i="9" s="1"/>
  <c r="R17" i="9" s="1"/>
  <c r="S17" i="9" s="1"/>
  <c r="Y17" i="9" s="1"/>
  <c r="R238" i="9"/>
  <c r="S238" i="9" s="1"/>
  <c r="Y238" i="9" s="1"/>
  <c r="L235" i="9"/>
  <c r="N235" i="9" s="1"/>
  <c r="R235" i="9" s="1"/>
  <c r="S235" i="9" s="1"/>
  <c r="Y235" i="9" s="1"/>
  <c r="X229" i="9"/>
  <c r="L229" i="9"/>
  <c r="N229" i="9" s="1"/>
  <c r="R229" i="9" s="1"/>
  <c r="S229" i="9" s="1"/>
  <c r="Y229" i="9" s="1"/>
  <c r="X227" i="9"/>
  <c r="L227" i="9"/>
  <c r="N227" i="9" s="1"/>
  <c r="R227" i="9" s="1"/>
  <c r="S227" i="9" s="1"/>
  <c r="Y227" i="9" s="1"/>
  <c r="X225" i="9"/>
  <c r="L225" i="9"/>
  <c r="N225" i="9" s="1"/>
  <c r="R225" i="9" s="1"/>
  <c r="S225" i="9" s="1"/>
  <c r="Y225" i="9" s="1"/>
  <c r="X223" i="9"/>
  <c r="L223" i="9"/>
  <c r="N223" i="9" s="1"/>
  <c r="R223" i="9" s="1"/>
  <c r="S223" i="9" s="1"/>
  <c r="Y223" i="9" s="1"/>
  <c r="L160" i="9"/>
  <c r="N160" i="9" s="1"/>
  <c r="R160" i="9" s="1"/>
  <c r="S160" i="9" s="1"/>
  <c r="Y160" i="9" s="1"/>
  <c r="X130" i="9"/>
  <c r="X129" i="9"/>
  <c r="X126" i="9"/>
  <c r="Y126" i="9" s="1"/>
  <c r="X125" i="9"/>
  <c r="Y125" i="9" s="1"/>
  <c r="X122" i="9"/>
  <c r="X121" i="9"/>
  <c r="X118" i="9"/>
  <c r="Y118" i="9" s="1"/>
  <c r="X117" i="9"/>
  <c r="Y117" i="9" s="1"/>
  <c r="X114" i="9"/>
  <c r="X113" i="9"/>
  <c r="R82" i="9"/>
  <c r="S82" i="9" s="1"/>
  <c r="L67" i="9"/>
  <c r="N67" i="9" s="1"/>
  <c r="R67" i="9" s="1"/>
  <c r="S67" i="9" s="1"/>
  <c r="Y67" i="9" s="1"/>
  <c r="X67" i="9"/>
  <c r="X131" i="9"/>
  <c r="L131" i="9"/>
  <c r="N131" i="9" s="1"/>
  <c r="R131" i="9" s="1"/>
  <c r="S131" i="9" s="1"/>
  <c r="Y131" i="9" s="1"/>
  <c r="X91" i="9"/>
  <c r="L91" i="9"/>
  <c r="N91" i="9"/>
  <c r="R91" i="9" s="1"/>
  <c r="S91" i="9" s="1"/>
  <c r="Y91" i="9" s="1"/>
  <c r="X89" i="9"/>
  <c r="L89" i="9"/>
  <c r="N89" i="9" s="1"/>
  <c r="R89" i="9" s="1"/>
  <c r="S89" i="9" s="1"/>
  <c r="X87" i="9"/>
  <c r="L87" i="9"/>
  <c r="N87" i="9" s="1"/>
  <c r="R87" i="9" s="1"/>
  <c r="S87" i="9" s="1"/>
  <c r="X85" i="9"/>
  <c r="L85" i="9"/>
  <c r="N85" i="9" s="1"/>
  <c r="R85" i="9" s="1"/>
  <c r="S85" i="9" s="1"/>
  <c r="X83" i="9"/>
  <c r="L83" i="9"/>
  <c r="N83" i="9" s="1"/>
  <c r="R83" i="9" s="1"/>
  <c r="S83" i="9"/>
  <c r="X90" i="9"/>
  <c r="L90" i="9"/>
  <c r="N90" i="9" s="1"/>
  <c r="R90" i="9" s="1"/>
  <c r="S90" i="9" s="1"/>
  <c r="Y90" i="9" s="1"/>
  <c r="X88" i="9"/>
  <c r="L88" i="9"/>
  <c r="N88" i="9" s="1"/>
  <c r="R88" i="9"/>
  <c r="S88" i="9" s="1"/>
  <c r="Y88" i="9" s="1"/>
  <c r="X86" i="9"/>
  <c r="L86" i="9"/>
  <c r="N86" i="9" s="1"/>
  <c r="R86" i="9" s="1"/>
  <c r="S86" i="9" s="1"/>
  <c r="Y86" i="9" s="1"/>
  <c r="X84" i="9"/>
  <c r="L84" i="9"/>
  <c r="N84" i="9" s="1"/>
  <c r="R84" i="9" s="1"/>
  <c r="S84" i="9" s="1"/>
  <c r="Y84" i="9" s="1"/>
  <c r="M13" i="10"/>
  <c r="Q13" i="10" s="1"/>
  <c r="R13" i="10" s="1"/>
  <c r="X185" i="9"/>
  <c r="Y132" i="9"/>
  <c r="B74" i="10"/>
  <c r="B19" i="11"/>
  <c r="Y185" i="9" l="1"/>
  <c r="W64" i="10"/>
  <c r="K64" i="10"/>
  <c r="M64" i="10" s="1"/>
  <c r="Q64" i="10" s="1"/>
  <c r="R64" i="10" s="1"/>
  <c r="X64" i="10" s="1"/>
  <c r="X17" i="10"/>
  <c r="X242" i="9"/>
  <c r="L242" i="9"/>
  <c r="N242" i="9" s="1"/>
  <c r="R242" i="9" s="1"/>
  <c r="S242" i="9" s="1"/>
  <c r="Y242" i="9" s="1"/>
  <c r="L128" i="9"/>
  <c r="N128" i="9" s="1"/>
  <c r="R128" i="9" s="1"/>
  <c r="S128" i="9" s="1"/>
  <c r="Y128" i="9" s="1"/>
  <c r="X128" i="9"/>
  <c r="L119" i="9"/>
  <c r="N119" i="9" s="1"/>
  <c r="R119" i="9" s="1"/>
  <c r="S119" i="9" s="1"/>
  <c r="Y119" i="9" s="1"/>
  <c r="X119" i="9"/>
  <c r="L71" i="9"/>
  <c r="N71" i="9" s="1"/>
  <c r="R71" i="9" s="1"/>
  <c r="S71" i="9" s="1"/>
  <c r="Y71" i="9" s="1"/>
  <c r="X71" i="9"/>
  <c r="X56" i="9"/>
  <c r="L56" i="9"/>
  <c r="N56" i="9" s="1"/>
  <c r="K55" i="10"/>
  <c r="M55" i="10" s="1"/>
  <c r="Q55" i="10" s="1"/>
  <c r="R55" i="10" s="1"/>
  <c r="X55" i="10" s="1"/>
  <c r="W55" i="10"/>
  <c r="K47" i="10"/>
  <c r="M47" i="10" s="1"/>
  <c r="Q47" i="10" s="1"/>
  <c r="R47" i="10" s="1"/>
  <c r="X47" i="10" s="1"/>
  <c r="W47" i="10"/>
  <c r="X245" i="9"/>
  <c r="L245" i="9"/>
  <c r="N245" i="9" s="1"/>
  <c r="R245" i="9" s="1"/>
  <c r="S245" i="9" s="1"/>
  <c r="X222" i="9"/>
  <c r="L222" i="9"/>
  <c r="N222" i="9" s="1"/>
  <c r="R222" i="9" s="1"/>
  <c r="S222" i="9" s="1"/>
  <c r="X216" i="9"/>
  <c r="L216" i="9"/>
  <c r="N216" i="9" s="1"/>
  <c r="R216" i="9" s="1"/>
  <c r="S216" i="9" s="1"/>
  <c r="L184" i="9"/>
  <c r="N184" i="9" s="1"/>
  <c r="R184" i="9" s="1"/>
  <c r="S184" i="9" s="1"/>
  <c r="Y184" i="9" s="1"/>
  <c r="X184" i="9"/>
  <c r="K135" i="9"/>
  <c r="I254" i="9"/>
  <c r="L127" i="9"/>
  <c r="N127" i="9" s="1"/>
  <c r="R127" i="9" s="1"/>
  <c r="S127" i="9" s="1"/>
  <c r="Y127" i="9" s="1"/>
  <c r="X127" i="9"/>
  <c r="L116" i="9"/>
  <c r="N116" i="9" s="1"/>
  <c r="R116" i="9" s="1"/>
  <c r="S116" i="9" s="1"/>
  <c r="X116" i="9"/>
  <c r="L74" i="9"/>
  <c r="N74" i="9" s="1"/>
  <c r="R74" i="9" s="1"/>
  <c r="S74" i="9" s="1"/>
  <c r="Y74" i="9" s="1"/>
  <c r="X74" i="9"/>
  <c r="X38" i="9"/>
  <c r="L38" i="9"/>
  <c r="N38" i="9" s="1"/>
  <c r="R38" i="9" s="1"/>
  <c r="S38" i="9" s="1"/>
  <c r="X13" i="9"/>
  <c r="L13" i="9"/>
  <c r="N13" i="9" s="1"/>
  <c r="R13" i="9" s="1"/>
  <c r="S13" i="9" s="1"/>
  <c r="X13" i="11"/>
  <c r="K17" i="11"/>
  <c r="L17" i="11" s="1"/>
  <c r="K39" i="10"/>
  <c r="M39" i="10" s="1"/>
  <c r="Q39" i="10" s="1"/>
  <c r="R39" i="10" s="1"/>
  <c r="W39" i="10"/>
  <c r="K15" i="10"/>
  <c r="M15" i="10" s="1"/>
  <c r="Q15" i="10" s="1"/>
  <c r="R15" i="10" s="1"/>
  <c r="W15" i="10"/>
  <c r="L244" i="9"/>
  <c r="N244" i="9" s="1"/>
  <c r="R244" i="9" s="1"/>
  <c r="S244" i="9" s="1"/>
  <c r="X244" i="9"/>
  <c r="X234" i="9"/>
  <c r="L234" i="9"/>
  <c r="N234" i="9" s="1"/>
  <c r="R234" i="9" s="1"/>
  <c r="S234" i="9" s="1"/>
  <c r="Y234" i="9" s="1"/>
  <c r="L215" i="9"/>
  <c r="N215" i="9" s="1"/>
  <c r="R215" i="9" s="1"/>
  <c r="S215" i="9" s="1"/>
  <c r="X215" i="9"/>
  <c r="L199" i="9"/>
  <c r="N199" i="9" s="1"/>
  <c r="R199" i="9" s="1"/>
  <c r="S199" i="9" s="1"/>
  <c r="X199" i="9"/>
  <c r="L156" i="9"/>
  <c r="N156" i="9" s="1"/>
  <c r="R156" i="9" s="1"/>
  <c r="S156" i="9" s="1"/>
  <c r="X156" i="9"/>
  <c r="L124" i="9"/>
  <c r="N124" i="9" s="1"/>
  <c r="R124" i="9" s="1"/>
  <c r="S124" i="9" s="1"/>
  <c r="X124" i="9"/>
  <c r="Y124" i="9" s="1"/>
  <c r="L115" i="9"/>
  <c r="N115" i="9" s="1"/>
  <c r="R115" i="9" s="1"/>
  <c r="S115" i="9" s="1"/>
  <c r="X115" i="9"/>
  <c r="L58" i="9"/>
  <c r="N58" i="9" s="1"/>
  <c r="R58" i="9" s="1"/>
  <c r="S58" i="9" s="1"/>
  <c r="X58" i="9"/>
  <c r="L37" i="9"/>
  <c r="N37" i="9" s="1"/>
  <c r="R37" i="9" s="1"/>
  <c r="S37" i="9" s="1"/>
  <c r="X37" i="9"/>
  <c r="L145" i="9"/>
  <c r="N145" i="9" s="1"/>
  <c r="R145" i="9" s="1"/>
  <c r="S145" i="9" s="1"/>
  <c r="Y145" i="9" s="1"/>
  <c r="X145" i="9"/>
  <c r="L123" i="9"/>
  <c r="N123" i="9" s="1"/>
  <c r="R123" i="9" s="1"/>
  <c r="S123" i="9" s="1"/>
  <c r="Y123" i="9" s="1"/>
  <c r="X123" i="9"/>
  <c r="L120" i="9"/>
  <c r="N120" i="9" s="1"/>
  <c r="R120" i="9" s="1"/>
  <c r="S120" i="9" s="1"/>
  <c r="Y120" i="9" s="1"/>
  <c r="X120" i="9"/>
  <c r="L21" i="9"/>
  <c r="N21" i="9" s="1"/>
  <c r="R21" i="9" s="1"/>
  <c r="S21" i="9" s="1"/>
  <c r="X21" i="9"/>
  <c r="X11" i="9"/>
  <c r="L11" i="9"/>
  <c r="N11" i="9" s="1"/>
  <c r="R11" i="9" s="1"/>
  <c r="S11" i="9" s="1"/>
  <c r="Y11" i="9" s="1"/>
  <c r="V72" i="10"/>
  <c r="Y85" i="9"/>
  <c r="Y233" i="9"/>
  <c r="Y141" i="9"/>
  <c r="I17" i="11"/>
  <c r="R16" i="11"/>
  <c r="S16" i="11" s="1"/>
  <c r="Y16" i="11" s="1"/>
  <c r="U17" i="11"/>
  <c r="W59" i="10"/>
  <c r="X59" i="10" s="1"/>
  <c r="W43" i="10"/>
  <c r="Y241" i="9"/>
  <c r="X43" i="10"/>
  <c r="Q20" i="10"/>
  <c r="R20" i="10" s="1"/>
  <c r="X20" i="10" s="1"/>
  <c r="X38" i="10"/>
  <c r="X26" i="10"/>
  <c r="Y217" i="9"/>
  <c r="R214" i="9"/>
  <c r="S214" i="9" s="1"/>
  <c r="R205" i="9"/>
  <c r="S205" i="9" s="1"/>
  <c r="Y205" i="9" s="1"/>
  <c r="R202" i="9"/>
  <c r="S202" i="9" s="1"/>
  <c r="Y202" i="9" s="1"/>
  <c r="R201" i="9"/>
  <c r="S201" i="9" s="1"/>
  <c r="Y201" i="9" s="1"/>
  <c r="O254" i="9"/>
  <c r="R187" i="9"/>
  <c r="S187" i="9" s="1"/>
  <c r="Y187" i="9" s="1"/>
  <c r="R111" i="9"/>
  <c r="S111" i="9" s="1"/>
  <c r="Y111" i="9" s="1"/>
  <c r="L108" i="9"/>
  <c r="N108" i="9" s="1"/>
  <c r="R108" i="9" s="1"/>
  <c r="S108" i="9" s="1"/>
  <c r="Y108" i="9" s="1"/>
  <c r="L100" i="9"/>
  <c r="N100" i="9" s="1"/>
  <c r="R100" i="9" s="1"/>
  <c r="S100" i="9" s="1"/>
  <c r="Y100" i="9" s="1"/>
  <c r="X92" i="9"/>
  <c r="R68" i="9"/>
  <c r="S68" i="9" s="1"/>
  <c r="R49" i="9"/>
  <c r="S49" i="9" s="1"/>
  <c r="L34" i="9"/>
  <c r="N34" i="9" s="1"/>
  <c r="R34" i="9" s="1"/>
  <c r="S34" i="9" s="1"/>
  <c r="Y34" i="9" s="1"/>
  <c r="X32" i="9"/>
  <c r="Y32" i="9" s="1"/>
  <c r="X30" i="9"/>
  <c r="X28" i="9"/>
  <c r="Y28" i="9" s="1"/>
  <c r="X26" i="9"/>
  <c r="Y26" i="9" s="1"/>
  <c r="X24" i="9"/>
  <c r="Y24" i="9" s="1"/>
  <c r="U254" i="9"/>
  <c r="L16" i="9"/>
  <c r="N16" i="9" s="1"/>
  <c r="R16" i="9" s="1"/>
  <c r="S16" i="9" s="1"/>
  <c r="Y16" i="9" s="1"/>
  <c r="X15" i="9"/>
  <c r="Y15" i="9" s="1"/>
  <c r="Y87" i="9"/>
  <c r="Y113" i="9"/>
  <c r="Y121" i="9"/>
  <c r="Y129" i="9"/>
  <c r="K28" i="10"/>
  <c r="M28" i="10" s="1"/>
  <c r="Q28" i="10" s="1"/>
  <c r="R28" i="10" s="1"/>
  <c r="X28" i="10" s="1"/>
  <c r="Q24" i="10"/>
  <c r="R24" i="10" s="1"/>
  <c r="X24" i="10" s="1"/>
  <c r="W51" i="10"/>
  <c r="X51" i="10" s="1"/>
  <c r="L189" i="9"/>
  <c r="N189" i="9" s="1"/>
  <c r="R189" i="9" s="1"/>
  <c r="S189" i="9" s="1"/>
  <c r="L154" i="9"/>
  <c r="N154" i="9" s="1"/>
  <c r="X151" i="9"/>
  <c r="Y151" i="9" s="1"/>
  <c r="Y102" i="9"/>
  <c r="Y94" i="9"/>
  <c r="R92" i="9"/>
  <c r="S92" i="9" s="1"/>
  <c r="R73" i="9"/>
  <c r="S73" i="9" s="1"/>
  <c r="R69" i="9"/>
  <c r="S69" i="9" s="1"/>
  <c r="L232" i="9"/>
  <c r="N232" i="9" s="1"/>
  <c r="R232" i="9" s="1"/>
  <c r="S232" i="9" s="1"/>
  <c r="Y232" i="9" s="1"/>
  <c r="L203" i="9"/>
  <c r="N203" i="9" s="1"/>
  <c r="R203" i="9" s="1"/>
  <c r="S203" i="9" s="1"/>
  <c r="Y203" i="9" s="1"/>
  <c r="L200" i="9"/>
  <c r="N200" i="9" s="1"/>
  <c r="R200" i="9" s="1"/>
  <c r="S200" i="9" s="1"/>
  <c r="L152" i="9"/>
  <c r="N152" i="9" s="1"/>
  <c r="R152" i="9" s="1"/>
  <c r="S152" i="9" s="1"/>
  <c r="Y152" i="9" s="1"/>
  <c r="L104" i="9"/>
  <c r="N104" i="9" s="1"/>
  <c r="R104" i="9" s="1"/>
  <c r="S104" i="9" s="1"/>
  <c r="Y104" i="9" s="1"/>
  <c r="L96" i="9"/>
  <c r="N96" i="9" s="1"/>
  <c r="R96" i="9" s="1"/>
  <c r="S96" i="9" s="1"/>
  <c r="Y96" i="9" s="1"/>
  <c r="L18" i="9"/>
  <c r="N18" i="9" s="1"/>
  <c r="R18" i="9" s="1"/>
  <c r="S18" i="9" s="1"/>
  <c r="J191" i="6"/>
  <c r="K242" i="6"/>
  <c r="J215" i="6"/>
  <c r="K215" i="6" s="1"/>
  <c r="K162" i="6"/>
  <c r="K160" i="6"/>
  <c r="K97" i="6"/>
  <c r="T279" i="6"/>
  <c r="K265" i="6"/>
  <c r="K178" i="6"/>
  <c r="K174" i="6"/>
  <c r="K249" i="6"/>
  <c r="K175" i="6"/>
  <c r="K208" i="6"/>
  <c r="K196" i="6"/>
  <c r="K116" i="6"/>
  <c r="K112" i="6"/>
  <c r="K69" i="6"/>
  <c r="K275" i="6"/>
  <c r="K138" i="6"/>
  <c r="K247" i="6"/>
  <c r="K118" i="6"/>
  <c r="K114" i="6"/>
  <c r="K110" i="6"/>
  <c r="K140" i="6"/>
  <c r="K213" i="6"/>
  <c r="K209" i="6"/>
  <c r="K75" i="6"/>
  <c r="K76" i="6"/>
  <c r="K32" i="6"/>
  <c r="K92" i="6"/>
  <c r="K133" i="6"/>
  <c r="J132" i="6"/>
  <c r="K33" i="6"/>
  <c r="K251" i="6"/>
  <c r="K195" i="6"/>
  <c r="K182" i="6"/>
  <c r="K147" i="6"/>
  <c r="K136" i="6"/>
  <c r="K129" i="6"/>
  <c r="K101" i="6"/>
  <c r="K262" i="6"/>
  <c r="K239" i="6"/>
  <c r="K232" i="6"/>
  <c r="K228" i="6"/>
  <c r="K224" i="6"/>
  <c r="K221" i="6"/>
  <c r="K217" i="6"/>
  <c r="K202" i="6"/>
  <c r="K183" i="6"/>
  <c r="K171" i="6"/>
  <c r="K150" i="6"/>
  <c r="K108" i="6"/>
  <c r="K71" i="6"/>
  <c r="K35" i="6"/>
  <c r="K25" i="6"/>
  <c r="K95" i="6"/>
  <c r="K55" i="6"/>
  <c r="K240" i="6"/>
  <c r="K233" i="6"/>
  <c r="K61" i="6"/>
  <c r="K214" i="6"/>
  <c r="K193" i="6"/>
  <c r="K180" i="6"/>
  <c r="K151" i="6"/>
  <c r="K127" i="6"/>
  <c r="K62" i="6"/>
  <c r="K54" i="6"/>
  <c r="K44" i="6"/>
  <c r="K19" i="6"/>
  <c r="H279" i="6"/>
  <c r="K273" i="6"/>
  <c r="K234" i="6"/>
  <c r="K230" i="6"/>
  <c r="K226" i="6"/>
  <c r="K222" i="6"/>
  <c r="K219" i="6"/>
  <c r="K194" i="6"/>
  <c r="K128" i="6"/>
  <c r="K124" i="6"/>
  <c r="K88" i="6"/>
  <c r="K78" i="6"/>
  <c r="K48" i="6"/>
  <c r="K40" i="6"/>
  <c r="K15" i="6"/>
  <c r="K12" i="6"/>
  <c r="K143" i="6"/>
  <c r="K123" i="6"/>
  <c r="K59" i="6"/>
  <c r="Y83" i="9"/>
  <c r="Y89" i="9"/>
  <c r="W71" i="10"/>
  <c r="K71" i="10"/>
  <c r="M71" i="10" s="1"/>
  <c r="Q71" i="10" s="1"/>
  <c r="R71" i="10" s="1"/>
  <c r="W68" i="10"/>
  <c r="K68" i="10"/>
  <c r="M68" i="10" s="1"/>
  <c r="Q68" i="10" s="1"/>
  <c r="R68" i="10" s="1"/>
  <c r="W65" i="10"/>
  <c r="K65" i="10"/>
  <c r="M65" i="10" s="1"/>
  <c r="Q65" i="10" s="1"/>
  <c r="R65" i="10" s="1"/>
  <c r="K62" i="10"/>
  <c r="M62" i="10" s="1"/>
  <c r="Q62" i="10" s="1"/>
  <c r="R62" i="10" s="1"/>
  <c r="W62" i="10"/>
  <c r="K29" i="10"/>
  <c r="M29" i="10" s="1"/>
  <c r="Q29" i="10" s="1"/>
  <c r="R29" i="10" s="1"/>
  <c r="W29" i="10"/>
  <c r="R12" i="10"/>
  <c r="K63" i="10"/>
  <c r="M63" i="10" s="1"/>
  <c r="Q63" i="10" s="1"/>
  <c r="R63" i="10" s="1"/>
  <c r="W63" i="10"/>
  <c r="K30" i="10"/>
  <c r="M30" i="10" s="1"/>
  <c r="Q30" i="10" s="1"/>
  <c r="R30" i="10" s="1"/>
  <c r="W30" i="10"/>
  <c r="W19" i="10"/>
  <c r="K19" i="10"/>
  <c r="M19" i="10" s="1"/>
  <c r="Q19" i="10" s="1"/>
  <c r="R19" i="10" s="1"/>
  <c r="Y130" i="9"/>
  <c r="Y122" i="9"/>
  <c r="Y114" i="9"/>
  <c r="W70" i="10"/>
  <c r="K70" i="10"/>
  <c r="M70" i="10" s="1"/>
  <c r="Q70" i="10" s="1"/>
  <c r="R70" i="10" s="1"/>
  <c r="K35" i="10"/>
  <c r="M35" i="10" s="1"/>
  <c r="Q35" i="10" s="1"/>
  <c r="R35" i="10" s="1"/>
  <c r="W35" i="10"/>
  <c r="K25" i="10"/>
  <c r="M25" i="10" s="1"/>
  <c r="Q25" i="10" s="1"/>
  <c r="R25" i="10" s="1"/>
  <c r="X25" i="10" s="1"/>
  <c r="W25" i="10"/>
  <c r="K21" i="10"/>
  <c r="M21" i="10" s="1"/>
  <c r="Q21" i="10" s="1"/>
  <c r="R21" i="10" s="1"/>
  <c r="W21" i="10"/>
  <c r="W66" i="10"/>
  <c r="K66" i="10"/>
  <c r="M66" i="10" s="1"/>
  <c r="Q66" i="10" s="1"/>
  <c r="R66" i="10" s="1"/>
  <c r="K33" i="10"/>
  <c r="M33" i="10" s="1"/>
  <c r="Q33" i="10" s="1"/>
  <c r="R33" i="10" s="1"/>
  <c r="X33" i="10" s="1"/>
  <c r="W33" i="10"/>
  <c r="K23" i="10"/>
  <c r="M23" i="10" s="1"/>
  <c r="Q23" i="10" s="1"/>
  <c r="R23" i="10" s="1"/>
  <c r="X23" i="10" s="1"/>
  <c r="W23" i="10"/>
  <c r="M14" i="2"/>
  <c r="P14" i="2" s="1"/>
  <c r="V14" i="2" s="1"/>
  <c r="Y13" i="9"/>
  <c r="K69" i="10"/>
  <c r="M69" i="10" s="1"/>
  <c r="Q69" i="10" s="1"/>
  <c r="R69" i="10" s="1"/>
  <c r="X69" i="10" s="1"/>
  <c r="W69" i="10"/>
  <c r="K67" i="10"/>
  <c r="M67" i="10" s="1"/>
  <c r="Q67" i="10" s="1"/>
  <c r="R67" i="10" s="1"/>
  <c r="W67" i="10"/>
  <c r="K37" i="10"/>
  <c r="M37" i="10" s="1"/>
  <c r="Q37" i="10" s="1"/>
  <c r="R37" i="10" s="1"/>
  <c r="X37" i="10" s="1"/>
  <c r="W37" i="10"/>
  <c r="K34" i="10"/>
  <c r="M34" i="10" s="1"/>
  <c r="Q34" i="10" s="1"/>
  <c r="R34" i="10" s="1"/>
  <c r="W34" i="10"/>
  <c r="K31" i="10"/>
  <c r="M31" i="10" s="1"/>
  <c r="Q31" i="10" s="1"/>
  <c r="R31" i="10" s="1"/>
  <c r="X31" i="10" s="1"/>
  <c r="W31" i="10"/>
  <c r="K14" i="10"/>
  <c r="M14" i="10" s="1"/>
  <c r="Q14" i="10" s="1"/>
  <c r="R14" i="10" s="1"/>
  <c r="J72" i="10"/>
  <c r="W14" i="10"/>
  <c r="K36" i="10"/>
  <c r="M36" i="10" s="1"/>
  <c r="Q36" i="10" s="1"/>
  <c r="R36" i="10" s="1"/>
  <c r="W36" i="10"/>
  <c r="K32" i="10"/>
  <c r="M32" i="10" s="1"/>
  <c r="Q32" i="10" s="1"/>
  <c r="R32" i="10" s="1"/>
  <c r="W32" i="10"/>
  <c r="N72" i="10"/>
  <c r="L250" i="9"/>
  <c r="N250" i="9" s="1"/>
  <c r="R250" i="9" s="1"/>
  <c r="S250" i="9" s="1"/>
  <c r="X250" i="9"/>
  <c r="L248" i="9"/>
  <c r="N248" i="9" s="1"/>
  <c r="R248" i="9" s="1"/>
  <c r="S248" i="9" s="1"/>
  <c r="X248" i="9"/>
  <c r="X246" i="9"/>
  <c r="L246" i="9"/>
  <c r="N246" i="9" s="1"/>
  <c r="R246" i="9" s="1"/>
  <c r="S246" i="9" s="1"/>
  <c r="L208" i="9"/>
  <c r="N208" i="9" s="1"/>
  <c r="R208" i="9" s="1"/>
  <c r="S208" i="9" s="1"/>
  <c r="X208" i="9"/>
  <c r="L198" i="9"/>
  <c r="N198" i="9" s="1"/>
  <c r="R198" i="9" s="1"/>
  <c r="S198" i="9" s="1"/>
  <c r="X198" i="9"/>
  <c r="L196" i="9"/>
  <c r="N196" i="9" s="1"/>
  <c r="R196" i="9" s="1"/>
  <c r="S196" i="9" s="1"/>
  <c r="X196" i="9"/>
  <c r="X194" i="9"/>
  <c r="L194" i="9"/>
  <c r="N194" i="9" s="1"/>
  <c r="R194" i="9" s="1"/>
  <c r="S194" i="9" s="1"/>
  <c r="L143" i="9"/>
  <c r="N143" i="9" s="1"/>
  <c r="R143" i="9" s="1"/>
  <c r="S143" i="9" s="1"/>
  <c r="X143" i="9"/>
  <c r="X80" i="9"/>
  <c r="L80" i="9"/>
  <c r="N80" i="9" s="1"/>
  <c r="R80" i="9" s="1"/>
  <c r="S80" i="9" s="1"/>
  <c r="X19" i="9"/>
  <c r="L19" i="9"/>
  <c r="N19" i="9" s="1"/>
  <c r="R19" i="9" s="1"/>
  <c r="S19" i="9" s="1"/>
  <c r="K176" i="6"/>
  <c r="K120" i="6"/>
  <c r="K14" i="6"/>
  <c r="W13" i="10"/>
  <c r="L221" i="9"/>
  <c r="N221" i="9" s="1"/>
  <c r="R221" i="9" s="1"/>
  <c r="S221" i="9" s="1"/>
  <c r="Y221" i="9" s="1"/>
  <c r="L231" i="9"/>
  <c r="N231" i="9" s="1"/>
  <c r="R231" i="9" s="1"/>
  <c r="S231" i="9" s="1"/>
  <c r="Y231" i="9" s="1"/>
  <c r="X214" i="9"/>
  <c r="Y214" i="9" s="1"/>
  <c r="W58" i="10"/>
  <c r="X58" i="10" s="1"/>
  <c r="W54" i="10"/>
  <c r="X54" i="10" s="1"/>
  <c r="W50" i="10"/>
  <c r="X50" i="10" s="1"/>
  <c r="W46" i="10"/>
  <c r="X46" i="10" s="1"/>
  <c r="W42" i="10"/>
  <c r="X42" i="10" s="1"/>
  <c r="K22" i="10"/>
  <c r="M22" i="10" s="1"/>
  <c r="Q22" i="10" s="1"/>
  <c r="R22" i="10" s="1"/>
  <c r="X22" i="10" s="1"/>
  <c r="R243" i="9"/>
  <c r="S243" i="9" s="1"/>
  <c r="Y243" i="9" s="1"/>
  <c r="Y216" i="9"/>
  <c r="X207" i="9"/>
  <c r="L207" i="9"/>
  <c r="N207" i="9" s="1"/>
  <c r="R207" i="9" s="1"/>
  <c r="S207" i="9" s="1"/>
  <c r="Y207" i="9" s="1"/>
  <c r="Y200" i="9"/>
  <c r="L179" i="9"/>
  <c r="N179" i="9" s="1"/>
  <c r="R179" i="9" s="1"/>
  <c r="S179" i="9" s="1"/>
  <c r="Y179" i="9" s="1"/>
  <c r="X179" i="9"/>
  <c r="L171" i="9"/>
  <c r="N171" i="9" s="1"/>
  <c r="R171" i="9" s="1"/>
  <c r="S171" i="9" s="1"/>
  <c r="Y171" i="9" s="1"/>
  <c r="X171" i="9"/>
  <c r="L163" i="9"/>
  <c r="N163" i="9" s="1"/>
  <c r="R163" i="9" s="1"/>
  <c r="S163" i="9" s="1"/>
  <c r="Y163" i="9" s="1"/>
  <c r="X163" i="9"/>
  <c r="L186" i="9"/>
  <c r="N186" i="9" s="1"/>
  <c r="R186" i="9" s="1"/>
  <c r="S186" i="9" s="1"/>
  <c r="Y186" i="9" s="1"/>
  <c r="L226" i="9"/>
  <c r="N226" i="9" s="1"/>
  <c r="R226" i="9" s="1"/>
  <c r="S226" i="9" s="1"/>
  <c r="Y226" i="9" s="1"/>
  <c r="L254" i="9"/>
  <c r="L13" i="11"/>
  <c r="N13" i="11" s="1"/>
  <c r="L228" i="9"/>
  <c r="N228" i="9" s="1"/>
  <c r="R228" i="9" s="1"/>
  <c r="S228" i="9" s="1"/>
  <c r="Y228" i="9" s="1"/>
  <c r="X252" i="9"/>
  <c r="Y252" i="9" s="1"/>
  <c r="W61" i="10"/>
  <c r="X61" i="10" s="1"/>
  <c r="W57" i="10"/>
  <c r="X57" i="10" s="1"/>
  <c r="W53" i="10"/>
  <c r="X53" i="10" s="1"/>
  <c r="W49" i="10"/>
  <c r="X49" i="10" s="1"/>
  <c r="W45" i="10"/>
  <c r="X45" i="10" s="1"/>
  <c r="W41" i="10"/>
  <c r="X41" i="10" s="1"/>
  <c r="K27" i="10"/>
  <c r="M27" i="10" s="1"/>
  <c r="Q27" i="10" s="1"/>
  <c r="R27" i="10" s="1"/>
  <c r="X27" i="10" s="1"/>
  <c r="W18" i="10"/>
  <c r="K18" i="10"/>
  <c r="M18" i="10" s="1"/>
  <c r="Q18" i="10" s="1"/>
  <c r="R18" i="10" s="1"/>
  <c r="X18" i="10" s="1"/>
  <c r="G254" i="9"/>
  <c r="L251" i="9"/>
  <c r="N251" i="9" s="1"/>
  <c r="R251" i="9" s="1"/>
  <c r="S251" i="9" s="1"/>
  <c r="Y251" i="9" s="1"/>
  <c r="X251" i="9"/>
  <c r="L249" i="9"/>
  <c r="N249" i="9" s="1"/>
  <c r="R249" i="9" s="1"/>
  <c r="S249" i="9" s="1"/>
  <c r="Y249" i="9" s="1"/>
  <c r="X249" i="9"/>
  <c r="L247" i="9"/>
  <c r="N247" i="9" s="1"/>
  <c r="R247" i="9" s="1"/>
  <c r="S247" i="9" s="1"/>
  <c r="Y247" i="9" s="1"/>
  <c r="X247" i="9"/>
  <c r="X240" i="9"/>
  <c r="L240" i="9"/>
  <c r="N240" i="9" s="1"/>
  <c r="R240" i="9" s="1"/>
  <c r="S240" i="9" s="1"/>
  <c r="L212" i="9"/>
  <c r="N212" i="9" s="1"/>
  <c r="R212" i="9" s="1"/>
  <c r="S212" i="9" s="1"/>
  <c r="Y212" i="9" s="1"/>
  <c r="X212" i="9"/>
  <c r="L197" i="9"/>
  <c r="N197" i="9" s="1"/>
  <c r="R197" i="9" s="1"/>
  <c r="S197" i="9" s="1"/>
  <c r="Y197" i="9" s="1"/>
  <c r="X197" i="9"/>
  <c r="L195" i="9"/>
  <c r="N195" i="9" s="1"/>
  <c r="R195" i="9" s="1"/>
  <c r="S195" i="9" s="1"/>
  <c r="Y195" i="9" s="1"/>
  <c r="X195" i="9"/>
  <c r="X190" i="9"/>
  <c r="L190" i="9"/>
  <c r="N190" i="9" s="1"/>
  <c r="R190" i="9" s="1"/>
  <c r="S190" i="9" s="1"/>
  <c r="Y182" i="9"/>
  <c r="L155" i="9"/>
  <c r="N155" i="9" s="1"/>
  <c r="R155" i="9" s="1"/>
  <c r="S155" i="9" s="1"/>
  <c r="X155" i="9"/>
  <c r="L110" i="9"/>
  <c r="N110" i="9" s="1"/>
  <c r="R110" i="9" s="1"/>
  <c r="S110" i="9" s="1"/>
  <c r="X110" i="9"/>
  <c r="H72" i="10"/>
  <c r="X239" i="9"/>
  <c r="Y239" i="9" s="1"/>
  <c r="X15" i="11"/>
  <c r="Y15" i="11" s="1"/>
  <c r="X14" i="11"/>
  <c r="Y14" i="11" s="1"/>
  <c r="W60" i="10"/>
  <c r="X60" i="10" s="1"/>
  <c r="W56" i="10"/>
  <c r="X56" i="10" s="1"/>
  <c r="W52" i="10"/>
  <c r="X52" i="10" s="1"/>
  <c r="W48" i="10"/>
  <c r="X48" i="10" s="1"/>
  <c r="W44" i="10"/>
  <c r="X44" i="10" s="1"/>
  <c r="W40" i="10"/>
  <c r="X40" i="10" s="1"/>
  <c r="X236" i="9"/>
  <c r="L236" i="9"/>
  <c r="N236" i="9" s="1"/>
  <c r="R236" i="9" s="1"/>
  <c r="S236" i="9" s="1"/>
  <c r="Y219" i="9"/>
  <c r="L211" i="9"/>
  <c r="N211" i="9" s="1"/>
  <c r="R211" i="9" s="1"/>
  <c r="S211" i="9" s="1"/>
  <c r="X211" i="9"/>
  <c r="L204" i="9"/>
  <c r="N204" i="9" s="1"/>
  <c r="R204" i="9" s="1"/>
  <c r="S204" i="9" s="1"/>
  <c r="X204" i="9"/>
  <c r="Y189" i="9"/>
  <c r="L175" i="9"/>
  <c r="N175" i="9" s="1"/>
  <c r="R175" i="9" s="1"/>
  <c r="S175" i="9" s="1"/>
  <c r="X175" i="9"/>
  <c r="L167" i="9"/>
  <c r="N167" i="9" s="1"/>
  <c r="R167" i="9" s="1"/>
  <c r="S167" i="9" s="1"/>
  <c r="X167" i="9"/>
  <c r="L147" i="9"/>
  <c r="N147" i="9" s="1"/>
  <c r="R147" i="9" s="1"/>
  <c r="S147" i="9" s="1"/>
  <c r="X147" i="9"/>
  <c r="X144" i="9"/>
  <c r="L144" i="9"/>
  <c r="N144" i="9" s="1"/>
  <c r="R144" i="9" s="1"/>
  <c r="S144" i="9" s="1"/>
  <c r="L209" i="9"/>
  <c r="N209" i="9" s="1"/>
  <c r="R209" i="9" s="1"/>
  <c r="S209" i="9" s="1"/>
  <c r="X209" i="9"/>
  <c r="L191" i="9"/>
  <c r="N191" i="9" s="1"/>
  <c r="R191" i="9" s="1"/>
  <c r="S191" i="9" s="1"/>
  <c r="X191" i="9"/>
  <c r="X180" i="9"/>
  <c r="L180" i="9"/>
  <c r="N180" i="9" s="1"/>
  <c r="R180" i="9" s="1"/>
  <c r="S180" i="9" s="1"/>
  <c r="X176" i="9"/>
  <c r="L176" i="9"/>
  <c r="N176" i="9" s="1"/>
  <c r="R176" i="9" s="1"/>
  <c r="S176" i="9" s="1"/>
  <c r="X172" i="9"/>
  <c r="L172" i="9"/>
  <c r="N172" i="9" s="1"/>
  <c r="R172" i="9" s="1"/>
  <c r="S172" i="9" s="1"/>
  <c r="X168" i="9"/>
  <c r="L168" i="9"/>
  <c r="N168" i="9" s="1"/>
  <c r="R168" i="9" s="1"/>
  <c r="S168" i="9" s="1"/>
  <c r="X164" i="9"/>
  <c r="L164" i="9"/>
  <c r="N164" i="9" s="1"/>
  <c r="R164" i="9" s="1"/>
  <c r="S164" i="9" s="1"/>
  <c r="X150" i="9"/>
  <c r="L150" i="9"/>
  <c r="N150" i="9" s="1"/>
  <c r="R150" i="9" s="1"/>
  <c r="S150" i="9" s="1"/>
  <c r="L148" i="9"/>
  <c r="N148" i="9" s="1"/>
  <c r="R148" i="9" s="1"/>
  <c r="S148" i="9" s="1"/>
  <c r="X148" i="9"/>
  <c r="Y92" i="9"/>
  <c r="X72" i="9"/>
  <c r="L72" i="9"/>
  <c r="N72" i="9" s="1"/>
  <c r="R72" i="9" s="1"/>
  <c r="S72" i="9" s="1"/>
  <c r="X64" i="9"/>
  <c r="L64" i="9"/>
  <c r="N64" i="9" s="1"/>
  <c r="R64" i="9" s="1"/>
  <c r="S64" i="9" s="1"/>
  <c r="L53" i="9"/>
  <c r="N53" i="9" s="1"/>
  <c r="R53" i="9" s="1"/>
  <c r="S53" i="9" s="1"/>
  <c r="X53" i="9"/>
  <c r="L51" i="9"/>
  <c r="N51" i="9" s="1"/>
  <c r="R51" i="9" s="1"/>
  <c r="S51" i="9" s="1"/>
  <c r="X51" i="9"/>
  <c r="X22" i="9"/>
  <c r="L22" i="9"/>
  <c r="N22" i="9" s="1"/>
  <c r="R22" i="9" s="1"/>
  <c r="S22" i="9" s="1"/>
  <c r="R220" i="9"/>
  <c r="S220" i="9" s="1"/>
  <c r="Y220" i="9" s="1"/>
  <c r="L213" i="9"/>
  <c r="N213" i="9" s="1"/>
  <c r="R213" i="9" s="1"/>
  <c r="S213" i="9" s="1"/>
  <c r="Y213" i="9" s="1"/>
  <c r="L192" i="9"/>
  <c r="N192" i="9" s="1"/>
  <c r="R192" i="9" s="1"/>
  <c r="S192" i="9" s="1"/>
  <c r="X192" i="9"/>
  <c r="L181" i="9"/>
  <c r="N181" i="9" s="1"/>
  <c r="R181" i="9" s="1"/>
  <c r="S181" i="9" s="1"/>
  <c r="X181" i="9"/>
  <c r="L177" i="9"/>
  <c r="N177" i="9" s="1"/>
  <c r="R177" i="9" s="1"/>
  <c r="S177" i="9" s="1"/>
  <c r="X177" i="9"/>
  <c r="L173" i="9"/>
  <c r="N173" i="9" s="1"/>
  <c r="R173" i="9" s="1"/>
  <c r="S173" i="9" s="1"/>
  <c r="X173" i="9"/>
  <c r="L169" i="9"/>
  <c r="N169" i="9" s="1"/>
  <c r="R169" i="9" s="1"/>
  <c r="S169" i="9" s="1"/>
  <c r="X169" i="9"/>
  <c r="L165" i="9"/>
  <c r="N165" i="9" s="1"/>
  <c r="R165" i="9" s="1"/>
  <c r="S165" i="9" s="1"/>
  <c r="Y165" i="9" s="1"/>
  <c r="X165" i="9"/>
  <c r="L161" i="9"/>
  <c r="N161" i="9" s="1"/>
  <c r="R161" i="9" s="1"/>
  <c r="S161" i="9" s="1"/>
  <c r="X161" i="9"/>
  <c r="R154" i="9"/>
  <c r="S154" i="9" s="1"/>
  <c r="Y154" i="9" s="1"/>
  <c r="L146" i="9"/>
  <c r="N146" i="9" s="1"/>
  <c r="R146" i="9" s="1"/>
  <c r="S146" i="9" s="1"/>
  <c r="Y146" i="9" s="1"/>
  <c r="L142" i="9"/>
  <c r="N142" i="9" s="1"/>
  <c r="R142" i="9" s="1"/>
  <c r="S142" i="9" s="1"/>
  <c r="Y142" i="9" s="1"/>
  <c r="X138" i="9"/>
  <c r="L138" i="9"/>
  <c r="N138" i="9" s="1"/>
  <c r="R138" i="9" s="1"/>
  <c r="S138" i="9" s="1"/>
  <c r="R136" i="9"/>
  <c r="S136" i="9" s="1"/>
  <c r="Y136" i="9" s="1"/>
  <c r="L109" i="9"/>
  <c r="N109" i="9" s="1"/>
  <c r="R109" i="9" s="1"/>
  <c r="S109" i="9" s="1"/>
  <c r="Y109" i="9" s="1"/>
  <c r="L107" i="9"/>
  <c r="N107" i="9" s="1"/>
  <c r="R107" i="9" s="1"/>
  <c r="S107" i="9" s="1"/>
  <c r="Y107" i="9" s="1"/>
  <c r="L105" i="9"/>
  <c r="N105" i="9" s="1"/>
  <c r="R105" i="9" s="1"/>
  <c r="S105" i="9" s="1"/>
  <c r="Y105" i="9" s="1"/>
  <c r="L103" i="9"/>
  <c r="N103" i="9" s="1"/>
  <c r="R103" i="9" s="1"/>
  <c r="S103" i="9" s="1"/>
  <c r="Y103" i="9" s="1"/>
  <c r="L101" i="9"/>
  <c r="N101" i="9" s="1"/>
  <c r="R101" i="9" s="1"/>
  <c r="S101" i="9" s="1"/>
  <c r="Y101" i="9" s="1"/>
  <c r="L99" i="9"/>
  <c r="N99" i="9" s="1"/>
  <c r="R99" i="9" s="1"/>
  <c r="S99" i="9" s="1"/>
  <c r="Y99" i="9" s="1"/>
  <c r="L97" i="9"/>
  <c r="N97" i="9" s="1"/>
  <c r="R97" i="9" s="1"/>
  <c r="S97" i="9" s="1"/>
  <c r="Y97" i="9" s="1"/>
  <c r="L95" i="9"/>
  <c r="N95" i="9" s="1"/>
  <c r="R95" i="9" s="1"/>
  <c r="S95" i="9" s="1"/>
  <c r="Y95" i="9" s="1"/>
  <c r="L93" i="9"/>
  <c r="N93" i="9" s="1"/>
  <c r="R93" i="9" s="1"/>
  <c r="S93" i="9" s="1"/>
  <c r="Y93" i="9" s="1"/>
  <c r="X81" i="9"/>
  <c r="L81" i="9"/>
  <c r="N81" i="9" s="1"/>
  <c r="R81" i="9" s="1"/>
  <c r="S81" i="9" s="1"/>
  <c r="Y68" i="9"/>
  <c r="L66" i="9"/>
  <c r="N66" i="9" s="1"/>
  <c r="R66" i="9" s="1"/>
  <c r="S66" i="9" s="1"/>
  <c r="X66" i="9"/>
  <c r="L48" i="9"/>
  <c r="N48" i="9" s="1"/>
  <c r="R48" i="9" s="1"/>
  <c r="S48" i="9" s="1"/>
  <c r="Y48" i="9" s="1"/>
  <c r="X48" i="9"/>
  <c r="L44" i="9"/>
  <c r="N44" i="9" s="1"/>
  <c r="R44" i="9" s="1"/>
  <c r="S44" i="9" s="1"/>
  <c r="X44" i="9"/>
  <c r="L40" i="9"/>
  <c r="N40" i="9" s="1"/>
  <c r="R40" i="9" s="1"/>
  <c r="S40" i="9" s="1"/>
  <c r="Y40" i="9" s="1"/>
  <c r="X40" i="9"/>
  <c r="Y37" i="9"/>
  <c r="L193" i="9"/>
  <c r="N193" i="9" s="1"/>
  <c r="R193" i="9" s="1"/>
  <c r="S193" i="9" s="1"/>
  <c r="X193" i="9"/>
  <c r="L178" i="9"/>
  <c r="N178" i="9" s="1"/>
  <c r="R178" i="9" s="1"/>
  <c r="S178" i="9" s="1"/>
  <c r="X178" i="9"/>
  <c r="L174" i="9"/>
  <c r="N174" i="9" s="1"/>
  <c r="R174" i="9" s="1"/>
  <c r="S174" i="9" s="1"/>
  <c r="X174" i="9"/>
  <c r="L170" i="9"/>
  <c r="N170" i="9" s="1"/>
  <c r="R170" i="9" s="1"/>
  <c r="S170" i="9" s="1"/>
  <c r="X170" i="9"/>
  <c r="L166" i="9"/>
  <c r="N166" i="9" s="1"/>
  <c r="R166" i="9" s="1"/>
  <c r="S166" i="9" s="1"/>
  <c r="X166" i="9"/>
  <c r="L162" i="9"/>
  <c r="N162" i="9" s="1"/>
  <c r="R162" i="9" s="1"/>
  <c r="S162" i="9" s="1"/>
  <c r="X162" i="9"/>
  <c r="L78" i="9"/>
  <c r="N78" i="9" s="1"/>
  <c r="R78" i="9" s="1"/>
  <c r="S78" i="9" s="1"/>
  <c r="X78" i="9"/>
  <c r="L62" i="9"/>
  <c r="N62" i="9" s="1"/>
  <c r="R62" i="9" s="1"/>
  <c r="S62" i="9" s="1"/>
  <c r="X62" i="9"/>
  <c r="X57" i="9"/>
  <c r="L57" i="9"/>
  <c r="N57" i="9" s="1"/>
  <c r="R57" i="9" s="1"/>
  <c r="S57" i="9" s="1"/>
  <c r="L54" i="9"/>
  <c r="N54" i="9" s="1"/>
  <c r="R54" i="9" s="1"/>
  <c r="S54" i="9" s="1"/>
  <c r="X54" i="9"/>
  <c r="L52" i="9"/>
  <c r="N52" i="9" s="1"/>
  <c r="R52" i="9" s="1"/>
  <c r="S52" i="9" s="1"/>
  <c r="X52" i="9"/>
  <c r="L50" i="9"/>
  <c r="N50" i="9" s="1"/>
  <c r="R50" i="9" s="1"/>
  <c r="S50" i="9" s="1"/>
  <c r="X50" i="9"/>
  <c r="L47" i="9"/>
  <c r="N47" i="9" s="1"/>
  <c r="R47" i="9" s="1"/>
  <c r="S47" i="9" s="1"/>
  <c r="X47" i="9"/>
  <c r="L43" i="9"/>
  <c r="N43" i="9" s="1"/>
  <c r="R43" i="9" s="1"/>
  <c r="S43" i="9" s="1"/>
  <c r="X43" i="9"/>
  <c r="L31" i="9"/>
  <c r="N31" i="9" s="1"/>
  <c r="R31" i="9" s="1"/>
  <c r="S31" i="9" s="1"/>
  <c r="Y31" i="9" s="1"/>
  <c r="X31" i="9"/>
  <c r="X82" i="9"/>
  <c r="Y82" i="9" s="1"/>
  <c r="X79" i="9"/>
  <c r="L79" i="9"/>
  <c r="N79" i="9" s="1"/>
  <c r="R79" i="9" s="1"/>
  <c r="S79" i="9" s="1"/>
  <c r="X76" i="9"/>
  <c r="Y76" i="9" s="1"/>
  <c r="X73" i="9"/>
  <c r="Y73" i="9" s="1"/>
  <c r="X69" i="9"/>
  <c r="Y69" i="9" s="1"/>
  <c r="X65" i="9"/>
  <c r="L65" i="9"/>
  <c r="N65" i="9" s="1"/>
  <c r="R65" i="9" s="1"/>
  <c r="S65" i="9" s="1"/>
  <c r="X60" i="9"/>
  <c r="L60" i="9"/>
  <c r="N60" i="9" s="1"/>
  <c r="R60" i="9" s="1"/>
  <c r="S60" i="9" s="1"/>
  <c r="R56" i="9"/>
  <c r="S56" i="9" s="1"/>
  <c r="Y56" i="9" s="1"/>
  <c r="X49" i="9"/>
  <c r="Y49" i="9" s="1"/>
  <c r="L46" i="9"/>
  <c r="N46" i="9" s="1"/>
  <c r="R46" i="9" s="1"/>
  <c r="S46" i="9" s="1"/>
  <c r="X46" i="9"/>
  <c r="L42" i="9"/>
  <c r="N42" i="9" s="1"/>
  <c r="R42" i="9" s="1"/>
  <c r="S42" i="9" s="1"/>
  <c r="Y42" i="9" s="1"/>
  <c r="X42" i="9"/>
  <c r="X39" i="9"/>
  <c r="L39" i="9"/>
  <c r="N39" i="9" s="1"/>
  <c r="R39" i="9" s="1"/>
  <c r="S39" i="9" s="1"/>
  <c r="Y18" i="9"/>
  <c r="K141" i="6"/>
  <c r="L140" i="9"/>
  <c r="N140" i="9" s="1"/>
  <c r="R140" i="9" s="1"/>
  <c r="S140" i="9" s="1"/>
  <c r="Y140" i="9" s="1"/>
  <c r="X140" i="9"/>
  <c r="L139" i="9"/>
  <c r="N139" i="9" s="1"/>
  <c r="R139" i="9" s="1"/>
  <c r="S139" i="9" s="1"/>
  <c r="X139" i="9"/>
  <c r="L134" i="9"/>
  <c r="N134" i="9" s="1"/>
  <c r="R134" i="9" s="1"/>
  <c r="S134" i="9" s="1"/>
  <c r="Y134" i="9" s="1"/>
  <c r="X134" i="9"/>
  <c r="L133" i="9"/>
  <c r="N133" i="9" s="1"/>
  <c r="R133" i="9" s="1"/>
  <c r="S133" i="9" s="1"/>
  <c r="X133" i="9"/>
  <c r="X61" i="9"/>
  <c r="L61" i="9"/>
  <c r="N61" i="9" s="1"/>
  <c r="R61" i="9" s="1"/>
  <c r="S61" i="9" s="1"/>
  <c r="L45" i="9"/>
  <c r="N45" i="9" s="1"/>
  <c r="R45" i="9" s="1"/>
  <c r="S45" i="9" s="1"/>
  <c r="X45" i="9"/>
  <c r="L41" i="9"/>
  <c r="N41" i="9" s="1"/>
  <c r="R41" i="9" s="1"/>
  <c r="S41" i="9" s="1"/>
  <c r="Y41" i="9" s="1"/>
  <c r="X41" i="9"/>
  <c r="Y30" i="9"/>
  <c r="L27" i="9"/>
  <c r="N27" i="9" s="1"/>
  <c r="R27" i="9" s="1"/>
  <c r="S27" i="9" s="1"/>
  <c r="X27" i="9"/>
  <c r="X12" i="9"/>
  <c r="L12" i="9"/>
  <c r="K145" i="6"/>
  <c r="K205" i="6"/>
  <c r="K173" i="6"/>
  <c r="K109" i="6"/>
  <c r="X70" i="9"/>
  <c r="Y70" i="9" s="1"/>
  <c r="L36" i="9"/>
  <c r="N36" i="9" s="1"/>
  <c r="R36" i="9" s="1"/>
  <c r="S36" i="9" s="1"/>
  <c r="X36" i="9"/>
  <c r="L35" i="9"/>
  <c r="N35" i="9" s="1"/>
  <c r="R35" i="9" s="1"/>
  <c r="S35" i="9" s="1"/>
  <c r="Y35" i="9" s="1"/>
  <c r="X35" i="9"/>
  <c r="L33" i="9"/>
  <c r="N33" i="9" s="1"/>
  <c r="R33" i="9" s="1"/>
  <c r="S33" i="9" s="1"/>
  <c r="Y33" i="9" s="1"/>
  <c r="L29" i="9"/>
  <c r="N29" i="9" s="1"/>
  <c r="R29" i="9" s="1"/>
  <c r="S29" i="9" s="1"/>
  <c r="Y29" i="9" s="1"/>
  <c r="L25" i="9"/>
  <c r="N25" i="9" s="1"/>
  <c r="R25" i="9" s="1"/>
  <c r="S25" i="9" s="1"/>
  <c r="Y25" i="9" s="1"/>
  <c r="L14" i="9"/>
  <c r="N14" i="9" s="1"/>
  <c r="R14" i="9" s="1"/>
  <c r="S14" i="9" s="1"/>
  <c r="Y14" i="9" s="1"/>
  <c r="K272" i="6"/>
  <c r="K264" i="6"/>
  <c r="K263" i="6"/>
  <c r="K257" i="6"/>
  <c r="K255" i="6"/>
  <c r="K252" i="6"/>
  <c r="K248" i="6"/>
  <c r="K198" i="6"/>
  <c r="K187" i="6"/>
  <c r="K186" i="6"/>
  <c r="K126" i="6"/>
  <c r="K121" i="6"/>
  <c r="K50" i="6"/>
  <c r="K18" i="6"/>
  <c r="T15" i="2"/>
  <c r="K236" i="6"/>
  <c r="K168" i="6"/>
  <c r="I279" i="6"/>
  <c r="K70" i="6"/>
  <c r="J15" i="2"/>
  <c r="K15" i="2" s="1"/>
  <c r="U13" i="2"/>
  <c r="K13" i="2"/>
  <c r="M13" i="2" s="1"/>
  <c r="K190" i="6"/>
  <c r="K104" i="6"/>
  <c r="L20" i="9"/>
  <c r="N20" i="9" s="1"/>
  <c r="R20" i="9" s="1"/>
  <c r="S20" i="9" s="1"/>
  <c r="X20" i="9"/>
  <c r="K203" i="6"/>
  <c r="K169" i="6"/>
  <c r="K144" i="6"/>
  <c r="K137" i="6"/>
  <c r="K64" i="6"/>
  <c r="K177" i="6"/>
  <c r="K158" i="6"/>
  <c r="K99" i="6"/>
  <c r="R279" i="6"/>
  <c r="K170" i="6"/>
  <c r="K156" i="6"/>
  <c r="K90" i="6"/>
  <c r="R15" i="2"/>
  <c r="K105" i="6"/>
  <c r="Y27" i="9" l="1"/>
  <c r="Y64" i="9"/>
  <c r="Y191" i="9"/>
  <c r="Y167" i="9"/>
  <c r="Y80" i="9"/>
  <c r="Y194" i="9"/>
  <c r="Y246" i="9"/>
  <c r="X32" i="10"/>
  <c r="X63" i="10"/>
  <c r="X68" i="10"/>
  <c r="Y21" i="9"/>
  <c r="Y115" i="9"/>
  <c r="Y156" i="9"/>
  <c r="Y215" i="9"/>
  <c r="Y244" i="9"/>
  <c r="X39" i="10"/>
  <c r="Y222" i="9"/>
  <c r="Y39" i="9"/>
  <c r="Y60" i="9"/>
  <c r="Y52" i="9"/>
  <c r="Y78" i="9"/>
  <c r="Y166" i="9"/>
  <c r="Y174" i="9"/>
  <c r="Y193" i="9"/>
  <c r="Y22" i="9"/>
  <c r="Y72" i="9"/>
  <c r="Y148" i="9"/>
  <c r="Y209" i="9"/>
  <c r="Y147" i="9"/>
  <c r="Y175" i="9"/>
  <c r="Y19" i="9"/>
  <c r="X66" i="10"/>
  <c r="X30" i="10"/>
  <c r="X65" i="10"/>
  <c r="X71" i="10"/>
  <c r="Y58" i="9"/>
  <c r="Y199" i="9"/>
  <c r="X15" i="10"/>
  <c r="Y38" i="9"/>
  <c r="Y116" i="9"/>
  <c r="Y245" i="9"/>
  <c r="L135" i="9"/>
  <c r="N135" i="9" s="1"/>
  <c r="R135" i="9" s="1"/>
  <c r="S135" i="9" s="1"/>
  <c r="X135" i="9"/>
  <c r="K254" i="9"/>
  <c r="K191" i="6"/>
  <c r="K132" i="6"/>
  <c r="J279" i="6"/>
  <c r="U15" i="2"/>
  <c r="N12" i="9"/>
  <c r="R12" i="9" s="1"/>
  <c r="N254" i="9"/>
  <c r="Y45" i="9"/>
  <c r="Y133" i="9"/>
  <c r="Y139" i="9"/>
  <c r="Y46" i="9"/>
  <c r="Y43" i="9"/>
  <c r="Y44" i="9"/>
  <c r="Y66" i="9"/>
  <c r="Y161" i="9"/>
  <c r="Y169" i="9"/>
  <c r="Y177" i="9"/>
  <c r="Y192" i="9"/>
  <c r="Y53" i="9"/>
  <c r="Y150" i="9"/>
  <c r="Y168" i="9"/>
  <c r="Y176" i="9"/>
  <c r="Y144" i="9"/>
  <c r="Y211" i="9"/>
  <c r="Y155" i="9"/>
  <c r="Y143" i="9"/>
  <c r="Y196" i="9"/>
  <c r="Y208" i="9"/>
  <c r="Y248" i="9"/>
  <c r="M72" i="10"/>
  <c r="R72" i="10"/>
  <c r="X12" i="10"/>
  <c r="X17" i="11"/>
  <c r="Y20" i="9"/>
  <c r="Y36" i="9"/>
  <c r="X254" i="9"/>
  <c r="Y61" i="9"/>
  <c r="Y65" i="9"/>
  <c r="Y50" i="9"/>
  <c r="Y54" i="9"/>
  <c r="Y62" i="9"/>
  <c r="Y162" i="9"/>
  <c r="Y170" i="9"/>
  <c r="Y178" i="9"/>
  <c r="W72" i="10"/>
  <c r="X70" i="10"/>
  <c r="X62" i="10"/>
  <c r="M15" i="2"/>
  <c r="P13" i="2"/>
  <c r="Y79" i="9"/>
  <c r="Y47" i="9"/>
  <c r="Y57" i="9"/>
  <c r="Y81" i="9"/>
  <c r="Y138" i="9"/>
  <c r="Y173" i="9"/>
  <c r="Y181" i="9"/>
  <c r="Y51" i="9"/>
  <c r="Y164" i="9"/>
  <c r="Y172" i="9"/>
  <c r="Y180" i="9"/>
  <c r="Y204" i="9"/>
  <c r="Y236" i="9"/>
  <c r="Y110" i="9"/>
  <c r="Y190" i="9"/>
  <c r="Y240" i="9"/>
  <c r="N17" i="11"/>
  <c r="R13" i="11"/>
  <c r="S13" i="11" s="1"/>
  <c r="K72" i="10"/>
  <c r="Y198" i="9"/>
  <c r="Y250" i="9"/>
  <c r="X36" i="10"/>
  <c r="X14" i="10"/>
  <c r="X34" i="10"/>
  <c r="X67" i="10"/>
  <c r="X13" i="10"/>
  <c r="X21" i="10"/>
  <c r="X35" i="10"/>
  <c r="X19" i="10"/>
  <c r="Q72" i="10"/>
  <c r="X29" i="10"/>
  <c r="Y135" i="9" l="1"/>
  <c r="K279" i="6"/>
  <c r="Y13" i="11"/>
  <c r="Y17" i="11" s="1"/>
  <c r="S17" i="11"/>
  <c r="P15" i="2"/>
  <c r="V13" i="2"/>
  <c r="V15" i="2" s="1"/>
  <c r="B7" i="21" s="1"/>
  <c r="X72" i="10"/>
  <c r="S12" i="9"/>
  <c r="R254" i="9"/>
  <c r="Y12" i="9" l="1"/>
  <c r="Y254" i="9" s="1"/>
  <c r="S254" i="9"/>
  <c r="M13" i="6" l="1"/>
  <c r="U13" i="6"/>
  <c r="U26" i="6"/>
  <c r="M26" i="6"/>
  <c r="U12" i="6"/>
  <c r="M12" i="6"/>
  <c r="U64" i="6"/>
  <c r="M64" i="6"/>
  <c r="M21" i="6"/>
  <c r="U21" i="6"/>
  <c r="M57" i="6"/>
  <c r="U57" i="6"/>
  <c r="U28" i="6"/>
  <c r="M28" i="6"/>
  <c r="M30" i="6"/>
  <c r="U30" i="6"/>
  <c r="U116" i="6"/>
  <c r="M116" i="6"/>
  <c r="U120" i="6"/>
  <c r="M120" i="6"/>
  <c r="U127" i="6"/>
  <c r="M127" i="6"/>
  <c r="U147" i="6"/>
  <c r="M147" i="6"/>
  <c r="U14" i="6"/>
  <c r="M14" i="6"/>
  <c r="M46" i="6"/>
  <c r="U46" i="6"/>
  <c r="U68" i="6"/>
  <c r="M68" i="6"/>
  <c r="M63" i="6"/>
  <c r="U63" i="6"/>
  <c r="U16" i="6"/>
  <c r="M16" i="6"/>
  <c r="U27" i="6"/>
  <c r="M27" i="6"/>
  <c r="U23" i="6"/>
  <c r="M23" i="6"/>
  <c r="M58" i="6"/>
  <c r="U58" i="6"/>
  <c r="U55" i="6"/>
  <c r="M55" i="6"/>
  <c r="U75" i="6"/>
  <c r="M75" i="6"/>
  <c r="U71" i="6"/>
  <c r="M71" i="6"/>
  <c r="U38" i="6"/>
  <c r="M38" i="6"/>
  <c r="U35" i="6"/>
  <c r="M35" i="6"/>
  <c r="U32" i="6"/>
  <c r="M32" i="6"/>
  <c r="U133" i="6"/>
  <c r="M133" i="6"/>
  <c r="U119" i="6"/>
  <c r="M119" i="6"/>
  <c r="U125" i="6"/>
  <c r="M125" i="6"/>
  <c r="U121" i="6"/>
  <c r="M121" i="6"/>
  <c r="U130" i="6"/>
  <c r="M130" i="6"/>
  <c r="U148" i="6"/>
  <c r="M148" i="6"/>
  <c r="M146" i="6"/>
  <c r="U146" i="6"/>
  <c r="U137" i="6"/>
  <c r="M137" i="6"/>
  <c r="U151" i="6"/>
  <c r="M151" i="6"/>
  <c r="M157" i="6"/>
  <c r="U157" i="6"/>
  <c r="M153" i="6"/>
  <c r="U153" i="6"/>
  <c r="U186" i="6"/>
  <c r="M186" i="6"/>
  <c r="M210" i="6"/>
  <c r="U210" i="6"/>
  <c r="M206" i="6"/>
  <c r="U206" i="6"/>
  <c r="U203" i="6"/>
  <c r="M203" i="6"/>
  <c r="M197" i="6"/>
  <c r="U197" i="6"/>
  <c r="U190" i="6"/>
  <c r="M190" i="6"/>
  <c r="U201" i="6"/>
  <c r="M201" i="6"/>
  <c r="U172" i="6"/>
  <c r="M172" i="6"/>
  <c r="U181" i="6"/>
  <c r="M181" i="6"/>
  <c r="U182" i="6"/>
  <c r="M182" i="6"/>
  <c r="U168" i="6"/>
  <c r="M168" i="6"/>
  <c r="U177" i="6"/>
  <c r="M177" i="6"/>
  <c r="U176" i="6"/>
  <c r="M176" i="6"/>
  <c r="M267" i="6"/>
  <c r="U267" i="6"/>
  <c r="U263" i="6"/>
  <c r="M263" i="6"/>
  <c r="U259" i="6"/>
  <c r="M259" i="6"/>
  <c r="U255" i="6"/>
  <c r="M255" i="6"/>
  <c r="U251" i="6"/>
  <c r="M251" i="6"/>
  <c r="U257" i="6"/>
  <c r="M257" i="6"/>
  <c r="U214" i="6"/>
  <c r="M214" i="6"/>
  <c r="U230" i="6"/>
  <c r="M230" i="6"/>
  <c r="U231" i="6"/>
  <c r="M231" i="6"/>
  <c r="U224" i="6"/>
  <c r="M224" i="6"/>
  <c r="U222" i="6"/>
  <c r="M222" i="6"/>
  <c r="M229" i="6"/>
  <c r="U229" i="6"/>
  <c r="M225" i="6"/>
  <c r="U225" i="6"/>
  <c r="U221" i="6"/>
  <c r="M221" i="6"/>
  <c r="M113" i="6"/>
  <c r="U113" i="6"/>
  <c r="M111" i="6"/>
  <c r="U111" i="6"/>
  <c r="M270" i="6"/>
  <c r="U270" i="6"/>
  <c r="U275" i="6"/>
  <c r="M275" i="6"/>
  <c r="M278" i="6"/>
  <c r="U278" i="6"/>
  <c r="U99" i="6"/>
  <c r="M99" i="6"/>
  <c r="M93" i="6"/>
  <c r="U93" i="6"/>
  <c r="U102" i="6"/>
  <c r="M102" i="6"/>
  <c r="U100" i="6"/>
  <c r="M100" i="6"/>
  <c r="M87" i="6"/>
  <c r="U87" i="6"/>
  <c r="U80" i="6"/>
  <c r="M80" i="6"/>
  <c r="M49" i="6"/>
  <c r="U49" i="6"/>
  <c r="M77" i="6"/>
  <c r="U77" i="6"/>
  <c r="U48" i="6"/>
  <c r="M48" i="6"/>
  <c r="U59" i="6"/>
  <c r="M59" i="6"/>
  <c r="U19" i="6"/>
  <c r="M19" i="6"/>
  <c r="M52" i="6"/>
  <c r="U52" i="6"/>
  <c r="M56" i="6"/>
  <c r="U56" i="6"/>
  <c r="U69" i="6"/>
  <c r="M69" i="6"/>
  <c r="M72" i="6"/>
  <c r="U72" i="6"/>
  <c r="M41" i="6"/>
  <c r="U41" i="6"/>
  <c r="M36" i="6"/>
  <c r="U36" i="6"/>
  <c r="U31" i="6"/>
  <c r="M31" i="6"/>
  <c r="M29" i="6"/>
  <c r="U29" i="6"/>
  <c r="M134" i="6"/>
  <c r="U134" i="6"/>
  <c r="U132" i="6"/>
  <c r="M132" i="6"/>
  <c r="U118" i="6"/>
  <c r="M118" i="6"/>
  <c r="U123" i="6"/>
  <c r="M123" i="6"/>
  <c r="U128" i="6"/>
  <c r="M128" i="6"/>
  <c r="U143" i="6"/>
  <c r="M143" i="6"/>
  <c r="U145" i="6"/>
  <c r="M145" i="6"/>
  <c r="M139" i="6"/>
  <c r="U139" i="6"/>
  <c r="U144" i="6"/>
  <c r="M144" i="6"/>
  <c r="U152" i="6"/>
  <c r="M152" i="6"/>
  <c r="U155" i="6"/>
  <c r="M155" i="6"/>
  <c r="U158" i="6"/>
  <c r="M158" i="6"/>
  <c r="M211" i="6"/>
  <c r="U211" i="6"/>
  <c r="M207" i="6"/>
  <c r="U207" i="6"/>
  <c r="U202" i="6"/>
  <c r="M202" i="6"/>
  <c r="U198" i="6"/>
  <c r="M198" i="6"/>
  <c r="U194" i="6"/>
  <c r="M194" i="6"/>
  <c r="M189" i="6"/>
  <c r="U189" i="6"/>
  <c r="U195" i="6"/>
  <c r="M195" i="6"/>
  <c r="U173" i="6"/>
  <c r="M173" i="6"/>
  <c r="U179" i="6"/>
  <c r="M179" i="6"/>
  <c r="U165" i="6"/>
  <c r="M165" i="6"/>
  <c r="M166" i="6"/>
  <c r="U166" i="6"/>
  <c r="M167" i="6"/>
  <c r="U167" i="6"/>
  <c r="M268" i="6"/>
  <c r="U268" i="6"/>
  <c r="U264" i="6"/>
  <c r="M264" i="6"/>
  <c r="U260" i="6"/>
  <c r="M260" i="6"/>
  <c r="M256" i="6"/>
  <c r="U256" i="6"/>
  <c r="U252" i="6"/>
  <c r="M252" i="6"/>
  <c r="U248" i="6"/>
  <c r="M248" i="6"/>
  <c r="M238" i="6"/>
  <c r="U238" i="6"/>
  <c r="U226" i="6"/>
  <c r="M226" i="6"/>
  <c r="M235" i="6"/>
  <c r="U235" i="6"/>
  <c r="U241" i="6"/>
  <c r="M241" i="6"/>
  <c r="U217" i="6"/>
  <c r="M217" i="6"/>
  <c r="M237" i="6"/>
  <c r="U237" i="6"/>
  <c r="M243" i="6"/>
  <c r="U243" i="6"/>
  <c r="U109" i="6"/>
  <c r="M109" i="6"/>
  <c r="U115" i="6"/>
  <c r="M115" i="6"/>
  <c r="U112" i="6"/>
  <c r="M112" i="6"/>
  <c r="M274" i="6"/>
  <c r="U274" i="6"/>
  <c r="U272" i="6"/>
  <c r="M272" i="6"/>
  <c r="U95" i="6"/>
  <c r="M95" i="6"/>
  <c r="U104" i="6"/>
  <c r="M104" i="6"/>
  <c r="M96" i="6"/>
  <c r="U96" i="6"/>
  <c r="M86" i="6"/>
  <c r="U86" i="6"/>
  <c r="M81" i="6"/>
  <c r="U81" i="6"/>
  <c r="U78" i="6"/>
  <c r="M78" i="6"/>
  <c r="U61" i="6"/>
  <c r="M61" i="6"/>
  <c r="M20" i="6"/>
  <c r="U20" i="6"/>
  <c r="M47" i="6"/>
  <c r="U47" i="6"/>
  <c r="M65" i="6"/>
  <c r="U65" i="6"/>
  <c r="M24" i="6"/>
  <c r="U24" i="6"/>
  <c r="U73" i="6"/>
  <c r="M73" i="6"/>
  <c r="U37" i="6"/>
  <c r="M37" i="6"/>
  <c r="U135" i="6"/>
  <c r="M135" i="6"/>
  <c r="U126" i="6"/>
  <c r="M126" i="6"/>
  <c r="U142" i="6"/>
  <c r="M142" i="6"/>
  <c r="M159" i="6"/>
  <c r="M154" i="6"/>
  <c r="U154" i="6"/>
  <c r="U208" i="6"/>
  <c r="M208" i="6"/>
  <c r="M204" i="6"/>
  <c r="U204" i="6"/>
  <c r="U196" i="6"/>
  <c r="M196" i="6"/>
  <c r="U187" i="6"/>
  <c r="M187" i="6"/>
  <c r="M192" i="6"/>
  <c r="U192" i="6"/>
  <c r="M184" i="6"/>
  <c r="U184" i="6"/>
  <c r="U183" i="6"/>
  <c r="M183" i="6"/>
  <c r="U174" i="6"/>
  <c r="M174" i="6"/>
  <c r="U170" i="6"/>
  <c r="M170" i="6"/>
  <c r="U175" i="6"/>
  <c r="M175" i="6"/>
  <c r="U269" i="6"/>
  <c r="M269" i="6"/>
  <c r="U265" i="6"/>
  <c r="M265" i="6"/>
  <c r="M261" i="6"/>
  <c r="U261" i="6"/>
  <c r="U247" i="6"/>
  <c r="M247" i="6"/>
  <c r="U253" i="6"/>
  <c r="M253" i="6"/>
  <c r="U249" i="6"/>
  <c r="M249" i="6"/>
  <c r="M245" i="6"/>
  <c r="U245" i="6"/>
  <c r="U233" i="6"/>
  <c r="M233" i="6"/>
  <c r="U218" i="6"/>
  <c r="M218" i="6"/>
  <c r="U240" i="6"/>
  <c r="M240" i="6"/>
  <c r="U219" i="6"/>
  <c r="M219" i="6"/>
  <c r="U236" i="6"/>
  <c r="M236" i="6"/>
  <c r="M227" i="6"/>
  <c r="U227" i="6"/>
  <c r="M223" i="6"/>
  <c r="U223" i="6"/>
  <c r="U228" i="6"/>
  <c r="M228" i="6"/>
  <c r="U114" i="6"/>
  <c r="M114" i="6"/>
  <c r="U108" i="6"/>
  <c r="M108" i="6"/>
  <c r="U273" i="6"/>
  <c r="M273" i="6"/>
  <c r="M271" i="6"/>
  <c r="U271" i="6"/>
  <c r="M103" i="6"/>
  <c r="U103" i="6"/>
  <c r="U94" i="6"/>
  <c r="M94" i="6"/>
  <c r="U105" i="6"/>
  <c r="M105" i="6"/>
  <c r="U90" i="6"/>
  <c r="M90" i="6"/>
  <c r="U92" i="6"/>
  <c r="M92" i="6"/>
  <c r="M79" i="6"/>
  <c r="U79" i="6"/>
  <c r="M43" i="6"/>
  <c r="U43" i="6"/>
  <c r="U76" i="6"/>
  <c r="M76" i="6"/>
  <c r="M66" i="6"/>
  <c r="U66" i="6"/>
  <c r="U15" i="6"/>
  <c r="M15" i="6"/>
  <c r="M60" i="6"/>
  <c r="U60" i="6"/>
  <c r="U18" i="6"/>
  <c r="M18" i="6"/>
  <c r="U54" i="6"/>
  <c r="M54" i="6"/>
  <c r="U33" i="6"/>
  <c r="M33" i="6"/>
  <c r="U124" i="6"/>
  <c r="M124" i="6"/>
  <c r="U141" i="6"/>
  <c r="M141" i="6"/>
  <c r="U162" i="6"/>
  <c r="M162" i="6"/>
  <c r="U156" i="6"/>
  <c r="M156" i="6"/>
  <c r="U212" i="6"/>
  <c r="M212" i="6"/>
  <c r="U44" i="6"/>
  <c r="M44" i="6"/>
  <c r="M45" i="6"/>
  <c r="U45" i="6"/>
  <c r="M67" i="6"/>
  <c r="U67" i="6"/>
  <c r="U62" i="6"/>
  <c r="M62" i="6"/>
  <c r="M17" i="6"/>
  <c r="U17" i="6"/>
  <c r="U25" i="6"/>
  <c r="M25" i="6"/>
  <c r="U22" i="6"/>
  <c r="M22" i="6"/>
  <c r="M51" i="6"/>
  <c r="U51" i="6"/>
  <c r="M53" i="6"/>
  <c r="U53" i="6"/>
  <c r="M74" i="6"/>
  <c r="U74" i="6"/>
  <c r="U70" i="6"/>
  <c r="M70" i="6"/>
  <c r="U40" i="6"/>
  <c r="M40" i="6"/>
  <c r="M34" i="6"/>
  <c r="U34" i="6"/>
  <c r="M39" i="6"/>
  <c r="U39" i="6"/>
  <c r="U136" i="6"/>
  <c r="M136" i="6"/>
  <c r="M117" i="6"/>
  <c r="U117" i="6"/>
  <c r="M122" i="6"/>
  <c r="U122" i="6"/>
  <c r="U129" i="6"/>
  <c r="M129" i="6"/>
  <c r="M131" i="6"/>
  <c r="U131" i="6"/>
  <c r="U149" i="6"/>
  <c r="M149" i="6"/>
  <c r="U140" i="6"/>
  <c r="M140" i="6"/>
  <c r="U138" i="6"/>
  <c r="M138" i="6"/>
  <c r="M161" i="6"/>
  <c r="U161" i="6"/>
  <c r="U160" i="6"/>
  <c r="M160" i="6"/>
  <c r="M164" i="6"/>
  <c r="U164" i="6"/>
  <c r="U163" i="6"/>
  <c r="M163" i="6"/>
  <c r="U213" i="6"/>
  <c r="M213" i="6"/>
  <c r="U209" i="6"/>
  <c r="M209" i="6"/>
  <c r="U205" i="6"/>
  <c r="M205" i="6"/>
  <c r="U200" i="6"/>
  <c r="M200" i="6"/>
  <c r="U193" i="6"/>
  <c r="M193" i="6"/>
  <c r="M188" i="6"/>
  <c r="U188" i="6"/>
  <c r="U191" i="6"/>
  <c r="M191" i="6"/>
  <c r="U185" i="6"/>
  <c r="M185" i="6"/>
  <c r="U178" i="6"/>
  <c r="M178" i="6"/>
  <c r="U171" i="6"/>
  <c r="M171" i="6"/>
  <c r="U180" i="6"/>
  <c r="M180" i="6"/>
  <c r="U169" i="6"/>
  <c r="M169" i="6"/>
  <c r="M244" i="6"/>
  <c r="U244" i="6"/>
  <c r="U266" i="6"/>
  <c r="M266" i="6"/>
  <c r="U262" i="6"/>
  <c r="M262" i="6"/>
  <c r="M258" i="6"/>
  <c r="U258" i="6"/>
  <c r="M254" i="6"/>
  <c r="U254" i="6"/>
  <c r="M250" i="6"/>
  <c r="U250" i="6"/>
  <c r="U246" i="6"/>
  <c r="M246" i="6"/>
  <c r="U216" i="6"/>
  <c r="M216" i="6"/>
  <c r="U242" i="6"/>
  <c r="M242" i="6"/>
  <c r="U234" i="6"/>
  <c r="M234" i="6"/>
  <c r="U232" i="6"/>
  <c r="M232" i="6"/>
  <c r="M220" i="6"/>
  <c r="U220" i="6"/>
  <c r="U239" i="6"/>
  <c r="M239" i="6"/>
  <c r="M215" i="6"/>
  <c r="U215" i="6"/>
  <c r="M107" i="6"/>
  <c r="U107" i="6"/>
  <c r="U110" i="6"/>
  <c r="M110" i="6"/>
  <c r="M276" i="6"/>
  <c r="U276" i="6"/>
  <c r="M277" i="6"/>
  <c r="U277" i="6"/>
  <c r="M89" i="6"/>
  <c r="U89" i="6"/>
  <c r="U97" i="6"/>
  <c r="M97" i="6"/>
  <c r="U101" i="6"/>
  <c r="M101" i="6"/>
  <c r="M91" i="6"/>
  <c r="U91" i="6"/>
  <c r="U98" i="6"/>
  <c r="M98" i="6"/>
  <c r="U88" i="6"/>
  <c r="M88" i="6"/>
  <c r="M82" i="6"/>
  <c r="U82" i="6"/>
  <c r="M42" i="6"/>
  <c r="U42" i="6"/>
  <c r="U50" i="6"/>
  <c r="M50" i="6"/>
  <c r="L287" i="6" l="1"/>
  <c r="U150" i="6"/>
  <c r="M150" i="6"/>
  <c r="M83" i="6"/>
  <c r="U83" i="6"/>
  <c r="L286" i="6"/>
  <c r="M199" i="6"/>
  <c r="U199" i="6"/>
  <c r="L289" i="6"/>
  <c r="L288" i="6"/>
  <c r="U279" i="6" l="1"/>
  <c r="M279" i="6"/>
  <c r="P185" i="6" l="1"/>
  <c r="V185" i="6" s="1"/>
  <c r="P148" i="6"/>
  <c r="V148" i="6" s="1"/>
  <c r="P278" i="6"/>
  <c r="V278" i="6" s="1"/>
  <c r="P16" i="6"/>
  <c r="V16" i="6" s="1"/>
  <c r="P20" i="6"/>
  <c r="V20" i="6" s="1"/>
  <c r="P24" i="6"/>
  <c r="V24" i="6" s="1"/>
  <c r="P28" i="6"/>
  <c r="V28" i="6" s="1"/>
  <c r="P32" i="6"/>
  <c r="V32" i="6" s="1"/>
  <c r="P36" i="6"/>
  <c r="V36" i="6" s="1"/>
  <c r="P40" i="6"/>
  <c r="V40" i="6" s="1"/>
  <c r="P44" i="6"/>
  <c r="V44" i="6" s="1"/>
  <c r="P48" i="6"/>
  <c r="V48" i="6" s="1"/>
  <c r="P52" i="6"/>
  <c r="V52" i="6" s="1"/>
  <c r="P56" i="6"/>
  <c r="V56" i="6" s="1"/>
  <c r="P60" i="6"/>
  <c r="V60" i="6" s="1"/>
  <c r="P64" i="6"/>
  <c r="V64" i="6" s="1"/>
  <c r="P68" i="6"/>
  <c r="V68" i="6" s="1"/>
  <c r="P72" i="6"/>
  <c r="V72" i="6" s="1"/>
  <c r="P76" i="6"/>
  <c r="V76" i="6" s="1"/>
  <c r="P80" i="6"/>
  <c r="V80" i="6" s="1"/>
  <c r="P86" i="6"/>
  <c r="V86" i="6" s="1"/>
  <c r="P90" i="6"/>
  <c r="V90" i="6" s="1"/>
  <c r="P94" i="6"/>
  <c r="V94" i="6" s="1"/>
  <c r="P98" i="6"/>
  <c r="V98" i="6" s="1"/>
  <c r="P102" i="6"/>
  <c r="V102" i="6" s="1"/>
  <c r="P110" i="6"/>
  <c r="V110" i="6" s="1"/>
  <c r="P114" i="6"/>
  <c r="V114" i="6" s="1"/>
  <c r="P118" i="6"/>
  <c r="V118" i="6" s="1"/>
  <c r="P122" i="6"/>
  <c r="V122" i="6" s="1"/>
  <c r="P126" i="6"/>
  <c r="V126" i="6" s="1"/>
  <c r="P130" i="6"/>
  <c r="V130" i="6" s="1"/>
  <c r="P134" i="6"/>
  <c r="V134" i="6" s="1"/>
  <c r="P138" i="6"/>
  <c r="V138" i="6" s="1"/>
  <c r="P142" i="6"/>
  <c r="V142" i="6" s="1"/>
  <c r="P146" i="6"/>
  <c r="V146" i="6" s="1"/>
  <c r="P151" i="6"/>
  <c r="V151" i="6" s="1"/>
  <c r="P155" i="6"/>
  <c r="V155" i="6" s="1"/>
  <c r="P159" i="6"/>
  <c r="V159" i="6" s="1"/>
  <c r="P166" i="6"/>
  <c r="V166" i="6" s="1"/>
  <c r="P170" i="6"/>
  <c r="V170" i="6" s="1"/>
  <c r="P174" i="6"/>
  <c r="V174" i="6" s="1"/>
  <c r="P178" i="6"/>
  <c r="V178" i="6" s="1"/>
  <c r="P182" i="6"/>
  <c r="V182" i="6" s="1"/>
  <c r="P187" i="6"/>
  <c r="V187" i="6" s="1"/>
  <c r="P191" i="6"/>
  <c r="V191" i="6" s="1"/>
  <c r="P195" i="6"/>
  <c r="V195" i="6" s="1"/>
  <c r="P199" i="6"/>
  <c r="V199" i="6" s="1"/>
  <c r="P203" i="6"/>
  <c r="V203" i="6" s="1"/>
  <c r="P207" i="6"/>
  <c r="V207" i="6" s="1"/>
  <c r="P211" i="6"/>
  <c r="V211" i="6" s="1"/>
  <c r="P215" i="6"/>
  <c r="V215" i="6" s="1"/>
  <c r="P219" i="6"/>
  <c r="V219" i="6" s="1"/>
  <c r="P223" i="6"/>
  <c r="V223" i="6" s="1"/>
  <c r="P227" i="6"/>
  <c r="V227" i="6" s="1"/>
  <c r="P231" i="6"/>
  <c r="V231" i="6" s="1"/>
  <c r="P238" i="6"/>
  <c r="V238" i="6" s="1"/>
  <c r="P242" i="6"/>
  <c r="V242" i="6" s="1"/>
  <c r="P246" i="6"/>
  <c r="V246" i="6" s="1"/>
  <c r="P250" i="6"/>
  <c r="V250" i="6" s="1"/>
  <c r="P254" i="6"/>
  <c r="V254" i="6" s="1"/>
  <c r="P258" i="6"/>
  <c r="V258" i="6" s="1"/>
  <c r="P262" i="6"/>
  <c r="V262" i="6" s="1"/>
  <c r="P266" i="6"/>
  <c r="V266" i="6" s="1"/>
  <c r="P270" i="6"/>
  <c r="V270" i="6" s="1"/>
  <c r="P13" i="6"/>
  <c r="V13" i="6" s="1"/>
  <c r="P275" i="6"/>
  <c r="V275" i="6" s="1"/>
  <c r="P274" i="6"/>
  <c r="V274" i="6" s="1"/>
  <c r="P17" i="6"/>
  <c r="V17" i="6" s="1"/>
  <c r="P21" i="6"/>
  <c r="V21" i="6" s="1"/>
  <c r="P25" i="6"/>
  <c r="V25" i="6" s="1"/>
  <c r="P29" i="6"/>
  <c r="V29" i="6" s="1"/>
  <c r="P33" i="6"/>
  <c r="V33" i="6" s="1"/>
  <c r="P37" i="6"/>
  <c r="V37" i="6" s="1"/>
  <c r="P41" i="6"/>
  <c r="V41" i="6" s="1"/>
  <c r="P45" i="6"/>
  <c r="V45" i="6" s="1"/>
  <c r="P49" i="6"/>
  <c r="V49" i="6" s="1"/>
  <c r="P53" i="6"/>
  <c r="V53" i="6" s="1"/>
  <c r="P57" i="6"/>
  <c r="V57" i="6" s="1"/>
  <c r="P61" i="6"/>
  <c r="V61" i="6" s="1"/>
  <c r="P65" i="6"/>
  <c r="V65" i="6" s="1"/>
  <c r="P69" i="6"/>
  <c r="V69" i="6" s="1"/>
  <c r="P73" i="6"/>
  <c r="V73" i="6" s="1"/>
  <c r="P77" i="6"/>
  <c r="V77" i="6" s="1"/>
  <c r="P81" i="6"/>
  <c r="V81" i="6" s="1"/>
  <c r="P87" i="6"/>
  <c r="V87" i="6" s="1"/>
  <c r="P91" i="6"/>
  <c r="V91" i="6" s="1"/>
  <c r="P95" i="6"/>
  <c r="V95" i="6" s="1"/>
  <c r="P99" i="6"/>
  <c r="V99" i="6" s="1"/>
  <c r="P103" i="6"/>
  <c r="V103" i="6" s="1"/>
  <c r="P107" i="6"/>
  <c r="V107" i="6" s="1"/>
  <c r="P111" i="6"/>
  <c r="V111" i="6" s="1"/>
  <c r="P115" i="6"/>
  <c r="V115" i="6" s="1"/>
  <c r="P119" i="6"/>
  <c r="V119" i="6" s="1"/>
  <c r="P123" i="6"/>
  <c r="V123" i="6" s="1"/>
  <c r="P127" i="6"/>
  <c r="V127" i="6" s="1"/>
  <c r="P131" i="6"/>
  <c r="V131" i="6" s="1"/>
  <c r="P135" i="6"/>
  <c r="V135" i="6" s="1"/>
  <c r="P139" i="6"/>
  <c r="V139" i="6" s="1"/>
  <c r="P143" i="6"/>
  <c r="V143" i="6" s="1"/>
  <c r="P147" i="6"/>
  <c r="V147" i="6" s="1"/>
  <c r="P152" i="6"/>
  <c r="V152" i="6" s="1"/>
  <c r="P156" i="6"/>
  <c r="V156" i="6" s="1"/>
  <c r="P160" i="6"/>
  <c r="V160" i="6" s="1"/>
  <c r="P163" i="6"/>
  <c r="V163" i="6" s="1"/>
  <c r="P167" i="6"/>
  <c r="V167" i="6" s="1"/>
  <c r="P171" i="6"/>
  <c r="V171" i="6" s="1"/>
  <c r="P175" i="6"/>
  <c r="V175" i="6" s="1"/>
  <c r="P179" i="6"/>
  <c r="V179" i="6" s="1"/>
  <c r="P183" i="6"/>
  <c r="V183" i="6" s="1"/>
  <c r="P188" i="6"/>
  <c r="V188" i="6" s="1"/>
  <c r="P192" i="6"/>
  <c r="V192" i="6" s="1"/>
  <c r="P196" i="6"/>
  <c r="V196" i="6" s="1"/>
  <c r="P200" i="6"/>
  <c r="V200" i="6" s="1"/>
  <c r="P204" i="6"/>
  <c r="V204" i="6" s="1"/>
  <c r="P208" i="6"/>
  <c r="V208" i="6" s="1"/>
  <c r="P212" i="6"/>
  <c r="V212" i="6" s="1"/>
  <c r="P216" i="6"/>
  <c r="V216" i="6" s="1"/>
  <c r="P220" i="6"/>
  <c r="V220" i="6" s="1"/>
  <c r="P224" i="6"/>
  <c r="V224" i="6" s="1"/>
  <c r="P228" i="6"/>
  <c r="V228" i="6" s="1"/>
  <c r="P232" i="6"/>
  <c r="V232" i="6" s="1"/>
  <c r="P235" i="6"/>
  <c r="V235" i="6" s="1"/>
  <c r="P239" i="6"/>
  <c r="V239" i="6" s="1"/>
  <c r="P243" i="6"/>
  <c r="V243" i="6" s="1"/>
  <c r="P247" i="6"/>
  <c r="V247" i="6" s="1"/>
  <c r="P251" i="6"/>
  <c r="V251" i="6" s="1"/>
  <c r="P255" i="6"/>
  <c r="V255" i="6" s="1"/>
  <c r="P259" i="6"/>
  <c r="V259" i="6" s="1"/>
  <c r="P263" i="6"/>
  <c r="V263" i="6" s="1"/>
  <c r="P267" i="6"/>
  <c r="V267" i="6" s="1"/>
  <c r="P271" i="6"/>
  <c r="V271" i="6" s="1"/>
  <c r="P276" i="6"/>
  <c r="V276" i="6" s="1"/>
  <c r="P14" i="6"/>
  <c r="V14" i="6" s="1"/>
  <c r="P18" i="6"/>
  <c r="V18" i="6" s="1"/>
  <c r="P22" i="6"/>
  <c r="V22" i="6" s="1"/>
  <c r="P26" i="6"/>
  <c r="V26" i="6" s="1"/>
  <c r="P30" i="6"/>
  <c r="V30" i="6" s="1"/>
  <c r="P34" i="6"/>
  <c r="V34" i="6" s="1"/>
  <c r="P38" i="6"/>
  <c r="V38" i="6" s="1"/>
  <c r="P42" i="6"/>
  <c r="V42" i="6" s="1"/>
  <c r="P46" i="6"/>
  <c r="V46" i="6" s="1"/>
  <c r="P50" i="6"/>
  <c r="V50" i="6" s="1"/>
  <c r="P54" i="6"/>
  <c r="V54" i="6" s="1"/>
  <c r="P58" i="6"/>
  <c r="V58" i="6" s="1"/>
  <c r="P62" i="6"/>
  <c r="V62" i="6" s="1"/>
  <c r="P66" i="6"/>
  <c r="V66" i="6" s="1"/>
  <c r="P70" i="6"/>
  <c r="V70" i="6" s="1"/>
  <c r="P74" i="6"/>
  <c r="V74" i="6" s="1"/>
  <c r="P78" i="6"/>
  <c r="V78" i="6" s="1"/>
  <c r="P82" i="6"/>
  <c r="V82" i="6" s="1"/>
  <c r="P88" i="6"/>
  <c r="V88" i="6" s="1"/>
  <c r="P92" i="6"/>
  <c r="V92" i="6" s="1"/>
  <c r="P96" i="6"/>
  <c r="V96" i="6" s="1"/>
  <c r="P100" i="6"/>
  <c r="V100" i="6" s="1"/>
  <c r="P104" i="6"/>
  <c r="V104" i="6" s="1"/>
  <c r="P108" i="6"/>
  <c r="V108" i="6" s="1"/>
  <c r="P112" i="6"/>
  <c r="V112" i="6" s="1"/>
  <c r="P116" i="6"/>
  <c r="V116" i="6" s="1"/>
  <c r="P120" i="6"/>
  <c r="V120" i="6" s="1"/>
  <c r="P124" i="6"/>
  <c r="V124" i="6" s="1"/>
  <c r="P128" i="6"/>
  <c r="V128" i="6" s="1"/>
  <c r="P132" i="6"/>
  <c r="V132" i="6" s="1"/>
  <c r="P136" i="6"/>
  <c r="V136" i="6" s="1"/>
  <c r="P140" i="6"/>
  <c r="V140" i="6" s="1"/>
  <c r="P144" i="6"/>
  <c r="V144" i="6" s="1"/>
  <c r="P149" i="6"/>
  <c r="V149" i="6" s="1"/>
  <c r="P153" i="6"/>
  <c r="V153" i="6" s="1"/>
  <c r="P157" i="6"/>
  <c r="V157" i="6" s="1"/>
  <c r="P161" i="6"/>
  <c r="V161" i="6" s="1"/>
  <c r="P164" i="6"/>
  <c r="V164" i="6" s="1"/>
  <c r="P168" i="6"/>
  <c r="V168" i="6" s="1"/>
  <c r="P172" i="6"/>
  <c r="V172" i="6" s="1"/>
  <c r="P176" i="6"/>
  <c r="V176" i="6" s="1"/>
  <c r="P180" i="6"/>
  <c r="V180" i="6" s="1"/>
  <c r="P184" i="6"/>
  <c r="V184" i="6" s="1"/>
  <c r="P189" i="6"/>
  <c r="V189" i="6" s="1"/>
  <c r="P193" i="6"/>
  <c r="V193" i="6" s="1"/>
  <c r="P197" i="6"/>
  <c r="V197" i="6" s="1"/>
  <c r="P201" i="6"/>
  <c r="V201" i="6" s="1"/>
  <c r="P205" i="6"/>
  <c r="V205" i="6" s="1"/>
  <c r="P209" i="6"/>
  <c r="V209" i="6" s="1"/>
  <c r="P213" i="6"/>
  <c r="V213" i="6" s="1"/>
  <c r="P217" i="6"/>
  <c r="V217" i="6" s="1"/>
  <c r="P221" i="6"/>
  <c r="V221" i="6" s="1"/>
  <c r="P225" i="6"/>
  <c r="V225" i="6" s="1"/>
  <c r="P229" i="6"/>
  <c r="V229" i="6" s="1"/>
  <c r="P233" i="6"/>
  <c r="V233" i="6" s="1"/>
  <c r="P236" i="6"/>
  <c r="V236" i="6" s="1"/>
  <c r="P240" i="6"/>
  <c r="V240" i="6" s="1"/>
  <c r="P244" i="6"/>
  <c r="V244" i="6" s="1"/>
  <c r="P248" i="6"/>
  <c r="V248" i="6" s="1"/>
  <c r="P252" i="6"/>
  <c r="V252" i="6" s="1"/>
  <c r="P256" i="6"/>
  <c r="V256" i="6" s="1"/>
  <c r="P260" i="6"/>
  <c r="V260" i="6" s="1"/>
  <c r="P264" i="6"/>
  <c r="V264" i="6" s="1"/>
  <c r="P268" i="6"/>
  <c r="V268" i="6" s="1"/>
  <c r="P272" i="6"/>
  <c r="V272" i="6" s="1"/>
  <c r="P277" i="6"/>
  <c r="V277" i="6" s="1"/>
  <c r="P15" i="6"/>
  <c r="V15" i="6" s="1"/>
  <c r="P19" i="6"/>
  <c r="V19" i="6" s="1"/>
  <c r="P23" i="6"/>
  <c r="V23" i="6" s="1"/>
  <c r="P27" i="6"/>
  <c r="V27" i="6" s="1"/>
  <c r="P31" i="6"/>
  <c r="V31" i="6" s="1"/>
  <c r="P35" i="6"/>
  <c r="V35" i="6" s="1"/>
  <c r="P39" i="6"/>
  <c r="V39" i="6" s="1"/>
  <c r="P43" i="6"/>
  <c r="V43" i="6" s="1"/>
  <c r="P47" i="6"/>
  <c r="V47" i="6" s="1"/>
  <c r="P51" i="6"/>
  <c r="V51" i="6" s="1"/>
  <c r="P55" i="6"/>
  <c r="V55" i="6" s="1"/>
  <c r="P59" i="6"/>
  <c r="V59" i="6" s="1"/>
  <c r="P63" i="6"/>
  <c r="V63" i="6" s="1"/>
  <c r="P67" i="6"/>
  <c r="V67" i="6" s="1"/>
  <c r="P71" i="6"/>
  <c r="V71" i="6" s="1"/>
  <c r="P75" i="6"/>
  <c r="V75" i="6" s="1"/>
  <c r="P79" i="6"/>
  <c r="V79" i="6" s="1"/>
  <c r="P83" i="6"/>
  <c r="V83" i="6" s="1"/>
  <c r="P89" i="6"/>
  <c r="V89" i="6" s="1"/>
  <c r="P93" i="6"/>
  <c r="V93" i="6" s="1"/>
  <c r="P97" i="6"/>
  <c r="V97" i="6" s="1"/>
  <c r="P101" i="6"/>
  <c r="V101" i="6" s="1"/>
  <c r="P105" i="6"/>
  <c r="V105" i="6" s="1"/>
  <c r="P109" i="6"/>
  <c r="V109" i="6" s="1"/>
  <c r="P113" i="6"/>
  <c r="V113" i="6" s="1"/>
  <c r="P117" i="6"/>
  <c r="V117" i="6" s="1"/>
  <c r="P121" i="6"/>
  <c r="V121" i="6" s="1"/>
  <c r="P125" i="6"/>
  <c r="V125" i="6" s="1"/>
  <c r="P129" i="6"/>
  <c r="V129" i="6" s="1"/>
  <c r="P133" i="6"/>
  <c r="V133" i="6" s="1"/>
  <c r="P137" i="6"/>
  <c r="V137" i="6" s="1"/>
  <c r="P141" i="6"/>
  <c r="V141" i="6" s="1"/>
  <c r="P145" i="6"/>
  <c r="V145" i="6" s="1"/>
  <c r="P150" i="6"/>
  <c r="V150" i="6" s="1"/>
  <c r="P154" i="6"/>
  <c r="V154" i="6" s="1"/>
  <c r="P158" i="6"/>
  <c r="V158" i="6" s="1"/>
  <c r="P162" i="6"/>
  <c r="V162" i="6" s="1"/>
  <c r="P165" i="6"/>
  <c r="V165" i="6" s="1"/>
  <c r="P169" i="6"/>
  <c r="V169" i="6" s="1"/>
  <c r="P173" i="6"/>
  <c r="V173" i="6" s="1"/>
  <c r="P177" i="6"/>
  <c r="V177" i="6" s="1"/>
  <c r="P181" i="6"/>
  <c r="V181" i="6" s="1"/>
  <c r="P186" i="6"/>
  <c r="V186" i="6" s="1"/>
  <c r="P190" i="6"/>
  <c r="V190" i="6" s="1"/>
  <c r="P194" i="6"/>
  <c r="V194" i="6" s="1"/>
  <c r="P198" i="6"/>
  <c r="V198" i="6" s="1"/>
  <c r="P202" i="6"/>
  <c r="V202" i="6" s="1"/>
  <c r="P206" i="6"/>
  <c r="V206" i="6" s="1"/>
  <c r="P210" i="6"/>
  <c r="V210" i="6" s="1"/>
  <c r="P214" i="6"/>
  <c r="V214" i="6" s="1"/>
  <c r="P218" i="6"/>
  <c r="V218" i="6" s="1"/>
  <c r="P222" i="6"/>
  <c r="V222" i="6" s="1"/>
  <c r="P226" i="6"/>
  <c r="V226" i="6" s="1"/>
  <c r="P230" i="6"/>
  <c r="V230" i="6" s="1"/>
  <c r="P234" i="6"/>
  <c r="V234" i="6" s="1"/>
  <c r="P237" i="6"/>
  <c r="V237" i="6" s="1"/>
  <c r="P241" i="6"/>
  <c r="V241" i="6" s="1"/>
  <c r="P245" i="6"/>
  <c r="V245" i="6" s="1"/>
  <c r="P249" i="6"/>
  <c r="V249" i="6" s="1"/>
  <c r="P253" i="6"/>
  <c r="V253" i="6" s="1"/>
  <c r="P257" i="6"/>
  <c r="V257" i="6" s="1"/>
  <c r="P261" i="6"/>
  <c r="V261" i="6" s="1"/>
  <c r="P265" i="6"/>
  <c r="V265" i="6" s="1"/>
  <c r="P269" i="6"/>
  <c r="V269" i="6" s="1"/>
  <c r="P273" i="6"/>
  <c r="V273" i="6" s="1"/>
  <c r="O279" i="6" l="1"/>
  <c r="P12" i="6"/>
  <c r="V12" i="6" l="1"/>
  <c r="V279" i="6" s="1"/>
  <c r="B6" i="21" s="1"/>
  <c r="B8" i="21" s="1"/>
  <c r="P279" i="6"/>
</calcChain>
</file>

<file path=xl/comments1.xml><?xml version="1.0" encoding="utf-8"?>
<comments xmlns="http://schemas.openxmlformats.org/spreadsheetml/2006/main">
  <authors>
    <author>User</author>
    <author>Admin</author>
    <author>user</author>
    <author>Windows User</author>
    <author>Quynh</author>
    <author>yen</author>
    <author>admin</author>
    <author>huynh-panda</author>
    <author>Thu Thuy</author>
  </authors>
  <commentList>
    <comment ref="G1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7% từ 01/8/2016
- VK 8% từ 01/8/2017
- VK 9% từ 01/8/2018
- VK 10% từ 01/8/2019
- VK 11% từ 01/8/2020
- VK 12% từ 01/8/2021
- VK 13% từ 01/8/2022</t>
        </r>
      </text>
    </comment>
    <comment ref="F1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01/12/2015
- HS 4,98 từ 01/12/2018</t>
        </r>
      </text>
    </comment>
    <comment ref="G1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01/12/2021
- VK 6% từ 01/12/2022
- VK 7% từ 01/12/2023</t>
        </r>
      </text>
    </comment>
    <comment ref="F1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- 4,65 từ 01/10/2015
- HS 4,98 từ 01/10/17 (NL trước hạn)</t>
        </r>
      </text>
    </comment>
    <comment ref="G1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01/10/2020
- VK 6% từ 01/10/2021
- VK 7% từ 01/10/2022
- VK 8% từ 01/10/2023</t>
        </r>
      </text>
    </comment>
    <comment ref="I1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0,7 từ 01/11/2016</t>
        </r>
      </text>
    </comment>
    <comment ref="F1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4.32 từ 01/4/2019
- HS 4,65 từ 01/4/2021 (NL trước hạn)
</t>
        </r>
      </text>
    </comment>
    <comment ref="I1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0.7 từ 15/4/2019</t>
        </r>
      </text>
    </comment>
    <comment ref="F1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HS 4,32 từ 01/9/2015
- HS 4,65 từ 01/9/17 (NL trước hạn 2017)
- HS 4,98 từ 01/9/2020</t>
        </r>
      </text>
    </comment>
    <comment ref="G16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VK 5% từ 01/9/2023</t>
        </r>
      </text>
    </comment>
    <comment ref="F17" authorId="4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Bổ nhiệm CDNN từ 01/4/2018
- HS 2,67 từ 01/01/2018
- HS 3,00 từ 01/10/2019
- HS 3,33 từ 01/10/2021 (NL trước hạn)</t>
        </r>
      </text>
    </comment>
    <comment ref="I17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PP TC-HC-TH từ 01/9/2020</t>
        </r>
      </text>
    </comment>
    <comment ref="F1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2,86 từ 01/7/2014
- HS 3,06 từ 01/7/2016
- HS 3,26 từ 01/7/17 (NLl trước hạn 2017)
- HS 3,46 từ 01/7/2019
+ Tuyển dụng GV từ T11/2019
- HS 2,67 từ 01/11/2020
- HS 3,00 từ 01/11/2022</t>
        </r>
      </text>
    </comment>
    <comment ref="I1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BN Phó TP từ 01/03/2021</t>
        </r>
      </text>
    </comment>
    <comment ref="F19" authorId="5" shapeId="0">
      <text>
        <r>
          <rPr>
            <b/>
            <sz val="8"/>
            <color indexed="81"/>
            <rFont val="Tahoma"/>
            <family val="2"/>
          </rPr>
          <t>2,26 lên 2,46 từ ngày 1/4/2013</t>
        </r>
        <r>
          <rPr>
            <sz val="8"/>
            <color indexed="81"/>
            <rFont val="Tahoma"/>
            <family val="2"/>
          </rPr>
          <t xml:space="preserve">
- HS 2,66 từ 01/4/2014
- HS 2.86 từ 01/4/2016
- HS 3,06 từ 01/4/2017 (NL trước hạn 2017)
- HS 3.26 từ 01/4/2019
- HS 3,46 từ 01/4/2020 (NL trước hạn)
- HS 3,66 từ 01/6/2021 (Thi nâng ngạch)</t>
        </r>
      </text>
    </comment>
    <comment ref="F2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01/4/2014
- HS 3,00 từ 01/4/2016 (NL Trước hạn 2017)
- HS 3.33 từ 01/4/2019
- HS 3,66 từ 01/04/2021 (NL trước hạn)</t>
        </r>
      </text>
    </comment>
    <comment ref="F2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2,46 từ 01/03/2015
- HS 2,66 từ 01/3/2017
- HS 2,86 từ 01/3/2018 (NL trước hạn)
- HS 3,06 từ 01/3/2020
- HS 3,26 từ 01/03/2021 (NL trước hạn)
- HS 3,46 từ 01/03/2023</t>
        </r>
      </text>
    </comment>
    <comment ref="F2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01/11/2016 (NL Trước hạn năm 2017)
- HS 3,33 từ 01/11/2019
- HS 3,66 từ 01/11/2022</t>
        </r>
      </text>
    </comment>
    <comment ref="F23" authorId="5" shapeId="0">
      <text>
        <r>
          <rPr>
            <b/>
            <sz val="8"/>
            <color indexed="81"/>
            <rFont val="Tahoma"/>
            <family val="2"/>
          </rPr>
          <t>2,06 nâng lên 2,26 từ 1/4/2013</t>
        </r>
        <r>
          <rPr>
            <sz val="8"/>
            <color indexed="81"/>
            <rFont val="Tahoma"/>
            <family val="2"/>
          </rPr>
          <t xml:space="preserve">
- HS 2,46 từ 01/4/2014
- HS 2.66 từ 01/4/2016
- HS 2,86 từ 01/4/2018
- HS 3,06 từ 01/4/2020</t>
        </r>
      </text>
    </comment>
    <comment ref="F24" authorId="5" shapeId="0">
      <text>
        <r>
          <rPr>
            <b/>
            <sz val="8"/>
            <color indexed="81"/>
            <rFont val="Tahoma"/>
            <family val="2"/>
          </rPr>
          <t xml:space="preserve">2,26 lên 2,46 từ ngày 1/4/2013
</t>
        </r>
        <r>
          <rPr>
            <sz val="8"/>
            <color indexed="81"/>
            <rFont val="Tahoma"/>
            <family val="2"/>
          </rPr>
          <t xml:space="preserve">
- HS 2,66 từ 01/4/2014
- HS 2.86 từ 01/04/2016
- HS 3,06 từ 01/01/2019
- HS 3,26 từ 01/01/2021
- HS 3,34 từ 01/01/2021 (Chuyển xếp lương)
- HS 3,66 từ 23/11/2022 (Thi nâng ngạch)</t>
        </r>
      </text>
    </comment>
    <comment ref="F2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2,41 từ 01/4/2017
- HS 2,72 từ 01/4/2020
- HS 3,00 từ 01/6/2021 (Thi nâng ngạch)
- HS 3,33 từ 01/4/2022 (NL trước hạn)</t>
        </r>
      </text>
    </comment>
    <comment ref="F26" authorId="1" shapeId="0">
      <text>
        <r>
          <rPr>
            <sz val="9"/>
            <color indexed="81"/>
            <rFont val="Tahoma"/>
            <family val="2"/>
          </rPr>
          <t>Hợp đồng thử việc từ 10/11/2017 hưởng 85% lương
Tháng 12 hưởng 100% lương
- BNCDNN từ 01/4/2019 (2.10)
- HS 2,41 từ 01/4/2022</t>
        </r>
      </text>
    </comment>
    <comment ref="J26" authorId="1" shapeId="0">
      <text>
        <r>
          <rPr>
            <sz val="9"/>
            <color indexed="81"/>
            <rFont val="Tahoma"/>
            <family val="2"/>
          </rPr>
          <t>- Tập sự từ 01/4/2018 85% 2,1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2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01/9/2015
- HS 4,65 từ 01/9/17 (NL trước hạn 2017)
- HS 4,98 từ 01/9/2020</t>
        </r>
      </text>
    </comment>
    <comment ref="G28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VK 5% từ 01/9/2023</t>
        </r>
      </text>
    </comment>
    <comment ref="F2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01/12/2015
- HS 4,98 từ 01/12/2018</t>
        </r>
      </text>
    </comment>
    <comment ref="G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01/12/2021
- VK 6% từ 01/12/2022
- VK 7% từ 01/12/2023</t>
        </r>
      </text>
    </comment>
    <comment ref="I29" authorId="6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QĐ Bổ nhiệm Phó Trưởng phòng QT CSVC từ 01/06/2014</t>
        </r>
      </text>
    </comment>
    <comment ref="F3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HS 2,72 từ 01/4/2015
- HS 3,03 từ 01/4/17 (NL trước hạn 2017)
- HS 3,34 từ 01/4/2020
- HS 3,65 từ 01/04/2022 (NL trước hạn)</t>
        </r>
      </text>
    </comment>
    <comment ref="F3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2.66 từ 01/4/2016
- HS 2,86 từ 01/4/2018
- HS 3,06 từ 01/04/2020
- HS 3,26 từ 01/04/2022</t>
        </r>
      </text>
    </comment>
    <comment ref="F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2,66 từ 01/10/2015
- HS 2,86 từ 01/10/2017
- HS 3,06 từ 01/10/2018 (NL trước hạn)
- HS 3,26 từ 01/10/2020
- HS 3,46 từ 01/10/2022</t>
        </r>
      </text>
    </comment>
    <comment ref="F3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2,41 từ 01/8/2015
- HS 2,72 từ 01/8/2018
- HS 3,03 từ 01/8/2020 (NL trước hạn)
- HS 3,34 từ 01/8/2023</t>
        </r>
      </text>
    </comment>
    <comment ref="F3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- 2,67 từ 01/11/2015
- HS 3,00 từ 01/11/2018
- HS 3,33 từ 01/11/2020 (NL trước hạn)
- HS 3,66 từ 01/11/2023</t>
        </r>
      </text>
    </comment>
    <comment ref="F3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2,41 từ 01/11/2015
- HS 2,72 từ 01/11/2018
- HS 3,03 từ 01/11/2021</t>
        </r>
      </text>
    </comment>
    <comment ref="F3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HS 2,41 từ 01/6/2015
- HS 2,72 từ 01/6/2017 (NLl trước hạn 2017)
- HS 3,03 từ 01/06/2020
- HS 3,34 từ 01/06/2023</t>
        </r>
      </text>
    </comment>
    <comment ref="I3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QĐ Bổ nhiệm Tổ trưởng sửa chữa và bảo trì máy tính từ 01/11/2015
+ HS 0,25 được bảo lưu hết 31/01/2018</t>
        </r>
      </text>
    </comment>
    <comment ref="F3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Bổ nhiệm CDNN từ 01/4/2018
- HS 2,34 từ 01/2/2017
- HS 2,67 từ 01/2/2019</t>
        </r>
      </text>
    </comment>
    <comment ref="I37" authorId="7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Phụ trách Tổ trưởng tổ sửa chữa, bảo trì thiết bị từ 01/9/2022
- Phó GĐ Trung tâm LTT từ T10/2023</t>
        </r>
      </text>
    </comment>
    <comment ref="F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Tuyển dụng từ 01/11/2019
- HS 2,34 từ 01/11/2020
- HS 2,67 từ 01/11/2022 (NL trước hạn)</t>
        </r>
      </text>
    </comment>
    <comment ref="F3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01/9/2015
- HS 4,65 từ 01/9/2017 (NL trước hạn 2017)
- HS 4,98 từ 01/9/2020</t>
        </r>
      </text>
    </comment>
    <comment ref="G39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VK 5% từ 01/9/2023</t>
        </r>
      </text>
    </comment>
    <comment ref="I3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Bổ nhiệm Tổ trưởng tổ Ký túc xá SV từ 15/9/2015</t>
        </r>
      </text>
    </comment>
    <comment ref="F4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2,86 từ 01/7/2015
- HS 3,06 từ 01/7/2017
- HS 3,26 từ 01/7/2019
- HS 3,46 từ 01/7/2021
- HS 3,66 từ 01/7/2023</t>
        </r>
      </text>
    </comment>
    <comment ref="G41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VK 10% từ 01/9/2023</t>
        </r>
      </text>
    </comment>
    <comment ref="I41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Phó TP QT-DV từ T10/23</t>
        </r>
      </text>
    </comment>
    <comment ref="F4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01/12/2016
- HS 4,32 từ 01/12/2019
- HS 4,65 từ 01/12/2021 (NL trước hạn)</t>
        </r>
      </text>
    </comment>
    <comment ref="F4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2.86 từ 01/4/2016
- HS 3,06 từ 01/4/2018
- HS 3,26 từ 01/4/2019 (NL Trước hạn)
- HS 3,46 từ 01/4/2021
- HS 3,66 từ 01/4/2023</t>
        </r>
      </text>
    </comment>
    <comment ref="G44" authorId="1" shapeId="0">
      <text>
        <r>
          <rPr>
            <sz val="9"/>
            <color indexed="81"/>
            <rFont val="Tahoma"/>
            <family val="2"/>
          </rPr>
          <t>- 31% từ 01/10/2017
- 32% từ 01/10/2018
- 33% từ 01/10/2019
- 34% từ 01/10/2020
- 35% từ 01/10/2021
- 36% từ 01/10/2022</t>
        </r>
      </text>
    </comment>
    <comment ref="I4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Trưởng phòng Kế toán từ 19/8/2015
</t>
        </r>
      </text>
    </comment>
    <comment ref="F4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01/4/2014
- HS 3,33 từ 01/4/2017
- HS 3,66 từ 01/4/2019
- HS 3,99 từ 01/4/2022</t>
        </r>
      </text>
    </comment>
    <comment ref="F4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2,66 từ 01/4/2015
- HS 2,86 từ 01/4/2016 (Nâng lương trước hạn 2017)
- HS 3,06 từ 01/4/2018
- HS 3,26 từ 01/4/2019 (Nâng lương trước hạn)
- HS 3,34 từ 01/4/2021 (QĐ Chuyển xếp lại lương)
- HS 3,65 từ 01/4/2022
- HS 3,66 từ 23/11/22 (NL từ 01/4/2022) Thi chuyển ngạch</t>
        </r>
      </text>
    </comment>
    <comment ref="F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2,06 từ 01/10/2016
- HS 2,26 từ 01/10/2018
- HS 2,46 từ 01/10/2019
- HS 2,67 từ 01/06/2021 (Thi nâng ngạch)</t>
        </r>
      </text>
    </comment>
    <comment ref="F4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2,34 từ 01/2/2012
- HS 2.67 từ 01/2/2015
- HS 3,00 từ 01/2/2017 (NL trước hạn 2017)
- HS 3,33 từ 01/2/2020
- HS 3,66 từ 01/02/2022 (NL trước hạn)</t>
        </r>
      </text>
    </comment>
    <comment ref="F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01/01/2017
- HS 3,99 từ 01/01/2019</t>
        </r>
      </text>
    </comment>
    <comment ref="I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Phụ trách TT Quan hệ DN từ 01/5/2018
- Trưởng TT từ 01/12/2019</t>
        </r>
      </text>
    </comment>
    <comment ref="F5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01/9/2018
- HS 3,99 từ 01/9/2021</t>
        </r>
      </text>
    </comment>
    <comment ref="F5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3.66 từ 01/03/2015
- HS 3,99 từ 01/3/2018
- HS 4,32 từ 01/3/2021</t>
        </r>
      </text>
    </comment>
    <comment ref="F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01/9/2016
- HS 4,98 từ 01/9/2018 (NL trước hạn)</t>
        </r>
      </text>
    </comment>
    <comment ref="G5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01/9/2021
- VK 6% từ 01/9/2022
- VK 7% từ 01/9/2023</t>
        </r>
      </text>
    </comment>
    <comment ref="I5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BN Trưởng phòng T10/19</t>
        </r>
      </text>
    </comment>
    <comment ref="F5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3.33 từ 01/01/2016
- HS 3,66 từ 01/01/2019</t>
        </r>
      </text>
    </comment>
    <comment ref="F5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4.65 từ 01/01/2016
- HS 4,98 từ 01/01/2019</t>
        </r>
      </text>
    </comment>
    <comment ref="G5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01/01/2022
- VK 6% từ 01/01/2023</t>
        </r>
      </text>
    </comment>
    <comment ref="I54" authorId="4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BN Phó Trưởng phòng từ 01/01/2019</t>
        </r>
      </text>
    </comment>
    <comment ref="F5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
</t>
        </r>
      </text>
    </comment>
    <comment ref="F5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01/9/2015
- HS 3,66 từ 01/9/2018
- HS 3,99 từ 01/9/2020 (NL trước hạn)
- HS 4,32 từ 01/9/2023</t>
        </r>
      </text>
    </comment>
    <comment ref="F5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
- HS 3,99 từ 01/9/2019
- HS 4,32 từ 01/9/2022</t>
        </r>
      </text>
    </comment>
    <comment ref="F5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01/8/2014
- HS 3,00 từ 01/8/2017
- HS 3,33 từ 01/8/2020
- HS 3,66 từ 01/09/2023</t>
        </r>
      </text>
    </comment>
    <comment ref="B5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Thuyên chuyển từ Trường CĐ Kinh tế Phú Lâm về trường từ 15/7/2017</t>
        </r>
      </text>
    </comment>
    <comment ref="F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01/11/2019
- HS 3,66 từ 01/11/2022</t>
        </r>
      </text>
    </comment>
    <comment ref="F6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01/11/2016
- HS 3,99 từ 01/11/2018 (NL trước hạn)
- HS 4,32 từ 01/11/2021
- HS 4,40 từ 23/11/2022 (NL từ T11/21) Thi nâng ngạch</t>
        </r>
      </text>
    </comment>
    <comment ref="I6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QĐ Bổ nhiệm Phó Trưởng phòng QLKH &amp; HTQT
- QĐ Điều động và BN Trưởng khoa KHCB từ 01/02/2020</t>
        </r>
      </text>
    </comment>
    <comment ref="F6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01/9/2017 (NL trước hạn 2017)
- HS 3,99 từ 01/9/2020
- HS 4,32 từ 01/9/2022 (NL trước hạn)</t>
        </r>
      </text>
    </comment>
    <comment ref="I61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Phó Trưởng phòng TS - Đào tạo từ T10/22</t>
        </r>
      </text>
    </comment>
    <comment ref="F6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01/9/2014
- HS 3,99 từ 01/9/2017
- HS 4,32 từ 01/9/2020
- HS 4,65 từ 01/9/2022 (NL trước hạn)</t>
        </r>
      </text>
    </comment>
    <comment ref="F6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2,86 từ 01/01/2015
- HS 3,06 từ 01/01/2017
- HS 3,33 (cv) từ 01/7/2017
- HS 3,66 từ 01/7/2019
- HS 3,99 từ 01/07/2022</t>
        </r>
      </text>
    </comment>
    <comment ref="F6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2,66 từ 01/11/2016
- HS 2,86 từ 01/11/2018
- HS 3,06 từ 01/11/2020
- HS 3,33 từ 01/6/2021 (Thi Nâng ngạch)
</t>
        </r>
      </text>
    </comment>
    <comment ref="F6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3.06 từ 01/01/2016
- HS 3,26 từ 01/01/2018
- HS 3,46 từ 01/01/2020
- HS 3,66 từ 01/01/2021 (NL trước hạn)
- HS 3,86 từ 01/01/2023
- HS 3,96 từ 01/04/2023 (Mốc NL 01/01/2023)</t>
        </r>
      </text>
    </comment>
    <comment ref="F6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2.72 từ 01/01/2016
- HS 3.03 từ 01/01/2019
- HS 3,33 từ 01/6/21 (Thi nâng ngạch)</t>
        </r>
      </text>
    </comment>
    <comment ref="F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Bổ nhiệm CDNN từ 01/4/2018
- HS 2,67 từ 01/12/2017
- HS 3,00 từ 01/9/2017
- HS 3,33 từ 01/9/2021 (NL trước hạn)</t>
        </r>
      </text>
    </comment>
    <comment ref="F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2.67 từ 01/02/2016
- HS 3,00 từ 01/02/2019</t>
        </r>
      </text>
    </comment>
    <comment ref="F6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01/9/17 (NL trước hạn 2017)
- HS 4,32 từ 01/9/2020
- HS 4,65 từ 01/9/2023</t>
        </r>
      </text>
    </comment>
    <comment ref="I6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Phó Trưởng phòng từ 01/8/2015
- Trưởng phòng từ 01/9/2018</t>
        </r>
      </text>
    </comment>
    <comment ref="F7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01/10/2014
- HS 3,66 từ 01/10/2017
- HS 3,99 từ 01/10/2019
- HS 4,32 từ 01/10/2022</t>
        </r>
      </text>
    </comment>
    <comment ref="G7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- 12% từ 01/10/2015
-13% từ 01/10/2016
- 14% từ 01/10/2017
- 15% từ 01/10/2018
- 16% từ 01/10/2019
- 17% từ 01/10/2020
- 18% từ 01/10/2021
- 19% từ 01/10/2022
- 20% từ 01/10/2023</t>
        </r>
      </text>
    </comment>
    <comment ref="F72" authorId="5" shapeId="0">
      <text>
        <r>
          <rPr>
            <sz val="8"/>
            <color indexed="81"/>
            <rFont val="Tahoma"/>
            <family val="2"/>
          </rPr>
          <t>- QĐ nâng lương từ 2,26 lên 2,46 kể từ ngày 01/06/2013
- HS 2,66 từ 01/7/2015
- HS 2,86 từ 01/7/2016 (NL Trước hạn năm 2017)</t>
        </r>
        <r>
          <rPr>
            <b/>
            <sz val="8"/>
            <color indexed="81"/>
            <rFont val="Tahoma"/>
            <family val="2"/>
          </rPr>
          <t xml:space="preserve">
- HS 3.06 từ 01/7/2018</t>
        </r>
        <r>
          <rPr>
            <sz val="8"/>
            <color indexed="81"/>
            <rFont val="Tahoma"/>
            <family val="2"/>
          </rPr>
          <t xml:space="preserve">
- HS 3,26 từ 01/7/2020
- HS 3,33 từ 01/6/2021 (Thi nâng ngạch)
- HS 3,66 từ 01/7/2023</t>
        </r>
      </text>
    </comment>
    <comment ref="C7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Chuyển từ THPT lên khối Cao đẳng từ 01/06/2016</t>
        </r>
      </text>
    </comment>
    <comment ref="F7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2,72 từ 01/11/2017
- HS 3,03 từ 01/11/2020
- HS 3,33 từ 01/6/2021 (Thi nâng ngạch)
- HS 3,66 từ 01/11/2023</t>
        </r>
      </text>
    </comment>
    <comment ref="F74" authorId="8" shapeId="0">
      <text>
        <r>
          <rPr>
            <sz val="9"/>
            <color indexed="81"/>
            <rFont val="Tahoma"/>
            <family val="2"/>
          </rPr>
          <t>- HS 3,00 từ 01/11/2017
- HS 3,33 từ 01/11/2020
- HS 3,66 từ 01/11/2022</t>
        </r>
      </text>
    </comment>
    <comment ref="F7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Tuyển dụng từ 01/11/2019
- HS 3,00 từ 01/11/2022 (NL trước hạn)</t>
        </r>
      </text>
    </comment>
    <comment ref="I75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Phó Trưởng TT ĐH&amp;QLDL từ T10/23</t>
        </r>
      </text>
    </comment>
    <comment ref="F7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01/4/2014
- HS 3,00 từ 01/4/2017
- HS 3,33 từ 01/4/2019
- HS 3,66 từ 01/4/2022</t>
        </r>
      </text>
    </comment>
    <comment ref="I76" authorId="6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QĐ Bổ nhiệm Phó trưởng trung tâm Bảo trì - Cơ điện từ 01/05/2014
+ BN Trưởng TT từ 10/6/19
</t>
        </r>
      </text>
    </comment>
    <comment ref="F7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- 3.00 từ 01/12/2015
- 3,33 từ 01/12/2018
- 3,66 từ 01/12/2021</t>
        </r>
      </text>
    </comment>
    <comment ref="F7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2,46 từ 01/4/2015
- HS 2,66 từ 01/4/2017
- HS 2.86 từ 01/4/2019
- HS 3,06 từ 01/4/2021
- HS 3,26 từ 01/4/2023</t>
        </r>
      </text>
    </comment>
    <comment ref="F79" authorId="4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HS 3,00 từ 01/3/2016
</t>
        </r>
      </text>
    </comment>
    <comment ref="I7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0,35 từ 01/9/2020
- Phụ trách TT Thư viện từ 01/10/2022
- Trưởng TT từ 01/5/2023</t>
        </r>
      </text>
    </comment>
    <comment ref="F8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2,34 từ 01/12/2014
- hs 2,67 từ 01/12/2017
- HS 3,00 từ 01/12/2020
- HS 3,33 từ 01/12/2023</t>
        </r>
      </text>
    </comment>
    <comment ref="F8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01/4/2016
- HS 3.00 từ 01/4/2019
- HS 3,33 từ 01/4/2022
</t>
        </r>
      </text>
    </comment>
    <comment ref="F8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01/9/2017
- HS 4,98 từ 01/9/2020</t>
        </r>
      </text>
    </comment>
    <comment ref="G82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- 5% từ 01/9/2023</t>
        </r>
      </text>
    </comment>
    <comment ref="F83" authorId="8" shapeId="0">
      <text>
        <r>
          <rPr>
            <sz val="9"/>
            <color indexed="81"/>
            <rFont val="Tahoma"/>
            <family val="2"/>
          </rPr>
          <t>- HS 4,32 từ 01/12/2017
- HS 4,65 từ 01/12/2019
- HS 4,98 từ 01/12/2022</t>
        </r>
      </text>
    </comment>
    <comment ref="I8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Trưởng khoa Kinh tế từ 20/8/2015
</t>
        </r>
      </text>
    </comment>
    <comment ref="F8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2,34 từ 01/10/2019
- HS 2,67 từ 01/10/2021 (NL trước hạn)</t>
        </r>
      </text>
    </comment>
    <comment ref="I8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BN Phó Trưởng TT QHDN từ 01/02/2020
- QĐ BN Phó Trưởng phòng TS-ĐT từ 05/9/2020
- QĐ Miễn nhiệm Phó P.TS-Đào tạo. Bổ nhiệm Giám đốc TT LTT từ 05/7/2022</t>
        </r>
      </text>
    </comment>
    <comment ref="F8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2.66 từ 01/4/2016
- HS 2,86 từ 01/4/2018
- HS 3,06 từ 01/4/2020
- HS 3,26 từ 01/4/2022
- HS 3,34 từ 01/4/2023 (Mốc NL 01/4/2022)</t>
        </r>
      </text>
    </comment>
    <comment ref="F8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'- HS 3.00 (BN từ 01/4/18)
- HS 3,33 từ 01/02/2020
- HS 3,66 từ 01/02/2022 (NL trước hạn)</t>
        </r>
      </text>
    </comment>
    <comment ref="I86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Phụ trách khoa Xây dựng từ 01/5/2019
- TK từ 01/5/2023</t>
        </r>
      </text>
    </comment>
    <comment ref="F87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Tuyển dụng từ T5/20
- HS 2,67 từ 01/5/2021</t>
        </r>
      </text>
    </comment>
    <comment ref="F8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1,989 từ 01/4/21 (Tuyển dụng)
- HS 2,34 từ 01/4/2022</t>
        </r>
      </text>
    </comment>
    <comment ref="F8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
- HS 3,66 từ 01/9/2019
- HS 3,99 từ 01/9/2022</t>
        </r>
      </text>
    </comment>
    <comment ref="I89" authorId="4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BN Trưởng BM Quản trị KD từ 01/01/2019
- BN Phó Trưởng phòng QT-DV từ 01/10/2020
- Phó Trưởng khoa (Phụ trách khoa Kinh tế) từ T10/2022
- TK từ T10/2023</t>
        </r>
      </text>
    </comment>
    <comment ref="F90" authorId="4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HS 2,67 từ 01/10/2018
- HS 3,00 từ 01/10/2021</t>
        </r>
      </text>
    </comment>
    <comment ref="F9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01/10/2019
- HS 3,00 từ 01/10/2022</t>
        </r>
      </text>
    </comment>
    <comment ref="F9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01/12/2016
- HS 3,33 từ 01/12/2019
- HS 3,66 từ 01/12/2021</t>
        </r>
      </text>
    </comment>
    <comment ref="I92" authorId="4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BN Trưởng BM Kế toán - Tài chính từ 01/01/2019
- Phó Trưởng khoa Kinh tế từ T10/2022</t>
        </r>
      </text>
    </comment>
    <comment ref="F9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1,989 từ 01/11/2020 (kéo dài thời gian tập sự do nghỉ hộ sản)
- HS 2,34 từ 01/4/2022</t>
        </r>
      </text>
    </comment>
    <comment ref="F9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
- HS 3,33 từ 01/9/2022</t>
        </r>
      </text>
    </comment>
    <comment ref="F95" authorId="4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HS 2,67 từ 01/10/2018
- HS 3,00 từ 01/10/2021</t>
        </r>
      </text>
    </comment>
    <comment ref="F9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</t>
        </r>
      </text>
    </comment>
    <comment ref="F9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2,34 từ 01/09/2016
- HS 2,67 từ 01/09/2019
- HS 3,00 từ 01/09/2022
</t>
        </r>
      </text>
    </comment>
    <comment ref="F98" authorId="1" shapeId="0">
      <text>
        <r>
          <rPr>
            <sz val="9"/>
            <color indexed="81"/>
            <rFont val="Tahoma"/>
            <family val="2"/>
          </rPr>
          <t>- HS 3,00  từ 01/01/2018
- HS 3,33 từ 01/01/2020 (NL trước hạn)
- HS 3,66 từ 01/01/2023</t>
        </r>
      </text>
    </comment>
    <comment ref="I98" authorId="4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BN Trưởng BM Cơ sở ngành từ 01/1/2019</t>
        </r>
      </text>
    </comment>
    <comment ref="F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Tuyển dụng từ 01/11/2019
- HS 2,67 từ 01/11/2020
- HS 3,00 từ 01/11/2022 (NL trước hạn)</t>
        </r>
      </text>
    </comment>
    <comment ref="F10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2,34 từ 01/5/2021</t>
        </r>
      </text>
    </comment>
    <comment ref="I100" authorId="3" shapeId="0">
      <text>
        <r>
          <rPr>
            <b/>
            <sz val="9"/>
            <color indexed="81"/>
            <rFont val="Tahoma"/>
          </rPr>
          <t>Windows User:</t>
        </r>
        <r>
          <rPr>
            <sz val="9"/>
            <color indexed="81"/>
            <rFont val="Tahoma"/>
          </rPr>
          <t xml:space="preserve">
- BN Trưởng khoa DL-KS từ 01/12/2023</t>
        </r>
      </text>
    </comment>
    <comment ref="F101" authorId="7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HS 2,34 từ 01/05/2022</t>
        </r>
      </text>
    </comment>
    <comment ref="F102" authorId="7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TD từ 01/7/2022 (HS 1,989)
- HS 2,34 từ 01/7/2023</t>
        </r>
      </text>
    </comment>
    <comment ref="F103" authorId="7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TD từ 01/7/2022 (HS 1,989)
- HS 3,33 từ 01/3/2022
</t>
        </r>
      </text>
    </comment>
    <comment ref="B104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Thuyên chuyển từ CĐ Kinh tế - Kỹ thuật về từ T10/2022
</t>
        </r>
      </text>
    </comment>
    <comment ref="F105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HS 2,67 từ 01/10/2022
- HS 3,00 từ 01/11/2022</t>
        </r>
      </text>
    </comment>
    <comment ref="B106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Thuyên chuyển từ ĐH GTVT về trường từ T10/2023</t>
        </r>
      </text>
    </comment>
    <comment ref="F10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01/4/2016 (NL Trước hạn năm 2017)
- HS 3.33 từ 01/4/2019
- HS 3,66 từ 01/4/2022</t>
        </r>
      </text>
    </comment>
    <comment ref="F10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</t>
        </r>
      </text>
    </comment>
    <comment ref="F10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
- HS 3,33 từ 01/9/2022</t>
        </r>
      </text>
    </comment>
    <comment ref="I10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BN Phó TK từ 01/8/2018
- Phụ trách khoa từ 01/01/2020
- BN Trưởng khoa từ 01/10/2020</t>
        </r>
      </text>
    </comment>
    <comment ref="F11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
- HS 3,33 từ 01/9/2022</t>
        </r>
      </text>
    </comment>
    <comment ref="F11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01/10/2016
- HS 3,00 từ 01/10/2019
- HS 3,33 từ 01/10/2021 (NL trước hạn)</t>
        </r>
      </text>
    </comment>
    <comment ref="F112" authorId="8" shapeId="0">
      <text>
        <r>
          <rPr>
            <sz val="9"/>
            <color indexed="81"/>
            <rFont val="Tahoma"/>
            <family val="2"/>
          </rPr>
          <t>- HS 2,67 từ 01/12/2017
- HS 3,00 từ 01/12/2020
- HS 3,33 từ 01/12/2022 (NL trước hạn)</t>
        </r>
      </text>
    </comment>
    <comment ref="F11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01/11/2015
- HS 4,65 từ 01/11/2018
- HS 4,98 từ 01/11/2020 (NL trước hạn)</t>
        </r>
      </text>
    </comment>
    <comment ref="G113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VK 5% từ 01/11/2023</t>
        </r>
      </text>
    </comment>
    <comment ref="F114" authorId="4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HS 2,67 từ 01/10/2018
- HS 3,00 từ 01/10/2021</t>
        </r>
      </text>
    </comment>
    <comment ref="F11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01/10/2019
- HS 3,00 từ 01/10/2022</t>
        </r>
      </text>
    </comment>
    <comment ref="F11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3,99 từ 01/9/2015
- HS 4,32 từ 01/9/17 (NL trước hạn 2017)
- HS 4,65 từ 01/9/2020
- HS 4,98 từ 01/9/2022 (NL trước hạn)</t>
        </r>
      </text>
    </comment>
    <comment ref="I116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Trưởng TT Thư viện từ 01/9/2020</t>
        </r>
      </text>
    </comment>
    <comment ref="J11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Bảo lưu HS 0,45 đến hết ngày 31/1/2018
- Từ ngày 01/02/2018 hệ số PCCV là 0,35</t>
        </r>
      </text>
    </comment>
    <comment ref="F11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01/6/2016 (NL Trước hạn năm 2017)</t>
        </r>
      </text>
    </comment>
    <comment ref="G117" authorId="7" shapeId="0">
      <text>
        <r>
          <rPr>
            <b/>
            <sz val="9"/>
            <color indexed="81"/>
            <rFont val="Tahoma"/>
            <family val="2"/>
          </rPr>
          <t>Quynh-panda:</t>
        </r>
        <r>
          <rPr>
            <sz val="9"/>
            <color indexed="81"/>
            <rFont val="Tahoma"/>
            <family val="2"/>
          </rPr>
          <t xml:space="preserve">
- VK 5% từ 01/06/2022</t>
        </r>
      </text>
    </comment>
    <comment ref="F11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01/9/2014
- HS 3,66 từ 01/9/2017
- HS 3,99 từ 01/9/2020
- HS 4,32 từ 01/9/2023
</t>
        </r>
      </text>
    </comment>
    <comment ref="F11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' HS 3,33 từ 01/9/15
- HS 3,66 từ 01/9/2018
- HS 3,99 từ 01/9/2021</t>
        </r>
      </text>
    </comment>
    <comment ref="F12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01/12/2016
- HS 3,33 từ 01/12/2019
- HS 3,66 từ 01/12/2022</t>
        </r>
      </text>
    </comment>
    <comment ref="F12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01/12/2015
- HS 4,32 từ 01/12/2018
- HS 4,65 từ 01/12/2021</t>
        </r>
      </text>
    </comment>
    <comment ref="F12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 (NL trước hạn năm 2017)
- HS 3,99 từ 01/9/2019
- HS 4,32 từ 01/9/2022</t>
        </r>
      </text>
    </comment>
    <comment ref="F12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4,65 từ 01/9/2015
- HS 4,98 từ 01/9/17 (NL trước hạn)</t>
        </r>
      </text>
    </comment>
    <comment ref="G12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01/9/2020
- 6% từ 01/9/2021
- 7% từ 01/9/2022
- 8% từ 01/9/2023</t>
        </r>
      </text>
    </comment>
    <comment ref="F12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01/9/2014
- HS 3,33 từ 01/9/2017
- HS 3,66 từ 01/9/2019
- HS 3,99 từ 01/9/2022</t>
        </r>
      </text>
    </comment>
    <comment ref="F12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01/11/2016
- HS 3,33 từ 01/11/2019
- HS 3,66 từ 01/11/2022</t>
        </r>
      </text>
    </comment>
    <comment ref="F12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3,99 từ 01/9/2015
- HS 4,32 từ 01/9/2017 (NL trước hạn 2017)
- HS 4,65 từ 01/9/2020
- HS 4,98 từ 01/9/2022 (NL trước hạn)</t>
        </r>
      </text>
    </comment>
    <comment ref="I12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BN Phó TK từ 01/8/2018</t>
        </r>
      </text>
    </comment>
    <comment ref="F12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01/9/2014
- HS 4,65 từ 01/9/2017
- HS 4,98 từ 01/9/2020</t>
        </r>
      </text>
    </comment>
    <comment ref="G127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VK 5% từ 01/9/2023</t>
        </r>
      </text>
    </comment>
    <comment ref="F12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01/9/17 (NL trước hạn)
- HS 3,66 từ 01/9/2020
- HS 3,99 từ 01/9/2023</t>
        </r>
      </text>
    </comment>
    <comment ref="F12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01/3/2020
- HS 3,66 từ 01/03/2023</t>
        </r>
      </text>
    </comment>
    <comment ref="F13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01/9/2017
- HS 3,00 từ 01/9/2020</t>
        </r>
      </text>
    </comment>
    <comment ref="F13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01/9/2017
- HS 3,00 từ 01/9/2020
- HS 3,33 từ 01/9/2023
- HS 3,33 từ 01/9/2023
</t>
        </r>
      </text>
    </comment>
    <comment ref="F13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01/9/2018
- HS 3,99 từ 01/9/2021</t>
        </r>
      </text>
    </comment>
    <comment ref="I1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BN Tổ trưởng CM từ 03/5/2017</t>
        </r>
      </text>
    </comment>
    <comment ref="F13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01/9/2017
- HS 3,99 từ 1/3/21 (Kéo dài thời gian NL do hoàn thành NV)</t>
        </r>
      </text>
    </comment>
    <comment ref="F134" authorId="8" shapeId="0">
      <text>
        <r>
          <rPr>
            <sz val="9"/>
            <color indexed="81"/>
            <rFont val="Tahoma"/>
            <family val="2"/>
          </rPr>
          <t>- HS 3,33 từ 01/3/2018
- HS 3,66 từ 01/3/2020 (NL trước hạn)
- HS 3,99 từ 01/3/2023</t>
        </r>
      </text>
    </comment>
    <comment ref="F13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'- HS 3,00 từ 1/9/2015
- HS 3,33 từ 01/9/17 (NL trước hạn 2017)
- HS 3,66 từ 01/9/2020
- HS 3,99 từ 01/9/2023</t>
        </r>
      </text>
    </comment>
    <comment ref="F13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
- HS 3,99 từ 01/9/2019
- HS 4,32 từ 01/9/2022</t>
        </r>
      </text>
    </comment>
    <comment ref="F137" authorId="8" shapeId="0">
      <text>
        <r>
          <rPr>
            <sz val="9"/>
            <color indexed="81"/>
            <rFont val="Tahoma"/>
            <family val="2"/>
          </rPr>
          <t xml:space="preserve">- HS 3,99 từ 01/12/2017
- HS 4,32 từ 01/12/2020
- HS 4,65 từ 01/12/2023
</t>
        </r>
      </text>
    </comment>
    <comment ref="F13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01/9/2017
- HS 4,32 từ 01/9/2019
- HS 4,65 từ 01/9/2022</t>
        </r>
      </text>
    </comment>
    <comment ref="I1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Trưởng BM Cơ điện tử và tự động hóa từ 01/1/2020</t>
        </r>
      </text>
    </comment>
    <comment ref="F13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01/9/2017
- HS 4,32 từ 01/9/2020
- HS 4,65 từ 01/9/2023</t>
        </r>
      </text>
    </comment>
    <comment ref="F1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01/9/2017
- HS 3,66 từ 01/9/2020
- HS 3,99 từ 01/9/2023</t>
        </r>
      </text>
    </comment>
    <comment ref="F14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4,32 từ 01/9/2016
- HS 4,65 từ 01/9/2019
- HS 4,98 từ 01/9/2022</t>
        </r>
      </text>
    </comment>
    <comment ref="F14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01/9/2017
- HS 3,66 từ 01/9/2020
- HS 3,99 từ 01/9/2023</t>
        </r>
      </text>
    </comment>
    <comment ref="I14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Miễn nhiệm Phó Trưởng BM từ 01/9/2015. Bảo lưu HS PC hết T02/2016</t>
        </r>
      </text>
    </comment>
    <comment ref="F143" authorId="1" shapeId="0">
      <text>
        <r>
          <rPr>
            <sz val="9"/>
            <color indexed="81"/>
            <rFont val="Tahoma"/>
            <family val="2"/>
          </rPr>
          <t>- HS 3,00 từ 01/01/2018
- HS 3,33 từ 01/01/2023</t>
        </r>
      </text>
    </comment>
    <comment ref="I14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Phụ trách tổ bộ môn Anh Văn từ T9/2021
- QĐ BN Phó Trưởng khoa, phụ trách khoa từ 01/5/2023
- TK từ T10/23</t>
        </r>
      </text>
    </comment>
    <comment ref="F14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2,34 từ 01/09/2016
- HS 2,67 từ 01/9/2019
- HS 3,00 từ 0/09/2022</t>
        </r>
      </text>
    </comment>
    <comment ref="F14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Tuyển dụng từ 01/10/2020
- HS 2,34 từ 01/10/2021</t>
        </r>
      </text>
    </comment>
    <comment ref="F14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2,34 từ 01/09/2016
- HS 2,67 từ 01/9/2019
- HS 3,00 từ 01/9/2022</t>
        </r>
      </text>
    </comment>
    <comment ref="F147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Tuyển dụng từ 01/5/20
- HS 2,34 từ 01/5/2021</t>
        </r>
      </text>
    </comment>
    <comment ref="F15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1/9/15
- HS 3,33 từ 01/9/17 (NL trước hạn 2017)
- HS 3,66 từ 01/9/2020
- HS 3,99 từ 01/9/2022 (NL trước hạn)</t>
        </r>
      </text>
    </comment>
    <comment ref="I15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HS 0,35 hưởng từ 01/7/2015
</t>
        </r>
      </text>
    </comment>
    <comment ref="F15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
- HS 3,66 từ 01/9/2019
- HS 3,99 từ 01/9/2021 (NL trước hạn)</t>
        </r>
      </text>
    </comment>
    <comment ref="I15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bổ nhiệm Phó trưởng khoa Lý luận chính trị từ 01/10/2015
- Trưởng khoa LLCT từ ngày 01/10/2022</t>
        </r>
      </text>
    </comment>
    <comment ref="F1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 (NL Trước hạn năm 2017)
- HS 3,66 từ 01/9/2019
- HS 3,99 từ 01/09/2021 (NL trước hạn)</t>
        </r>
      </text>
    </comment>
    <comment ref="I15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BN Trưởng BM GDCT từ 01/4/2021</t>
        </r>
      </text>
    </comment>
    <comment ref="F15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1/9/2015
- HS 3,33 từ 01/9/2017 (NL trước hạn 2017)
- HS 3,66 từ 01/9/2020
- HS 3,99 từ 01/9/2023</t>
        </r>
      </text>
    </comment>
    <comment ref="F15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01/9/2017
- HS 4,32 từ 01/9/2020
- HS 4,65 từ 01/9/2023</t>
        </r>
      </text>
    </comment>
    <comment ref="F15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01/09/2015
- HS 3,33 từ 01/9/2018
- HS 3,66 từ 01/9/2021</t>
        </r>
      </text>
    </comment>
    <comment ref="F15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01/9/2018
- HS 4,32 từ 01/9/2021
</t>
        </r>
      </text>
    </comment>
    <comment ref="F15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01/9/17 (NL trước hạn 2017)
- HS 3,99 từ 01/9/2020
- HS 4,32 từ 01/9/2022 (NL trước hạn)</t>
        </r>
      </text>
    </comment>
    <comment ref="F15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15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1/9/2015
- HS 3,33 từ 01/9/2018
- HS 3,66 từ 01/9/2021</t>
        </r>
      </text>
    </comment>
    <comment ref="F16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16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1/9/15
- HS 3,66 từ 01/9/2017 (NL trước hạn 2017)
- HS 3,99 từ 01/9/2020
- HS 4,32 từ 01/09/2023
</t>
        </r>
      </text>
    </comment>
    <comment ref="F16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
- HS 3,33 từ 01/9/2021 (NL trước hạn)</t>
        </r>
      </text>
    </comment>
    <comment ref="F16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01/03/2017
- HS 3,33 từ 01/03/2020
- HS 3,66 từ 01/03/2023</t>
        </r>
      </text>
    </comment>
    <comment ref="F16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01/9/2017
- HS 3,00 từ 01/9/2020
- HS 3,33 từ 01/9/2023</t>
        </r>
      </text>
    </comment>
    <comment ref="F16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01/9/2018
- HS 3,99 từ 01/9/2021</t>
        </r>
      </text>
    </comment>
    <comment ref="F16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01/9/15
- HS 3,66 từ 01/9/2018
- HS 3,99 từ 01/9/2020 (NL trước hạn)
- HS 4,32 từ 01/9/2023</t>
        </r>
      </text>
    </comment>
    <comment ref="F1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- 3,33 từ 01/9/2017
- 3,66 từ 01/9/2020
- 3,99 từ 01/9/2023</t>
        </r>
      </text>
    </comment>
    <comment ref="I16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Miễn nhiệm Trưởng bộ môn từ 01/9/2015</t>
        </r>
      </text>
    </comment>
    <comment ref="F1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
- HS 3,66 từ 01/9/2019
- HS 3,99 từ 01/9/2022</t>
        </r>
      </text>
    </comment>
    <comment ref="I16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Miễn nhiệm Trưởng BM từ 01/9/15
</t>
        </r>
      </text>
    </comment>
    <comment ref="F16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17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01/9/17 (NL trước hạn 2017)
- HS 3,66 từ 01/9/2020
- HS 3,99 từ 01/9/2022 (NL trước hạn)</t>
        </r>
      </text>
    </comment>
    <comment ref="I17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0,45 hưởng từ 01/7/2015
- QĐ miễn nhiệm từ ngày 01/11, bảo lưu đến hết tháng 4/2018</t>
        </r>
      </text>
    </comment>
    <comment ref="J17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User:
- HS 0,45 hưởng từ 01/7/2015
- QĐ miễn nhiệm từ ngày 01/11, bảo lưu đến hết tháng 4/2018</t>
        </r>
      </text>
    </comment>
    <comment ref="F171" authorId="8" shapeId="0">
      <text>
        <r>
          <rPr>
            <sz val="9"/>
            <color indexed="81"/>
            <rFont val="Tahoma"/>
            <family val="2"/>
          </rPr>
          <t xml:space="preserve">- HS 3,33 từ 01/12/2017
- HS 3,66 từ 01/12/2020
- HS 3,99 từ 01/12/2023
</t>
        </r>
      </text>
    </comment>
    <comment ref="F17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01/9/2020 (NL trước hạn)
- HS 3,99 từ 01/9/2023</t>
        </r>
      </text>
    </comment>
    <comment ref="I17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BN Trưởng BM Công nghệ phần mềm từ 01/9/2015
- Miễn Trưởng BM, Bổ nhiệm Phó Trưởng khoa từ 01/07/2022
- Phụ trách khoa từ T10/2022</t>
        </r>
      </text>
    </comment>
    <comment ref="F17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17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17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01/10/2015
- HS 3,33 từ 01/10/2018
- HS 3,66 từ 01/10/2021
</t>
        </r>
      </text>
    </comment>
    <comment ref="F17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01/09/2015
- HS 3,33 từ 01/09/2018
- HS 3,66 từ 01/9/2020 (NL trước hạn)
- HS 3,99 từ 01/9/2023</t>
        </r>
      </text>
    </comment>
    <comment ref="I17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BN Trưởng BM MẠng Máy tính từ 01/9/2015
- Phó khoa CNTT từ T10/2022</t>
        </r>
      </text>
    </comment>
    <comment ref="F177" authorId="4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HS 3,00 từ 01/5/2018
- HS 3,33 từ 01/5/2021</t>
        </r>
      </text>
    </comment>
    <comment ref="F17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- 3,33 từ 01/10/2016
- 3,66 từ 01/10/2019
- 3,99 từ 01/10/2021 (NL trước hạn)</t>
        </r>
      </text>
    </comment>
    <comment ref="I178" authorId="7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Phụ trách BM Khoa học máy tính từ 06/7/2022</t>
        </r>
      </text>
    </comment>
    <comment ref="F1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
- HS 3,33 từ 01/9/2021 (NL trước hạn)</t>
        </r>
      </text>
    </comment>
    <comment ref="F18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
- HS 3,66 từ 01/9/2018 (NL trước hạn)
- HS 3,99 từ 01/9/2021</t>
        </r>
      </text>
    </comment>
    <comment ref="I18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HS 0,45 được bảo lưu đến hết 31/12/2015</t>
        </r>
      </text>
    </comment>
    <comment ref="F18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- 3,00 từ 01/9/2016
- HS 3,33 từ 01/9/2019
- HS 3,66 từ 01/9/2021 (NL trước hạn)</t>
        </r>
      </text>
    </comment>
    <comment ref="J18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Bảo lưu HS PCCV đến hết 31/3/2020</t>
        </r>
      </text>
    </comment>
    <comment ref="F18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01/10/2015
- HS 3,33 từ 01/10/2018
- HS 3,66 tu72/10/2020 (NL trước hạn)
- HS 3,99 từ 01/10/2023</t>
        </r>
      </text>
    </comment>
    <comment ref="I182" authorId="7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Phụ trách BM Công nghệ phần mềm từ 05/7/2022</t>
        </r>
      </text>
    </comment>
    <comment ref="F18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
- HS 3,66 từ 01/9/2018 (NL trước hạn)
- HS 3,99 từ 01/9/2021</t>
        </r>
      </text>
    </comment>
    <comment ref="F18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01/9/2015
- HS 3,99 từ 01/9/2018
- HS 4,32 từ 01/9/2020 (NL trước hạn)
- HS 4,65 từ 01/9/2023</t>
        </r>
      </text>
    </comment>
    <comment ref="I18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Bổ nhiệm trưởng khoa từ 01/2/2016</t>
        </r>
      </text>
    </comment>
    <comment ref="F18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01/12/2015
- HS 4,98 từ 01/12/2018</t>
        </r>
      </text>
    </comment>
    <comment ref="G187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01/12/2021
- VK 6% từ 01/12/2022
- VK 7% từ 01/12/2023</t>
        </r>
      </text>
    </comment>
    <comment ref="F18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01/9/2015
- HS 4,98 từ 01/9/2018</t>
        </r>
      </text>
    </comment>
    <comment ref="G18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01/9/2021
- VK 6% từ 01/9/2022
- VK 7% từ 01/9/2023</t>
        </r>
      </text>
    </comment>
    <comment ref="F18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 (NL trước hạn năm 2017)
- HS 3,99 từ 01/9/2019
- HS 4,32 từ 01/9/2022</t>
        </r>
      </text>
    </comment>
    <comment ref="G19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- 7% từ 01/10/2015
- 8% từ 01/10/2016
- 9% từ 01/10/2017
- 10% từ 01/10/2018
- 11% từ 01/10/2019
- 12% từ 01/10/2020
- 13% từ 01/10/2021
- 14% từ 01/10/2022
- 15% từ 01/10/2023</t>
        </r>
      </text>
    </comment>
    <comment ref="F19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01/9/2015
- HS 3,99 từ 01/9/2018
- HS 4,32 từ 01/9/2020 (NL trước hạn)
- HS 4,65 từ 01/9/2023</t>
        </r>
      </text>
    </comment>
    <comment ref="I19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QĐ BN Trưởng BM từ 15/5/2016
</t>
        </r>
      </text>
    </comment>
    <comment ref="F19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01/9/2016 (NL Trước hạn năm 2017)
- HS 4,98 từ 01/9/2019</t>
        </r>
      </text>
    </comment>
    <comment ref="G192" authorId="7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VK 5% từ 01/9/2022
- VK 6% từ 01/9/2023</t>
        </r>
      </text>
    </comment>
    <comment ref="I192" authorId="1" shapeId="0">
      <text>
        <r>
          <rPr>
            <sz val="9"/>
            <color indexed="81"/>
            <rFont val="Tahoma"/>
            <family val="2"/>
          </rPr>
          <t>QĐ phụ trách từ 01/12/2017</t>
        </r>
      </text>
    </comment>
    <comment ref="F19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01/9/2017
- HS 3,66 từ 01/9/2020
- HS 3,99 từ 01/9/2023</t>
        </r>
      </text>
    </comment>
    <comment ref="F19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01/9/2017
- HS 4,98 từ 01/9/2020</t>
        </r>
      </text>
    </comment>
    <comment ref="G194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VK 5% từ 01/9/2023</t>
        </r>
      </text>
    </comment>
    <comment ref="F19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I195" authorId="6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QĐ Bổ nhiệm trưởng bộ môn cơ khí chế tạo máy 2 từ 15/04/2014
+ QĐ Bổ nhiệm Phó Trưởng khoa từ 01/2/2016
</t>
        </r>
      </text>
    </comment>
    <comment ref="F19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19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</t>
        </r>
      </text>
    </comment>
    <comment ref="F19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</t>
        </r>
      </text>
    </comment>
    <comment ref="F19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</t>
        </r>
      </text>
    </comment>
    <comment ref="F20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01/9/2017
- HS 3,33 từ 01/9/2020
- HS 3,66 từ 01/9/2023</t>
        </r>
      </text>
    </comment>
    <comment ref="I20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BN Trưởng BM Cơ sở Cơ khí từ 01/09/2015</t>
        </r>
      </text>
    </comment>
    <comment ref="J20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Bảo lưu HSPC chức vụ đến hết T5/2018</t>
        </r>
      </text>
    </comment>
    <comment ref="F20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
- HS 3,33 từ 01/9/2021 (NL trước hạn)</t>
        </r>
      </text>
    </comment>
    <comment ref="I20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BN Trưởng BM Cơ điện - Cơ điện tử từ 01/09/2015
Đổi tên thành Cad/Cam-CNC từ 3/8/2020</t>
        </r>
      </text>
    </comment>
    <comment ref="F20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01/10/2016
- HS 3,33 từ 01/10/2019
- HS 3,66 từ 01/10/2022</t>
        </r>
      </text>
    </comment>
    <comment ref="F20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01/10/2016
- HS 3,00 từ 01/10/2019
- HS 3,33 từ 01/10/2022</t>
        </r>
      </text>
    </comment>
    <comment ref="F20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4,65 từ 01/9/2015
- HS 4,98 từ 01/9/2018</t>
        </r>
      </text>
    </comment>
    <comment ref="G2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01/9/2021
- VK 6% từ 01/9/2022
- VK 7% từ 01/9/2023</t>
        </r>
      </text>
    </comment>
    <comment ref="F20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4,89 từ 1/5/2014</t>
        </r>
      </text>
    </comment>
    <comment ref="G20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- 5% từ 01/5/2017
- 6% từ 01/5/2018
Chuyển ngạch hưởng 5% từ 01/5/2018
- 6% từ 01/5/2019
- 7% từ 01/5/2020
- 8% từ 01/5/2021
- 9% từ 01/05/2022
- 10% từ 01/05/2023</t>
        </r>
      </text>
    </comment>
    <comment ref="I20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Hết bảo lưu hệ số PCCV từ 01/11/2015</t>
        </r>
      </text>
    </comment>
    <comment ref="F20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QĐ Tuyển dụng T9/2015
- HS 2,67 từ 01/09/2016
- HS 3,00 từ 01/9/2019
- HS 3,33 từ 01/9/2022</t>
        </r>
      </text>
    </comment>
    <comment ref="F207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BN CDNN từ 01/4/2019 (HS 2.67)
- HS 3,00 từ 01/4/2022</t>
        </r>
      </text>
    </comment>
    <comment ref="F2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01/10/2019
- HS 3,00 từ 01/10/2022</t>
        </r>
      </text>
    </comment>
    <comment ref="G20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VK 5% từ 01/5/2017
- VK 6% từ 01/5/2018
- VK 7% từ 01/5/2019
- VK 8% từ 01/5/2020
- VK 9% từ 01/5/2021
- VK 10% từ 01/5/2022
- VK 11% từ 01/5/2023</t>
        </r>
      </text>
    </comment>
    <comment ref="F210" authorId="4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Tuyển dụng từ 01/4/2019
- HS 2,34 từ 01/04/2020
- HS 2,67 từ 01/4/2022</t>
        </r>
      </text>
    </comment>
    <comment ref="F21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1,989 từ 01/4/2021 (Tuyển dụng T4/2021)
- HS 2,67 từ 01/4/2021
- HS 3,00 từ 01/3/2022 (NL trước hạn)</t>
        </r>
      </text>
    </comment>
    <comment ref="F2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Thuyên chuyển từ Nguyễn Hữu Cảnh về trường ngày 15/6/2021
- HS 4,32 từ 01/04/2022
</t>
        </r>
      </text>
    </comment>
    <comment ref="F213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Tuyển dụng từ T10/2022
- HS 2,67 từ 01/10/2022</t>
        </r>
      </text>
    </comment>
    <comment ref="F21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01/9/2014
- HS 3,99 từ 01/9/2017
- HS 4,32 từ 01/9/2019
- HS 4,65 từ 01/9/2022</t>
        </r>
      </text>
    </comment>
    <comment ref="I214" authorId="6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QĐ BN Phó TK Điện - Điiện tử từ 01/01/2014
- Phụ trách khoa từ 01/5/2019
- BN Trưởng khoa từ 01/10/2020</t>
        </r>
      </text>
    </comment>
    <comment ref="G21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- 8% từ 01/10/2015
- 9% từ 01/10/2016
- 10% từ 01/10/2017
- 11% từ 01/10/2018
- 12% từ 01/10/2019
- 13% từ 01/10/2020
- 14% từ 01/10/2021
- 15% từ 01/10/2022
- 16% từ 01/10/2023</t>
        </r>
      </text>
    </comment>
    <comment ref="I215" authorId="5" shapeId="0">
      <text>
        <r>
          <rPr>
            <b/>
            <sz val="8"/>
            <color indexed="81"/>
            <rFont val="Tahoma"/>
            <family val="2"/>
          </rPr>
          <t>HS 0,35 từ 05/7/2015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- 4,65 từ 01/9/2016
- 4,98 từ 01/9/2019</t>
        </r>
      </text>
    </comment>
    <comment ref="G216" authorId="7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VK 5% từ 01/9/2022
- VK 6% từ 01/9/2023</t>
        </r>
      </text>
    </comment>
    <comment ref="F21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01/10/2016 (NL Trước hạn 2017)
- HS 4,98 từ 01/10/2019</t>
        </r>
      </text>
    </comment>
    <comment ref="G217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VK 5% từ 01/10/2022
- VK 6% từ 01/10/2023</t>
        </r>
      </text>
    </comment>
    <comment ref="F21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01/9/2015
- HS 4,32 từ 01/9/2018
- HS 4,65 từ 01/9/2021
</t>
        </r>
      </text>
    </comment>
    <comment ref="I21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Mieễn nhiệm Trưởng BM từ 01/9/2015. Bảo lưu HHS hết T02/2016</t>
        </r>
      </text>
    </comment>
    <comment ref="F21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
- HS 3,99 từ 01/9/2019
- HS 4,32 từ 01/9/2022</t>
        </r>
      </text>
    </comment>
    <comment ref="F22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01/9/2018
- HS 4,32 từ 01/9/2021</t>
        </r>
      </text>
    </comment>
    <comment ref="F22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
- HS 3,33 từ 01/9/2021 (NL trước hạn)</t>
        </r>
      </text>
    </comment>
    <comment ref="I22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Trưởng BM Cơ điện tử và tự động hóa từ 01/01/2019</t>
        </r>
      </text>
    </comment>
    <comment ref="F22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
- HS 3,99 từ 01/9/2019
- HS 4,32 từ 01/9/2022</t>
        </r>
      </text>
    </comment>
    <comment ref="F22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01/9/2016
- HS 4,32 từ 01/9/2019
- HS 4,65 từ 01/9/2022</t>
        </r>
      </text>
    </comment>
    <comment ref="I22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Miễn nhiệm Trưởng BM. Bảo lưu HS hết T02/2015</t>
        </r>
      </text>
    </comment>
    <comment ref="F22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</t>
        </r>
      </text>
    </comment>
    <comment ref="F22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01/9/2018
- HS 3,99 từ 01/9/2021</t>
        </r>
      </text>
    </comment>
    <comment ref="F22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01/9/2017
- HS 3,33 từ 01/9/2020
- HS 3,66 từ 01/9/2023</t>
        </r>
      </text>
    </comment>
    <comment ref="F22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01/9/2017
- HS 3,33 từ 01/9/2019
- HS 3,66 từ 01/9/2022</t>
        </r>
      </text>
    </comment>
    <comment ref="F22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4,65 từ 01/5/2014
- HS 4,98 từ 01/5/2017</t>
        </r>
      </text>
    </comment>
    <comment ref="G22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01/5/2020
- 6% từ 01/5/2021
- 7% từ 01/5/2022
- 8% từ 01/5/2023</t>
        </r>
      </text>
    </comment>
    <comment ref="I22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QĐ Bổ nhiệm Phó TK Điện - Điện tử từ 10/6/2019
</t>
        </r>
      </text>
    </comment>
    <comment ref="G22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- 5% từ 01/01/2017
- 6% từ 01/01/2018
- 7% từ 01/01/2019
- 8% từ 01/01/2020
- 9% từ 01/01/2021
- 10% từ 01/01/2022
- 11% từ 01/01/2023</t>
        </r>
      </text>
    </comment>
    <comment ref="F23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4,65 từ 01/5/2014
- HS 4,98 từ 01/5/2017</t>
        </r>
      </text>
    </comment>
    <comment ref="G23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01/5/2020
- 6% từ 01/5/2021
- 7% từ 01/5/2022
- 8% từ 01/5/2023</t>
        </r>
      </text>
    </comment>
    <comment ref="I23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Miễn nhiện Phó Trưởng BM từ 01/9/15. Bảo lưu HS hết T2/2015</t>
        </r>
      </text>
    </comment>
    <comment ref="F23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01/9/2018
- HS 4,32 từ 01/9/2021</t>
        </r>
      </text>
    </comment>
    <comment ref="F23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01/9/2018
- HS 4,32 từ 01/9/2021</t>
        </r>
      </text>
    </comment>
    <comment ref="I23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Miễn nhiệm Phó Trưởng BM từ 01/9/2015. Bảo lưu HS hết T02/2015</t>
        </r>
      </text>
    </comment>
    <comment ref="F23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01/9/2014
- HS 3,99 từ 01/9/2017
- HS 4,32 từ 01/9/2020
- HS 4,65 từ 01/9/2023</t>
        </r>
      </text>
    </comment>
    <comment ref="F23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01/9/2017 (NL trước hạn 2017)
- HS 4,32 từ 01/9/2020
- HS 4,65 từ 01/9/2023</t>
        </r>
      </text>
    </comment>
    <comment ref="F23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01/9/17 (NL trước hạn 2017)
- HS 4,32 từ 01/9/2020
- HS 4,65 từ 01/9/2023</t>
        </r>
      </text>
    </comment>
    <comment ref="F23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01/9/17 (NL trước hạn 2017)
- HS 4,32 từ 01/9/2020
- HS 4,65 từ 01/9/2023</t>
        </r>
      </text>
    </comment>
    <comment ref="F23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01/12/2015
- HS 3,66 từ 01/12/2016
- HS 3,99 từ 01/12/2021</t>
        </r>
      </text>
    </comment>
    <comment ref="F2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BN CDNN từ 01/4/2019
- HS 3,00 từ 01/04/2021 (NL trước hạn)</t>
        </r>
      </text>
    </comment>
    <comment ref="J238" authorId="1" shapeId="0">
      <text>
        <r>
          <rPr>
            <sz val="9"/>
            <color indexed="81"/>
            <rFont val="Tahoma"/>
            <family val="2"/>
          </rPr>
          <t>- Tập sự từ 01/4/2018 HS 85% 2,67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F2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BN CDNN 2.34 từ 1/4/2019
- HS 2,67 từ 01/4/2022</t>
        </r>
      </text>
    </comment>
    <comment ref="I239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Trưởng BM Điện Công nghiệp từ 01/10/2022</t>
        </r>
      </text>
    </comment>
    <comment ref="J239" authorId="1" shapeId="0">
      <text>
        <r>
          <rPr>
            <sz val="9"/>
            <color indexed="81"/>
            <rFont val="Tahoma"/>
            <family val="2"/>
          </rPr>
          <t>- Tập sự từ 01/4/2018 HS 85% 2,34</t>
        </r>
      </text>
    </comment>
    <comment ref="F2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2,34 từ 01/01/2020
- HS 2,67 từ 01/01/2022 (NL trước hạn)</t>
        </r>
      </text>
    </comment>
    <comment ref="I240" authorId="7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Phụ trách tổ bộ môn Kỹ thuật Điện - Điện tử từ 01/9/2022
- Trưởng BM từ T10/2023</t>
        </r>
      </text>
    </comment>
    <comment ref="F2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Thuyên chuyển về trường từ ngày 15/6/2021
- HS 3,99 từ 01/11/2022</t>
        </r>
      </text>
    </comment>
    <comment ref="F242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HS 2,67 từ 01/10/2023 (BN CDNN)</t>
        </r>
      </text>
    </comment>
    <comment ref="F243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HS 2,34 từ 01/10/2023 (BN CDNN)</t>
        </r>
      </text>
    </comment>
    <comment ref="F24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
- HS 3,99 từ 01/9/2018 (NL trước hạn)
- HS 4,32 từ 01/9/2021</t>
        </r>
      </text>
    </comment>
    <comment ref="I24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Trưởng khoa Động lực từ 01/8/2015</t>
        </r>
      </text>
    </comment>
    <comment ref="F24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01/9/2016
- HS 4,32 từ 01/9/2018 (NL Trước hạn)
- HS 4,65 từ 01/9/2021</t>
        </r>
      </text>
    </comment>
    <comment ref="F24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01/9/2015
- HS 3,66 từ 01/9/2018
- HS 3,99 từ 01/9/2020 (NL trước hạn)
- HS 4,32 từ 01/9/2023</t>
        </r>
      </text>
    </comment>
    <comment ref="F2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
- HS 3,66 từ 01/9/2018 (NL trước hạn)
- HS 3,99 từ 01/9/2021</t>
        </r>
      </text>
    </comment>
    <comment ref="I2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Bảo lưu đến hết T5/2018</t>
        </r>
      </text>
    </comment>
    <comment ref="F2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 (NL Trước hạn 2017)
- HS 3,66 từ 01/9/2019
- HS 3,99 từ 01/9/2022</t>
        </r>
      </text>
    </comment>
    <comment ref="I24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Miễn nhiệm Trưởng bộ môn từ 01/9/2015
QĐ phụ trách từ 01/12/2017
- Trưởng BM từ 01/9/2020</t>
        </r>
      </text>
    </comment>
    <comment ref="F24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25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25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'- HS 3,00 từ 01/9/2015
- HS 3,33 từ 01/9/2018
- HS 3,66 từ 01/9/2020 (NL trước hạn)
- HS 3,99 từ 01/9/2023</t>
        </r>
      </text>
    </comment>
    <comment ref="I25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BN Trưởng bộ môn Điện Ô tô
- Thôi Trưởng BM từ 01/01/2019. HS Phụ cấp chức vụ được bảo lưu đến hết 30/6/2019</t>
        </r>
      </text>
    </comment>
    <comment ref="F2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25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01/9/2017
- HS 3,33 từ 01/9/2019
- HS 3,66 từ 01/9/2022
</t>
        </r>
      </text>
    </comment>
    <comment ref="F254" authorId="8" shapeId="0">
      <text>
        <r>
          <rPr>
            <sz val="9"/>
            <color indexed="81"/>
            <rFont val="Tahoma"/>
            <family val="2"/>
          </rPr>
          <t>- HS 3,00 từ 01/3/2018
- HS 3,33 từ 01/3/2020 (NL trước hạn)
- HS 3,66 từ 01/03/2023</t>
        </r>
      </text>
    </comment>
    <comment ref="F25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01/9/2015
- HS 3,00 từ 01/9/2018
- HS 3,33 từ 01/9/2021</t>
        </r>
      </text>
    </comment>
    <comment ref="F25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01/10/2015
- HS 3,00 từ 01/10/2018
- HS 3,33 từ 01/10/2020 (NL trước hạn)
- HS 3,66 từ 01/10/2023</t>
        </r>
      </text>
    </comment>
    <comment ref="F25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 (NL Trước hạn năm 2017)
- HS 3,00 từ 01/9/2019
- HS 3,33 từ 01/9/2021</t>
        </r>
      </text>
    </comment>
    <comment ref="I257" authorId="4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BN Trưởng BM Điện ô tô từ 01/01/2019 </t>
        </r>
      </text>
    </comment>
    <comment ref="F25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 (NL Trước hạn năm 2017)
- HS 3,00 từ 01/9/2019
- HS 3,33 từ 01/9/2021 (NL trước hạn)</t>
        </r>
      </text>
    </comment>
    <comment ref="F2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2,34 từ 01/10/2019
- HS 2,67 từ 01/10/2021 (NL trước hạn)</t>
        </r>
      </text>
    </comment>
    <comment ref="F26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2,34 từ 01/10/2019
- HS 2,67 từ 01/10/2022</t>
        </r>
      </text>
    </comment>
    <comment ref="F26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01/01/2020
- HS 3,00 từ 01/01/2022 (NL trước hạn)</t>
        </r>
      </text>
    </comment>
    <comment ref="F26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01/11/2019
- HS 3,33 từ 01/12/2020
- HS 3,66 từ 01/12/2022</t>
        </r>
      </text>
    </comment>
    <comment ref="F26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Tuyển dụng từ 01/5/20
- HS 2,34 từ 01/5/2021</t>
        </r>
      </text>
    </comment>
    <comment ref="F2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Tuyển dụng 01/5/20
- HS 2,34 từ 01/5/2021</t>
        </r>
      </text>
    </comment>
    <comment ref="F26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Tuyển dụng từ 01/3/2021 (HS 2,34- 85%)
- HS 2,34 từ 01/3/2022 (BNN)</t>
        </r>
      </text>
    </comment>
    <comment ref="F266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Tuyển dụng từ 01/4/2021 (85%)
- HS 2,34 từ 01/4/2022</t>
        </r>
      </text>
    </comment>
    <comment ref="F267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Tuyển dụng từ 01/05/2021
- HS 3,00 từ 01/5/2021 (NL từ 01/7/2018)
- HS 3,33 từ 01/7/2021</t>
        </r>
      </text>
    </comment>
    <comment ref="F268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HS 3,00 từ 01/10/2022
- HS 3,33 từ 01/01/2023</t>
        </r>
      </text>
    </comment>
    <comment ref="F270" authorId="6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Hoàn thành nghĩa vụ quân sự, xếp 100% lương trong thời gian thử việc
- HS 3,00 từ 01/9/2017
- HS 3,33 từ 01/9/2020
- HS 3,66 từ 01/9/2022</t>
        </r>
      </text>
    </comment>
    <comment ref="I27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BN Trưởng BM Nhiệt - Lạnh chuyên ngành từ 01/9/2015
- BN Phó Trưởng khoa CN Nhiệt lạnh từ 01/03/2016</t>
        </r>
      </text>
    </comment>
    <comment ref="F27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01/9/2017
- HS 4,32 từ 01/9/2020
- HS 4,65 từ 01/9/2022</t>
        </r>
      </text>
    </comment>
    <comment ref="F27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01/9/2017
- HS 4,32 từ 01/9/2020
- HS 4,65 từ 01/9/2023</t>
        </r>
      </text>
    </comment>
    <comment ref="F27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</t>
        </r>
      </text>
    </comment>
    <comment ref="F27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01/9/2017
- HS 3,33 từ 01/9/2020
- HS 3,66 từ 01/9/2023</t>
        </r>
      </text>
    </comment>
    <comment ref="F2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
- HS 3,99 từ 01/9/2019
- HS 4,32 từ 01/9/2022</t>
        </r>
      </text>
    </comment>
    <comment ref="F276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Tuyển dụng từ 01/3/2021 (HS 2,67-85%)
- HS 3,00 từ 01/03/2021 (NL từ 01/11/2020)
- HS 3,33 từ 01/3/2022 (NL trước hạn)</t>
        </r>
      </text>
    </comment>
    <comment ref="F27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01/10/2015
- HS 4,65 từ 01/10/2018
- HS 4,98 từ 01/10/2021</t>
        </r>
      </text>
    </comment>
    <comment ref="F278" authorId="8" shapeId="0">
      <text>
        <r>
          <rPr>
            <sz val="9"/>
            <color indexed="81"/>
            <rFont val="Tahoma"/>
            <family val="2"/>
          </rPr>
          <t>- HS 2,67 hưởng từ 01/9 làm bảng truy lãnh từ tháng 9-11/2017
- HS 3,00 từ 01/9/2019
- HS 3,33 từ 01/9/2022</t>
        </r>
      </text>
    </comment>
    <comment ref="I27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BN Phó TK từ 01/8/2018</t>
        </r>
      </text>
    </comment>
  </commentList>
</comments>
</file>

<file path=xl/comments2.xml><?xml version="1.0" encoding="utf-8"?>
<comments xmlns="http://schemas.openxmlformats.org/spreadsheetml/2006/main">
  <authors>
    <author>user</author>
    <author>Admin</author>
  </authors>
  <commentList>
    <comment ref="F1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2,34 từ 01/10/2019
- HS 2,67 từ 01/10/2021 (NL trước hạn)</t>
        </r>
      </text>
    </comment>
    <comment ref="I1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BN Phó Trưởng TT QHDN từ 01/02/2020
- QĐ BN Phó Trưởng phòng TS-ĐT từ 05/9/2020
- QĐ Miễn nhiệm Phó P.TS-Đào tạo. Bổ nhiệm Giám đốc TT LTT từ 05/7/2022</t>
        </r>
      </text>
    </comment>
    <comment ref="F1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2.66 từ 01/4/2016
- HS 2,86 từ 01/4/2018
- HS 3,06 từ 01/4/2020
- HS 3,26 từ 01/4/2022
- HS 3,34 từ 01/4/2023 (Mốc NL 01/4/2022)</t>
        </r>
      </text>
    </comment>
  </commentList>
</comments>
</file>

<file path=xl/sharedStrings.xml><?xml version="1.0" encoding="utf-8"?>
<sst xmlns="http://schemas.openxmlformats.org/spreadsheetml/2006/main" count="3496" uniqueCount="2030">
  <si>
    <t>1603205178736</t>
  </si>
  <si>
    <t>1603205178720</t>
  </si>
  <si>
    <t>1603205178707</t>
  </si>
  <si>
    <t>1603205178788</t>
  </si>
  <si>
    <t>1603205235065</t>
  </si>
  <si>
    <t>1603205235088</t>
  </si>
  <si>
    <t>1603205235013</t>
  </si>
  <si>
    <t>1603205179115</t>
  </si>
  <si>
    <t>1603205178794</t>
  </si>
  <si>
    <t>1603205179094</t>
  </si>
  <si>
    <t>1603205179088</t>
  </si>
  <si>
    <t>1603205179071</t>
  </si>
  <si>
    <t>1603205179059</t>
  </si>
  <si>
    <t>1603205186684</t>
  </si>
  <si>
    <t>1603205183397</t>
  </si>
  <si>
    <t>1603205183418</t>
  </si>
  <si>
    <t>1603205183316</t>
  </si>
  <si>
    <t>1603205183368</t>
  </si>
  <si>
    <t>1603205183401</t>
  </si>
  <si>
    <t>1603205183322</t>
  </si>
  <si>
    <t>1603205183339</t>
  </si>
  <si>
    <t>1603205183266</t>
  </si>
  <si>
    <t>1603205183272</t>
  </si>
  <si>
    <t>1603205183295</t>
  </si>
  <si>
    <t>1603205186690</t>
  </si>
  <si>
    <t>1603205183250</t>
  </si>
  <si>
    <t>1603205183374</t>
  </si>
  <si>
    <t>1603205183345</t>
  </si>
  <si>
    <t>1603205183351</t>
  </si>
  <si>
    <t>1603205183289</t>
  </si>
  <si>
    <t>1603205183040</t>
  </si>
  <si>
    <t>1603205235121</t>
  </si>
  <si>
    <t>1603205224466</t>
  </si>
  <si>
    <t>1603205224834</t>
  </si>
  <si>
    <t>1603205186649</t>
  </si>
  <si>
    <t>1603205235377</t>
  </si>
  <si>
    <t>1603205186711</t>
  </si>
  <si>
    <t>1603205183056</t>
  </si>
  <si>
    <t>1603205224647</t>
  </si>
  <si>
    <t>1603205224227</t>
  </si>
  <si>
    <t>GHI CHÚ</t>
  </si>
  <si>
    <t>HIỆU TRƯỞNG</t>
  </si>
  <si>
    <t>1603205249149</t>
  </si>
  <si>
    <t>1603205249313</t>
  </si>
  <si>
    <t>Nguyễn Thị Hiếu</t>
  </si>
  <si>
    <t>Phạm Thị Song</t>
  </si>
  <si>
    <t>1603205250811</t>
  </si>
  <si>
    <t>ABC MIN(hide)</t>
  </si>
  <si>
    <t>ABC MIN (hide)</t>
  </si>
  <si>
    <t>THÚY</t>
  </si>
  <si>
    <t>Số tài khoản thẻ ATM
AGRIBANK</t>
  </si>
  <si>
    <t>Số tài khoản thẻ ATM
VIETINBANK</t>
  </si>
  <si>
    <t>711A22811849</t>
  </si>
  <si>
    <t>711A22129659</t>
  </si>
  <si>
    <t>711A23232133</t>
  </si>
  <si>
    <t>711A23232157</t>
  </si>
  <si>
    <t>711A23232023</t>
  </si>
  <si>
    <t>711A23235593</t>
  </si>
  <si>
    <t>711A23232011</t>
  </si>
  <si>
    <t>711A23232205</t>
  </si>
  <si>
    <t>711A23232054</t>
  </si>
  <si>
    <t>711A23232078</t>
  </si>
  <si>
    <t>711A23232062</t>
  </si>
  <si>
    <t>711A23232121</t>
  </si>
  <si>
    <t>711A23231908</t>
  </si>
  <si>
    <t>711A23231978</t>
  </si>
  <si>
    <t>711A23232248</t>
  </si>
  <si>
    <t>711A23231942</t>
  </si>
  <si>
    <t>711A12814549</t>
  </si>
  <si>
    <t>711A23232327</t>
  </si>
  <si>
    <t>711A23232381</t>
  </si>
  <si>
    <t>711A22129623</t>
  </si>
  <si>
    <t>711A23232532</t>
  </si>
  <si>
    <t>711A23232563</t>
  </si>
  <si>
    <t>711A23232615</t>
  </si>
  <si>
    <t>711A23232599</t>
  </si>
  <si>
    <t>711A23232757</t>
  </si>
  <si>
    <t>711A06639136</t>
  </si>
  <si>
    <t>711A23232721</t>
  </si>
  <si>
    <t>711A23232693</t>
  </si>
  <si>
    <t>711A23232469</t>
  </si>
  <si>
    <t>711A23232496</t>
  </si>
  <si>
    <t>711A23232393</t>
  </si>
  <si>
    <t>711A23232421</t>
  </si>
  <si>
    <t>711A23232433</t>
  </si>
  <si>
    <t>711A23232402</t>
  </si>
  <si>
    <t>711A23232505</t>
  </si>
  <si>
    <t>711A12472729</t>
  </si>
  <si>
    <t>711A23232681</t>
  </si>
  <si>
    <t>711A23232639</t>
  </si>
  <si>
    <t>711A23232642</t>
  </si>
  <si>
    <t>711A23232654</t>
  </si>
  <si>
    <t>711A12472547</t>
  </si>
  <si>
    <t>711A23232796</t>
  </si>
  <si>
    <t>711A23232836</t>
  </si>
  <si>
    <t>711A23233046</t>
  </si>
  <si>
    <t>711A23233073</t>
  </si>
  <si>
    <t>711A23233152</t>
  </si>
  <si>
    <t>711A06383464</t>
  </si>
  <si>
    <t>711A23233003</t>
  </si>
  <si>
    <t>711A23232903</t>
  </si>
  <si>
    <t>711A23233085</t>
  </si>
  <si>
    <t>711A23233164</t>
  </si>
  <si>
    <t>711A23233353</t>
  </si>
  <si>
    <t>711A23233216</t>
  </si>
  <si>
    <t>711A23232973</t>
  </si>
  <si>
    <t>711A23232894</t>
  </si>
  <si>
    <t>711A23232954</t>
  </si>
  <si>
    <t>711A23232863</t>
  </si>
  <si>
    <t>711A23233243</t>
  </si>
  <si>
    <t>711A23232927</t>
  </si>
  <si>
    <t>711A23233097</t>
  </si>
  <si>
    <t>711A23233137</t>
  </si>
  <si>
    <t>711A23233191</t>
  </si>
  <si>
    <t>711A23233204</t>
  </si>
  <si>
    <t>711A23233231</t>
  </si>
  <si>
    <t>711A23233125</t>
  </si>
  <si>
    <t>711A23232939</t>
  </si>
  <si>
    <t>711A23232812</t>
  </si>
  <si>
    <t>711A23232966</t>
  </si>
  <si>
    <t>711A23233101</t>
  </si>
  <si>
    <t>711A23233267</t>
  </si>
  <si>
    <t>711A12318165</t>
  </si>
  <si>
    <t>711A23233019</t>
  </si>
  <si>
    <t>711A23232843</t>
  </si>
  <si>
    <t>711A23233022</t>
  </si>
  <si>
    <t>711A23233058</t>
  </si>
  <si>
    <t>711A23233034</t>
  </si>
  <si>
    <t>711A23232882</t>
  </si>
  <si>
    <t>711A23232915</t>
  </si>
  <si>
    <t>711A03253222</t>
  </si>
  <si>
    <t>711A23233183</t>
  </si>
  <si>
    <t>711A23233361</t>
  </si>
  <si>
    <t>711A23233255</t>
  </si>
  <si>
    <t>711A23233389</t>
  </si>
  <si>
    <t>711A23233392</t>
  </si>
  <si>
    <t>711A23233452</t>
  </si>
  <si>
    <t>711A23233464</t>
  </si>
  <si>
    <t>711A23233444</t>
  </si>
  <si>
    <t>711A23233516</t>
  </si>
  <si>
    <t>711A23233582</t>
  </si>
  <si>
    <t>711A23233504</t>
  </si>
  <si>
    <t>711A23233567</t>
  </si>
  <si>
    <t>711A23233483</t>
  </si>
  <si>
    <t>711A23233471</t>
  </si>
  <si>
    <t>711A23233744</t>
  </si>
  <si>
    <t>711A23233661</t>
  </si>
  <si>
    <t>711A23233641</t>
  </si>
  <si>
    <t>711A12677456</t>
  </si>
  <si>
    <t>711A23233634</t>
  </si>
  <si>
    <t>711A23233692</t>
  </si>
  <si>
    <t>711A17971382</t>
  </si>
  <si>
    <t>711A23233689</t>
  </si>
  <si>
    <t>711A23233653</t>
  </si>
  <si>
    <t>711A11953482</t>
  </si>
  <si>
    <t>711A23233594</t>
  </si>
  <si>
    <t>711A23233437</t>
  </si>
  <si>
    <t>711A23232769</t>
  </si>
  <si>
    <t>711A23232784</t>
  </si>
  <si>
    <t>711A90232365</t>
  </si>
  <si>
    <t>711A23233874</t>
  </si>
  <si>
    <t>711A23233847</t>
  </si>
  <si>
    <t>711A23233992</t>
  </si>
  <si>
    <t>711A05686615</t>
  </si>
  <si>
    <t>711A23233764</t>
  </si>
  <si>
    <t>711A23233862</t>
  </si>
  <si>
    <t>711A23233771</t>
  </si>
  <si>
    <t>711A23233907</t>
  </si>
  <si>
    <t>711A06803957</t>
  </si>
  <si>
    <t>711A23233898</t>
  </si>
  <si>
    <t>711A23233859</t>
  </si>
  <si>
    <t>711A23233791</t>
  </si>
  <si>
    <t>711A23233922</t>
  </si>
  <si>
    <t>711A23233823</t>
  </si>
  <si>
    <t>711A23233886</t>
  </si>
  <si>
    <t>711A23233804</t>
  </si>
  <si>
    <t>711A23233811</t>
  </si>
  <si>
    <t>711A23233752</t>
  </si>
  <si>
    <t>711A23233934</t>
  </si>
  <si>
    <t>711A23234007</t>
  </si>
  <si>
    <t>711A23234077</t>
  </si>
  <si>
    <t>711A23234092</t>
  </si>
  <si>
    <t>711A23234195</t>
  </si>
  <si>
    <t>711A23234101</t>
  </si>
  <si>
    <t>711A23234117</t>
  </si>
  <si>
    <t>711A00826304</t>
  </si>
  <si>
    <t>711A23234129</t>
  </si>
  <si>
    <t>711A23234132</t>
  </si>
  <si>
    <t>711A23234144</t>
  </si>
  <si>
    <t>711A01868078</t>
  </si>
  <si>
    <t>711A23234156</t>
  </si>
  <si>
    <t>711A23234168</t>
  </si>
  <si>
    <t>711A00386458</t>
  </si>
  <si>
    <t>711A23234014</t>
  </si>
  <si>
    <t>711A23234034</t>
  </si>
  <si>
    <t>711A23234041</t>
  </si>
  <si>
    <t>711A23234061</t>
  </si>
  <si>
    <t>711A23234022</t>
  </si>
  <si>
    <t>711A23234338</t>
  </si>
  <si>
    <t>711A23234231</t>
  </si>
  <si>
    <t>711A23234262</t>
  </si>
  <si>
    <t>711A23234274</t>
  </si>
  <si>
    <t>711A23234286</t>
  </si>
  <si>
    <t>711A23234429</t>
  </si>
  <si>
    <t>711A23234298</t>
  </si>
  <si>
    <t>711A23234417</t>
  </si>
  <si>
    <t>711A06804112</t>
  </si>
  <si>
    <t>711A23234372</t>
  </si>
  <si>
    <t>711A23234384</t>
  </si>
  <si>
    <t>711A23234392</t>
  </si>
  <si>
    <t>711A23234401</t>
  </si>
  <si>
    <t>711A23234353</t>
  </si>
  <si>
    <t>711A23234259</t>
  </si>
  <si>
    <t>711A23234468</t>
  </si>
  <si>
    <t>711A23234483</t>
  </si>
  <si>
    <t>711A23234471</t>
  </si>
  <si>
    <t>711A23234495</t>
  </si>
  <si>
    <t>711A23234504</t>
  </si>
  <si>
    <t>711A23234523</t>
  </si>
  <si>
    <t>711A14685304</t>
  </si>
  <si>
    <t>711A23234547</t>
  </si>
  <si>
    <t>711A23234562</t>
  </si>
  <si>
    <t>711A23234598</t>
  </si>
  <si>
    <t>711A23234602</t>
  </si>
  <si>
    <t>711A23234626</t>
  </si>
  <si>
    <t>711A23234641</t>
  </si>
  <si>
    <t>711A23234653</t>
  </si>
  <si>
    <t>711A23234638</t>
  </si>
  <si>
    <t>711A23234559</t>
  </si>
  <si>
    <t>711A23234586</t>
  </si>
  <si>
    <t>711A22129662</t>
  </si>
  <si>
    <t>711A23234783</t>
  </si>
  <si>
    <t>711A23234795</t>
  </si>
  <si>
    <t>711A23235045</t>
  </si>
  <si>
    <t>711A23235281</t>
  </si>
  <si>
    <t>711A23235293</t>
  </si>
  <si>
    <t>711A23235306</t>
  </si>
  <si>
    <t>711A23235313</t>
  </si>
  <si>
    <t>711A23235321</t>
  </si>
  <si>
    <t>711A23235573</t>
  </si>
  <si>
    <t>711A23234835</t>
  </si>
  <si>
    <t>711A23234811</t>
  </si>
  <si>
    <t>711A23234842</t>
  </si>
  <si>
    <t>711A23235194</t>
  </si>
  <si>
    <t>711A23235018</t>
  </si>
  <si>
    <t>711A23235033</t>
  </si>
  <si>
    <t>711A23234992</t>
  </si>
  <si>
    <t>711A23235002</t>
  </si>
  <si>
    <t>711A23234902</t>
  </si>
  <si>
    <t>711A23235242</t>
  </si>
  <si>
    <t>711A23234914</t>
  </si>
  <si>
    <t>711A06895699</t>
  </si>
  <si>
    <t>711A23235254</t>
  </si>
  <si>
    <t>711A23235215</t>
  </si>
  <si>
    <t>711A23235239</t>
  </si>
  <si>
    <t>711A23235266</t>
  </si>
  <si>
    <t>711A23235554</t>
  </si>
  <si>
    <t>711A24122832</t>
  </si>
  <si>
    <t>711A23234732</t>
  </si>
  <si>
    <t>711A23234729</t>
  </si>
  <si>
    <t>711A14784559</t>
  </si>
  <si>
    <t>711A23234744</t>
  </si>
  <si>
    <t>711A26554199</t>
  </si>
  <si>
    <t>Giáp Văn</t>
  </si>
  <si>
    <t>Bùi Thị Lan</t>
  </si>
  <si>
    <t>Hồng Mộng Tuyết</t>
  </si>
  <si>
    <t>LY</t>
  </si>
  <si>
    <t>VƯỢNG</t>
  </si>
  <si>
    <t>Huỳnh Thị Minh</t>
  </si>
  <si>
    <t xml:space="preserve">Giáp Thị </t>
  </si>
  <si>
    <t>CHI</t>
  </si>
  <si>
    <t>Phạm Thị Lê</t>
  </si>
  <si>
    <t>THÙY</t>
  </si>
  <si>
    <t>Lâm Thị Phương</t>
  </si>
  <si>
    <t>Nguyễn Bạch Cẩm</t>
  </si>
  <si>
    <t>Trịnh Khắc</t>
  </si>
  <si>
    <t>THƠM</t>
  </si>
  <si>
    <t>HƯỜNG</t>
  </si>
  <si>
    <t>Cao Thị Hồng</t>
  </si>
  <si>
    <t>Lê Thị Mai</t>
  </si>
  <si>
    <t>Bùi Thành</t>
  </si>
  <si>
    <t>Giang Phi</t>
  </si>
  <si>
    <t>ĐÔN</t>
  </si>
  <si>
    <t>TRƯỜNG</t>
  </si>
  <si>
    <t>Dương Đức</t>
  </si>
  <si>
    <t>Lê Phi</t>
  </si>
  <si>
    <t>Ninh Đỗ</t>
  </si>
  <si>
    <t>Nguyễn Thị Hải</t>
  </si>
  <si>
    <t xml:space="preserve">Nguyễn Thùy </t>
  </si>
  <si>
    <t>Đặng Thái</t>
  </si>
  <si>
    <t>Nguyễn Thái</t>
  </si>
  <si>
    <t>Võ Thị Thu</t>
  </si>
  <si>
    <t>LINH</t>
  </si>
  <si>
    <t>PHAN</t>
  </si>
  <si>
    <t>KHẮC</t>
  </si>
  <si>
    <t>THAY</t>
  </si>
  <si>
    <t>NGỌC</t>
  </si>
  <si>
    <t>TƯƠI</t>
  </si>
  <si>
    <t>Lê Thị Phương</t>
  </si>
  <si>
    <t>Cao Hải</t>
  </si>
  <si>
    <t>Lê Thị Thanh</t>
  </si>
  <si>
    <t>Nguyễn Thị Bảo</t>
  </si>
  <si>
    <t>Lâm Hải</t>
  </si>
  <si>
    <t>Lê Phương</t>
  </si>
  <si>
    <t>Lê Thị</t>
  </si>
  <si>
    <t>Phan Vũ Băng</t>
  </si>
  <si>
    <t>Trần Thị Mỹ</t>
  </si>
  <si>
    <t>HUYỀN</t>
  </si>
  <si>
    <t>Trần Thị Tuyết</t>
  </si>
  <si>
    <t>LÊ</t>
  </si>
  <si>
    <t xml:space="preserve">Hoàng Thị </t>
  </si>
  <si>
    <t>711A23231981</t>
  </si>
  <si>
    <t>711A23235581</t>
  </si>
  <si>
    <t>NGÁT</t>
  </si>
  <si>
    <t>1603205398451</t>
  </si>
  <si>
    <t>711A23232287</t>
  </si>
  <si>
    <t>711A23232315</t>
  </si>
  <si>
    <t>711A23232418</t>
  </si>
  <si>
    <t>711A23232524</t>
  </si>
  <si>
    <t>711A23232673</t>
  </si>
  <si>
    <t>711A23232824</t>
  </si>
  <si>
    <t>711A23232809</t>
  </si>
  <si>
    <t>711A23233341</t>
  </si>
  <si>
    <t>711A23233307</t>
  </si>
  <si>
    <t>711A23233334</t>
  </si>
  <si>
    <t>711A23233294</t>
  </si>
  <si>
    <t>711A08373468</t>
  </si>
  <si>
    <t>711A23233322</t>
  </si>
  <si>
    <t>711A02593584</t>
  </si>
  <si>
    <t>711A23233282</t>
  </si>
  <si>
    <t>711A23233725</t>
  </si>
  <si>
    <t>711A23233607</t>
  </si>
  <si>
    <t>711A23233614</t>
  </si>
  <si>
    <t>711A03770195</t>
  </si>
  <si>
    <t>711A23233622</t>
  </si>
  <si>
    <t>711A23233737</t>
  </si>
  <si>
    <t>711A18411983</t>
  </si>
  <si>
    <t>711A23233953</t>
  </si>
  <si>
    <t>711A23233941</t>
  </si>
  <si>
    <t>711A23233914</t>
  </si>
  <si>
    <t>711A23234204</t>
  </si>
  <si>
    <t>711A23234223</t>
  </si>
  <si>
    <t>711A23234511</t>
  </si>
  <si>
    <t>711A23234531</t>
  </si>
  <si>
    <t>711A23234665</t>
  </si>
  <si>
    <t>711A23234684</t>
  </si>
  <si>
    <t>711A23234701</t>
  </si>
  <si>
    <t>711A23234717</t>
  </si>
  <si>
    <t>711A23235391</t>
  </si>
  <si>
    <t>711A23235424</t>
  </si>
  <si>
    <t>711A23235412</t>
  </si>
  <si>
    <t>711A23235409</t>
  </si>
  <si>
    <t>711A23235451</t>
  </si>
  <si>
    <t>711A23235479</t>
  </si>
  <si>
    <t>711A23235376</t>
  </si>
  <si>
    <t>711A16769544</t>
  </si>
  <si>
    <t>711A23235349</t>
  </si>
  <si>
    <t>711A23235352</t>
  </si>
  <si>
    <t>711A23235364</t>
  </si>
  <si>
    <t>711A23235333</t>
  </si>
  <si>
    <t>711A23235482</t>
  </si>
  <si>
    <t>711A23235443</t>
  </si>
  <si>
    <t>711A14513924</t>
  </si>
  <si>
    <t>711A23235388</t>
  </si>
  <si>
    <t>QUỲNH (CK)</t>
  </si>
  <si>
    <t>QUỲNH (CB)</t>
  </si>
  <si>
    <t>Phạm Mạnh</t>
  </si>
  <si>
    <t>1603205246157</t>
  </si>
  <si>
    <t>1603205203183</t>
  </si>
  <si>
    <t>1603205246090</t>
  </si>
  <si>
    <t>1603205250618</t>
  </si>
  <si>
    <t>1603205246577</t>
  </si>
  <si>
    <t>1603205246560</t>
  </si>
  <si>
    <t>1603205246662</t>
  </si>
  <si>
    <t>1603205246309</t>
  </si>
  <si>
    <t>1603205250601</t>
  </si>
  <si>
    <t>1603205249841</t>
  </si>
  <si>
    <t>1603205186270</t>
  </si>
  <si>
    <t>1603205186264</t>
  </si>
  <si>
    <t>1603205250790</t>
  </si>
  <si>
    <t>1603205182995</t>
  </si>
  <si>
    <t>1603205246344</t>
  </si>
  <si>
    <t>1603205245942</t>
  </si>
  <si>
    <t>1603205245959</t>
  </si>
  <si>
    <t>1603205245965</t>
  </si>
  <si>
    <t>1603205246134</t>
  </si>
  <si>
    <t>1603205250682</t>
  </si>
  <si>
    <t>1603205247012</t>
  </si>
  <si>
    <t>1603205250699</t>
  </si>
  <si>
    <t>1603205251259</t>
  </si>
  <si>
    <t>1603205246610</t>
  </si>
  <si>
    <t>711A23234365</t>
  </si>
  <si>
    <t>1603205246271</t>
  </si>
  <si>
    <t>1603205246338</t>
  </si>
  <si>
    <t>1603205246213</t>
  </si>
  <si>
    <t>1603205250676</t>
  </si>
  <si>
    <t>1603205182575</t>
  </si>
  <si>
    <t>1603205183004</t>
  </si>
  <si>
    <t>1603205183079</t>
  </si>
  <si>
    <t>1603205250971</t>
  </si>
  <si>
    <t>1603205250840</t>
  </si>
  <si>
    <t>1603205250761</t>
  </si>
  <si>
    <t>1603205250784</t>
  </si>
  <si>
    <t>1603205250778</t>
  </si>
  <si>
    <t>1603205250857</t>
  </si>
  <si>
    <t>1603205250870</t>
  </si>
  <si>
    <t>1603205186678</t>
  </si>
  <si>
    <t>1603205224601</t>
  </si>
  <si>
    <t>1603205251010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</si>
  <si>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</si>
  <si>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</si>
  <si>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</si>
  <si>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</si>
  <si>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</si>
  <si>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</si>
  <si>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</si>
  <si>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</si>
  <si>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</si>
  <si>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</si>
  <si>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</si>
  <si>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</si>
  <si>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</si>
  <si>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</si>
  <si>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</si>
  <si>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</si>
  <si>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</si>
  <si>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</si>
  <si>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</si>
  <si>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</si>
  <si>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</si>
  <si>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</si>
  <si>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</si>
  <si>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</si>
  <si>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</si>
  <si>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711A34199653</t>
  </si>
  <si>
    <t xml:space="preserve">Lữ Châu </t>
  </si>
  <si>
    <t xml:space="preserve">THI </t>
  </si>
  <si>
    <t>1603205275619</t>
  </si>
  <si>
    <t>711A34615102</t>
  </si>
  <si>
    <t xml:space="preserve">Trần Thị Hồng </t>
  </si>
  <si>
    <t xml:space="preserve">THU </t>
  </si>
  <si>
    <t>1603205275660</t>
  </si>
  <si>
    <t>711A34713613</t>
  </si>
  <si>
    <t>1603205183300</t>
  </si>
  <si>
    <t>711A23235273</t>
  </si>
  <si>
    <t>Vũ Thị Thu</t>
  </si>
  <si>
    <t>P. CHỦ TỊCH HĐ THI ĐUA</t>
  </si>
  <si>
    <t xml:space="preserve">P. CHỦ TỊCH HĐ THI ĐUA </t>
  </si>
  <si>
    <t>TRÂM</t>
  </si>
  <si>
    <t>Lê Nguyễn Mỹ</t>
  </si>
  <si>
    <t>711A12099392</t>
  </si>
  <si>
    <t>DANH</t>
  </si>
  <si>
    <t>1603205185261</t>
  </si>
  <si>
    <t>711A03020828</t>
  </si>
  <si>
    <t xml:space="preserve">Nguyễn Duy </t>
  </si>
  <si>
    <t xml:space="preserve">HẢI </t>
  </si>
  <si>
    <t>1603205275388</t>
  </si>
  <si>
    <t>711A34563044</t>
  </si>
  <si>
    <t xml:space="preserve">Hồ Văn </t>
  </si>
  <si>
    <t xml:space="preserve">LÝ </t>
  </si>
  <si>
    <t>Đỗ Huỳnh Thanh</t>
  </si>
  <si>
    <t>Nguyễn Minh Đức</t>
  </si>
  <si>
    <t>1603205274928</t>
  </si>
  <si>
    <t>1603205246321</t>
  </si>
  <si>
    <t>711A34207095</t>
  </si>
  <si>
    <t>711A34590792</t>
  </si>
  <si>
    <t>711A26952801</t>
  </si>
  <si>
    <t xml:space="preserve">Trần Minh </t>
  </si>
  <si>
    <t>Kiều Trung</t>
  </si>
  <si>
    <t>TÍN</t>
  </si>
  <si>
    <t>711A34177562</t>
  </si>
  <si>
    <t>711A34926054</t>
  </si>
  <si>
    <t>1603205251367</t>
  </si>
  <si>
    <t>1603205276141</t>
  </si>
  <si>
    <t xml:space="preserve">Viên Ngọc </t>
  </si>
  <si>
    <t>BẠCH</t>
  </si>
  <si>
    <t xml:space="preserve">Hoàng Anh </t>
  </si>
  <si>
    <t xml:space="preserve">TOÀN </t>
  </si>
  <si>
    <t xml:space="preserve">Thái Thị Thanh </t>
  </si>
  <si>
    <t xml:space="preserve">Lưu Thị Ngọc </t>
  </si>
  <si>
    <t xml:space="preserve">THÚY </t>
  </si>
  <si>
    <t>1603205274826</t>
  </si>
  <si>
    <t>711A34171317</t>
  </si>
  <si>
    <t>1603205274934</t>
  </si>
  <si>
    <t>1603205275740</t>
  </si>
  <si>
    <t>1603205275858</t>
  </si>
  <si>
    <t>711A34210005</t>
  </si>
  <si>
    <t>711A34648402</t>
  </si>
  <si>
    <t>711A29231332</t>
  </si>
  <si>
    <t>Trần Quốc</t>
  </si>
  <si>
    <t>1603205294780</t>
  </si>
  <si>
    <t>711A44124442</t>
  </si>
  <si>
    <t>ỦY BAN NHÂN DÂN TP.HCM</t>
  </si>
  <si>
    <t>Trần Thị Minh</t>
  </si>
  <si>
    <t>THOA</t>
  </si>
  <si>
    <t>711A23232354</t>
  </si>
  <si>
    <t>711A09517054</t>
  </si>
  <si>
    <t>1603205303449</t>
  </si>
  <si>
    <t>SƠN (A)</t>
  </si>
  <si>
    <t>SƠN (B)</t>
  </si>
  <si>
    <t>Nguyễn Vũ Xuân</t>
  </si>
  <si>
    <t>THÌ</t>
  </si>
  <si>
    <t>711A50423323</t>
  </si>
  <si>
    <t>1603205269412</t>
  </si>
  <si>
    <t>1603205274861</t>
  </si>
  <si>
    <t>Nguyễn Thụy Hải</t>
  </si>
  <si>
    <t>1603205307801</t>
  </si>
  <si>
    <t>711A54880724</t>
  </si>
  <si>
    <t>1603205303200</t>
  </si>
  <si>
    <t>711A55150293</t>
  </si>
  <si>
    <t>1603205276158</t>
  </si>
  <si>
    <t>1603205307716</t>
  </si>
  <si>
    <t>711A54849792</t>
  </si>
  <si>
    <t>Nguyễn Minh</t>
  </si>
  <si>
    <t>NHẬT</t>
  </si>
  <si>
    <t xml:space="preserve">Lê Thị Kim </t>
  </si>
  <si>
    <t>ĐĂNG</t>
  </si>
  <si>
    <t>Trương Thành</t>
  </si>
  <si>
    <t>Lý Hoàng</t>
  </si>
  <si>
    <t>711A46433144</t>
  </si>
  <si>
    <t>711A55676578</t>
  </si>
  <si>
    <t>711A55304931</t>
  </si>
  <si>
    <t>711A55613135</t>
  </si>
  <si>
    <t>711A55587351</t>
  </si>
  <si>
    <t>711A21147529</t>
  </si>
  <si>
    <t>B</t>
  </si>
  <si>
    <t>Phạm Minh Nghĩa</t>
  </si>
  <si>
    <t>TCHCTH</t>
  </si>
  <si>
    <t>y tế</t>
  </si>
  <si>
    <t>KTTC</t>
  </si>
  <si>
    <t>KHVT</t>
  </si>
  <si>
    <t>T.TRA</t>
  </si>
  <si>
    <t>QHQT</t>
  </si>
  <si>
    <t>Đ.TẠO</t>
  </si>
  <si>
    <t>QLHS</t>
  </si>
  <si>
    <t>B.TRÌ</t>
  </si>
  <si>
    <t>K.ĐỊNH</t>
  </si>
  <si>
    <t>GTVL</t>
  </si>
  <si>
    <t>MAY</t>
  </si>
  <si>
    <t>KHCB</t>
  </si>
  <si>
    <t>hóa-sinh</t>
  </si>
  <si>
    <t>lý</t>
  </si>
  <si>
    <t>toán</t>
  </si>
  <si>
    <t>chính trị</t>
  </si>
  <si>
    <t>P.luật</t>
  </si>
  <si>
    <t>thể chất</t>
  </si>
  <si>
    <t>văn</t>
  </si>
  <si>
    <t>A văn</t>
  </si>
  <si>
    <t>CNTT</t>
  </si>
  <si>
    <t>CƠ KHÍ</t>
  </si>
  <si>
    <t>ĐIỆN</t>
  </si>
  <si>
    <t>Đ.LẠNH</t>
  </si>
  <si>
    <t>Đ.LỰC</t>
  </si>
  <si>
    <t xml:space="preserve">Lê Thị Tuyết Trinh </t>
  </si>
  <si>
    <t>Lê Thị Tuyết Trinh</t>
  </si>
  <si>
    <t>TRONG</t>
  </si>
  <si>
    <t>Mức lương tối thiểu hệ số 1=1.050.000đ</t>
  </si>
  <si>
    <t>Mức lương tối thiểu có hệ số 1 = 1 050 000đ</t>
  </si>
  <si>
    <t>72</t>
  </si>
  <si>
    <t>711A74605287</t>
  </si>
  <si>
    <t>1603205356140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</si>
  <si>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</si>
  <si>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</si>
  <si>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</si>
  <si>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</si>
  <si>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</si>
  <si>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</si>
  <si>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</si>
  <si>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</si>
  <si>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</si>
  <si>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</si>
  <si>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</si>
  <si>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</si>
  <si>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</si>
  <si>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</si>
  <si>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</si>
  <si>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</si>
  <si>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</si>
  <si>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</si>
  <si>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</si>
  <si>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</si>
  <si>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</si>
  <si>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</si>
  <si>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</si>
  <si>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</si>
  <si>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</si>
  <si>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</si>
  <si>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</si>
  <si>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</si>
  <si>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</si>
  <si>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</si>
  <si>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</si>
  <si>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</si>
  <si>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</si>
  <si>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</si>
  <si>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</si>
  <si>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</si>
  <si>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</si>
  <si>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</si>
  <si>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</si>
  <si>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</si>
  <si>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</si>
  <si>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</si>
  <si>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</si>
  <si>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</si>
  <si>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</si>
  <si>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</si>
  <si>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</si>
  <si>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</si>
  <si>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</si>
  <si>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</si>
  <si>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</si>
  <si>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</si>
  <si>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</si>
  <si>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</si>
  <si>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</si>
  <si>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</si>
  <si>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</si>
  <si>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</si>
  <si>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</si>
  <si>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</si>
  <si>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</si>
  <si>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</si>
  <si>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</si>
  <si>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</si>
  <si>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</si>
  <si>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</si>
  <si>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</si>
  <si>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</si>
  <si>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</si>
  <si>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</si>
  <si>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</si>
  <si>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</si>
  <si>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</si>
  <si>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</si>
  <si>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</si>
  <si>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</si>
  <si>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</si>
  <si>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</si>
  <si>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</si>
  <si>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</si>
  <si>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</si>
  <si>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</si>
  <si>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</si>
  <si>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</si>
  <si>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</si>
  <si>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</si>
  <si>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</si>
  <si>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</si>
  <si>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</si>
  <si>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</si>
  <si>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</si>
  <si>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</si>
  <si>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</si>
  <si>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</si>
  <si>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</si>
  <si>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</si>
  <si>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</si>
  <si>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</si>
  <si>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</si>
  <si>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</si>
  <si>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</si>
  <si>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</si>
  <si>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</si>
  <si>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</si>
  <si>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</si>
  <si>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</si>
  <si>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</si>
  <si>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</si>
  <si>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</si>
  <si>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</si>
  <si>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</si>
  <si>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</si>
  <si>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</si>
  <si>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</si>
  <si>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</si>
  <si>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</si>
  <si>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</si>
  <si>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</si>
  <si>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</si>
  <si>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</si>
  <si>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</si>
  <si>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</si>
  <si>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</si>
  <si>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</si>
  <si>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</si>
  <si>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</si>
  <si>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</si>
  <si>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</si>
  <si>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</si>
  <si>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</si>
  <si>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</si>
  <si>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</si>
  <si>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</si>
  <si>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</si>
  <si>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</si>
  <si>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</si>
  <si>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</si>
  <si>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</si>
  <si>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</si>
  <si>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</si>
  <si>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</si>
  <si>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</si>
  <si>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</si>
  <si>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</si>
  <si>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</si>
  <si>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</si>
  <si>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</si>
  <si>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</si>
  <si>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</si>
  <si>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</si>
  <si>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</si>
  <si>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</si>
  <si>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</si>
  <si>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</si>
  <si>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</si>
  <si>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</si>
  <si>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</si>
  <si>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</si>
  <si>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</si>
  <si>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Văn Công</t>
  </si>
  <si>
    <t xml:space="preserve">SANG </t>
  </si>
  <si>
    <t xml:space="preserve">BGH </t>
  </si>
  <si>
    <t>711A40944441</t>
  </si>
  <si>
    <t>1603205361871</t>
  </si>
  <si>
    <t>Văn Công Sang</t>
  </si>
  <si>
    <t>165</t>
  </si>
  <si>
    <t>x</t>
  </si>
  <si>
    <t xml:space="preserve">XUYÊN </t>
  </si>
  <si>
    <t xml:space="preserve">Trần Vĩnh </t>
  </si>
  <si>
    <t>711A38288869</t>
  </si>
  <si>
    <t xml:space="preserve">TUYÊN </t>
  </si>
  <si>
    <t>711A06360681</t>
  </si>
  <si>
    <t>THỌ</t>
  </si>
  <si>
    <t>711A23234183</t>
  </si>
  <si>
    <t>1603205246373</t>
  </si>
  <si>
    <t xml:space="preserve">HIỀN </t>
  </si>
  <si>
    <t>SƯƠNG</t>
  </si>
  <si>
    <t>Bùi Thị Ngọc</t>
  </si>
  <si>
    <t>711A35869975</t>
  </si>
  <si>
    <t>711A75479276</t>
  </si>
  <si>
    <t>711A28174803</t>
  </si>
  <si>
    <t xml:space="preserve">Bùi Anh </t>
  </si>
  <si>
    <t>1603205353368</t>
  </si>
  <si>
    <t>711A02021461</t>
  </si>
  <si>
    <t>711A75135521</t>
  </si>
  <si>
    <t>THÔNG</t>
  </si>
  <si>
    <t>711A23707965</t>
  </si>
  <si>
    <t>711A23234692</t>
  </si>
  <si>
    <t>711A75112629</t>
  </si>
  <si>
    <t>1603205353345</t>
  </si>
  <si>
    <t>1603205251916</t>
  </si>
  <si>
    <t>1603205356610</t>
  </si>
  <si>
    <t>Phạm Nguyễn Đức</t>
  </si>
  <si>
    <t>TRUNG</t>
  </si>
  <si>
    <t>HÓA</t>
  </si>
  <si>
    <t xml:space="preserve">Phương Kim </t>
  </si>
  <si>
    <t xml:space="preserve">Phạm Thế </t>
  </si>
  <si>
    <t>711A74990261</t>
  </si>
  <si>
    <t>711A05930741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</si>
  <si>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</si>
  <si>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</si>
  <si>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</si>
  <si>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</si>
  <si>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</si>
  <si>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</si>
  <si>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</si>
  <si>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</si>
  <si>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</si>
  <si>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</si>
  <si>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</si>
  <si>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1603205353295</t>
  </si>
  <si>
    <t xml:space="preserve">tháng 10 </t>
  </si>
  <si>
    <t>tháng 11</t>
  </si>
  <si>
    <t>tháng 12</t>
  </si>
  <si>
    <t>Tháng 3/2013 cập nhật PCTNVK từ 8% lên 9%</t>
  </si>
  <si>
    <t>Nghỉ HS từ ngày 7/01-6/7/2013</t>
  </si>
  <si>
    <t>Đi học SĐH 2N</t>
  </si>
  <si>
    <t>Nghỉ HS từ ngày 26/02-25/8/2013</t>
  </si>
  <si>
    <t>Nghỉ HS từ ngày 17/12-16/04/2013</t>
  </si>
  <si>
    <t>Trừ 2N nghỉ phép</t>
  </si>
  <si>
    <t>Đi học nước ngoài từ 19/9/11</t>
  </si>
  <si>
    <t>Nghỉ HS từ ngày 12/01-11/7/2013</t>
  </si>
  <si>
    <t>Trừ 1N nghỉ phép</t>
  </si>
  <si>
    <t>Nghỉ HS từ ngày 01/02/2013- 31/7/2013</t>
  </si>
  <si>
    <t>A DN</t>
  </si>
  <si>
    <t>C</t>
  </si>
  <si>
    <t>TP. Hồ Chí Minh, ngày 13 tháng 3 năm 2013</t>
  </si>
  <si>
    <t>BẢNG THU NHẬP TĂNG THÊM - LƯƠNG THEO HỆ SỐ ĐIỀU CHỈNH THÁNG 2 ( BỔ SUNG)  NĂM 2013</t>
  </si>
  <si>
    <t>BẢNG THU NHẬP TĂNG THÊM - LƯƠNG THEO HỆ SỐ ĐIỀU CHỈNH THÁNG 02 (BỔ SUNG) NĂM 2013</t>
  </si>
  <si>
    <t>Tháng 3 hết PCCV 0.35</t>
  </si>
  <si>
    <t>Tháng sau nhớ sửa lại PCCV thành 0,25</t>
  </si>
  <si>
    <t>BẢNG THU NHẬP TĂNG THÊM - LƯƠNG THEO HỆ SỐ ĐIỀU CHỈNH THÁNG 4 NĂM 2013</t>
  </si>
  <si>
    <t>TP. Hồ Chí Minh, ngày      tháng     năm 2013</t>
  </si>
  <si>
    <t>TP. Hồ Chí Minh, ngày      tháng         năm 2013</t>
  </si>
  <si>
    <t>Nghỉ HS từ ngày 25/10-24/03/2013, nghỉ không hưởng lương từ ngày 26/3-25/5/2013</t>
  </si>
  <si>
    <t>Hết thời gian nghỉ HS đi làm lại từ ngày 29/3/2013</t>
  </si>
  <si>
    <t>Cộng 1/2N chấm công T2</t>
  </si>
  <si>
    <t>Trừ 1N nghỉ bù</t>
  </si>
  <si>
    <t>Dự hội nghị 1N, họp triển khai công tác kiểm tra, khảo sát…2N</t>
  </si>
  <si>
    <t>Trừ 1N nghỉ bù và nghỉ HS từ ngày 18/3-17/9/2013</t>
  </si>
  <si>
    <t>Đi học SĐH 5N</t>
  </si>
  <si>
    <t>Học lớp FCE 7N</t>
  </si>
  <si>
    <t>Học lớp FCE 8N</t>
  </si>
  <si>
    <t>Học lớp FCE 9N</t>
  </si>
  <si>
    <t>Trừ 5N nghỉ phép</t>
  </si>
  <si>
    <t>Trừ 2N nghỉ ốm T2 và 4N nghỉ ốm T3</t>
  </si>
  <si>
    <t>Trừ 23N nghỉ ốm</t>
  </si>
  <si>
    <t>Trừ 3N nghỉ phép, cộng 1 ngày làm thứ 7</t>
  </si>
  <si>
    <t>10N đi công tác miền Trung</t>
  </si>
  <si>
    <t>Trừ 2N nghỉ chế độ tang, cộng 1 ngày làm thứ 7</t>
  </si>
  <si>
    <t>Nghỉ không hưởng lương từ ngày 01/3-31/3/2013</t>
  </si>
  <si>
    <t>1</t>
  </si>
  <si>
    <t>2</t>
  </si>
  <si>
    <t>3</t>
  </si>
  <si>
    <t>4</t>
  </si>
  <si>
    <t>5</t>
  </si>
  <si>
    <t>6</t>
  </si>
  <si>
    <t>7</t>
  </si>
  <si>
    <t>8</t>
  </si>
  <si>
    <t>9</t>
  </si>
  <si>
    <t>Để HS xảy ra TNLĐ trong giờ dạy</t>
  </si>
  <si>
    <t>Sinh con thứ 3</t>
  </si>
  <si>
    <t xml:space="preserve">Vắng coi thi </t>
  </si>
  <si>
    <t>Lên lớp trễ</t>
  </si>
  <si>
    <t>Học lớp FCE 8N, Coi thi trễ</t>
  </si>
  <si>
    <t>Nghỉ 10 tiết</t>
  </si>
  <si>
    <t>Trừ 1N nghỉ việc riêng 
Vắng coi thi</t>
  </si>
  <si>
    <t>Coi thi trễ</t>
  </si>
  <si>
    <t>Trừ 1N nghỉ phép
Nghỉ 6 tiết, nghỉ tập huấn NCKHSPƯD</t>
  </si>
  <si>
    <t>Tháng 4 chuyển Cô Tránh qua HĐ trường</t>
  </si>
  <si>
    <t>Tháng 4 nghỉ việc</t>
  </si>
  <si>
    <t>(Chi theo Chương II - "Những quy định cụ thể"/ Mục 2 - "Chi thanh toán cá nhân"/ Điều 17 - "Các khoản thanh toán cá nhân"/ Khoản 1.2 -
"Tiền lương tăng thêm" trong Quy chế chi tiêu nội bộ năm học 2012 - 2013 ban hành theo Quyết định số 83/QĐ-LTT-KTTC ngày 23 tháng 01 năm 2013)</t>
  </si>
  <si>
    <t>(Chi theo Chương II - "Những quy định cụ thể"/ Mục 2 - "Chi thanh toán cá nhân"/ Điều 17 - "Các khoản thanh toán cá nhân"/ Khoản 1.2 -
"Tiền lương tăng thêm" trong Quy chế chi tiêu nội bộ năm học 2012 - 2013 ban hành theo Quyết định số 83/QĐ-LTT-KTTC ngày 23 tháng 01 năm 2013</t>
  </si>
  <si>
    <t>A=0,50, B=0,30, C=0,10, D=0</t>
  </si>
  <si>
    <t>Tham gia tập huấn Công tác triển khai thực hiện dự toán 2013….2N</t>
  </si>
  <si>
    <t>Đi công tác tại miền Trung và 2N  tham gia tập huấn Công tác triển khai thực hiện dự toán 2013…. 5N</t>
  </si>
  <si>
    <t>Đi công tác tại miền Tây 6N</t>
  </si>
  <si>
    <t>Đi công tác vớ Sở GDĐT 5N</t>
  </si>
  <si>
    <t>Đi công tác tại miền Tây 5N và 1N đi tư vấn tuyển sinh, trừ 1N nghỉ bù</t>
  </si>
  <si>
    <t>(Chi theo Chương II - "Những quy định cụ thể"/ Mục 2 - "Chi thanh toán cá nhân"/ Điều 17 - "Các khoản thanh toán cá nhân"/ Khoản 1.2 - "Thu nhập tăng thêm" trong Quy chế chi tiêu nội bộ năm học 2012 - 2013 ban hành theo Quyết định số 521B/QĐ-LTT-KTTC ngày 10 tháng 04 năm 2013)</t>
  </si>
  <si>
    <t>Truy lãnh lương điều chỉnh do nâng bậc lương</t>
  </si>
  <si>
    <t>Vũ Thị Thu Thủy</t>
  </si>
  <si>
    <t>Lê Thị Hồng Vân</t>
  </si>
  <si>
    <t>Giáp Thị Vượng</t>
  </si>
  <si>
    <t>Nguyễn Mạnh Phương</t>
  </si>
  <si>
    <t>Phan Thị Thùy Trang</t>
  </si>
  <si>
    <t>Trần Thị Ánh Tuyết</t>
  </si>
  <si>
    <t>Trần Thị Thu Hà</t>
  </si>
  <si>
    <t>CỘNG HÒA XÃ HỘI CHỦ NGHĨA VIỆT NAM</t>
  </si>
  <si>
    <t>TRƯỜNG CAO ĐẲNG KỸ THUẬT</t>
  </si>
  <si>
    <t xml:space="preserve">Độc lập - Tự do - Hạnh phúc </t>
  </si>
  <si>
    <t xml:space="preserve">LÝ TỰ TRỌNG </t>
  </si>
  <si>
    <t>STT</t>
  </si>
  <si>
    <t xml:space="preserve">HỌ VÀ TÊN </t>
  </si>
  <si>
    <t>HS LƯƠNG +PCCV</t>
  </si>
  <si>
    <t>LƯƠNG</t>
  </si>
  <si>
    <t>Số ngày công thực hiện</t>
  </si>
  <si>
    <t>A</t>
  </si>
  <si>
    <t xml:space="preserve"> NGƯỜI LẬP BẢNG</t>
  </si>
  <si>
    <t>XẾP LOẠI</t>
  </si>
  <si>
    <t>Số ngày công kế hoạch</t>
  </si>
  <si>
    <t xml:space="preserve">Nguyễn Văn </t>
  </si>
  <si>
    <t>HÒA</t>
  </si>
  <si>
    <t>Võ Thị Khánh</t>
  </si>
  <si>
    <t>VÂN</t>
  </si>
  <si>
    <t xml:space="preserve">CỘNG </t>
  </si>
  <si>
    <t>MINH</t>
  </si>
  <si>
    <t>SƠN</t>
  </si>
  <si>
    <t xml:space="preserve">Nguyễn Thị </t>
  </si>
  <si>
    <t>Nguyễn Hồng</t>
  </si>
  <si>
    <t>THANH</t>
  </si>
  <si>
    <t xml:space="preserve">Trần Thị Thúy </t>
  </si>
  <si>
    <t>NGA</t>
  </si>
  <si>
    <t>THỦY</t>
  </si>
  <si>
    <t xml:space="preserve">Trần Quốc </t>
  </si>
  <si>
    <t xml:space="preserve">TUẤN </t>
  </si>
  <si>
    <t xml:space="preserve">Phạm Thị </t>
  </si>
  <si>
    <t>ĐỨC</t>
  </si>
  <si>
    <t>Lê Tấn</t>
  </si>
  <si>
    <t>LONG</t>
  </si>
  <si>
    <t xml:space="preserve">Trương Thị </t>
  </si>
  <si>
    <t>LỢI</t>
  </si>
  <si>
    <t>HÀ</t>
  </si>
  <si>
    <t>HỒNG</t>
  </si>
  <si>
    <t>ANH</t>
  </si>
  <si>
    <t>HƯƠNG</t>
  </si>
  <si>
    <t>CÔNG</t>
  </si>
  <si>
    <t xml:space="preserve">Đỗ Văn </t>
  </si>
  <si>
    <t>HÙNG</t>
  </si>
  <si>
    <t>Nguyễn Văn</t>
  </si>
  <si>
    <t>DŨNG</t>
  </si>
  <si>
    <t xml:space="preserve">Lương Xuân </t>
  </si>
  <si>
    <t xml:space="preserve">CHỈNH </t>
  </si>
  <si>
    <t xml:space="preserve">Đinh Hồng </t>
  </si>
  <si>
    <t xml:space="preserve">Hồ Thị </t>
  </si>
  <si>
    <t>TUYẾT</t>
  </si>
  <si>
    <t>Trần Văn</t>
  </si>
  <si>
    <t>LÝ</t>
  </si>
  <si>
    <t xml:space="preserve">Trang Thị Xuân </t>
  </si>
  <si>
    <t>UYÊN</t>
  </si>
  <si>
    <t>Lê Hùng</t>
  </si>
  <si>
    <t xml:space="preserve">Lê Xuân </t>
  </si>
  <si>
    <t>THIỆN</t>
  </si>
  <si>
    <t xml:space="preserve">Nguyễn Thanh Vĩnh </t>
  </si>
  <si>
    <t xml:space="preserve">PHÚC </t>
  </si>
  <si>
    <t xml:space="preserve">Trần Thị Thu </t>
  </si>
  <si>
    <t xml:space="preserve">Phạm Ngọc </t>
  </si>
  <si>
    <t>Lâm Thị</t>
  </si>
  <si>
    <t>TRÁNH</t>
  </si>
  <si>
    <t>HUÊ</t>
  </si>
  <si>
    <t xml:space="preserve">Nguyễn Thị Kim </t>
  </si>
  <si>
    <t>DUNG</t>
  </si>
  <si>
    <t xml:space="preserve">Nguyễn Hải </t>
  </si>
  <si>
    <t>Hồ Minh</t>
  </si>
  <si>
    <t>HOA</t>
  </si>
  <si>
    <t>Huỳnh Thị Xuân</t>
  </si>
  <si>
    <t>MAI</t>
  </si>
  <si>
    <t>LÂM</t>
  </si>
  <si>
    <t>Nguyễn Ngọc</t>
  </si>
  <si>
    <t>TRANG</t>
  </si>
  <si>
    <t>TẤN</t>
  </si>
  <si>
    <t xml:space="preserve">Võ Thị Anh </t>
  </si>
  <si>
    <t>ĐÀO</t>
  </si>
  <si>
    <t>Hồ Văn</t>
  </si>
  <si>
    <t>SĨ</t>
  </si>
  <si>
    <t>Nguyễn Thị Ánh</t>
  </si>
  <si>
    <t>THU</t>
  </si>
  <si>
    <t xml:space="preserve">Võ Thị Xuân </t>
  </si>
  <si>
    <t>THƠ</t>
  </si>
  <si>
    <t xml:space="preserve">Huỳnh Thị </t>
  </si>
  <si>
    <t xml:space="preserve">Hoàng Ngọc </t>
  </si>
  <si>
    <t>CẢNH</t>
  </si>
  <si>
    <t>Nguyễn Thanh</t>
  </si>
  <si>
    <t xml:space="preserve">Bùi Hiền </t>
  </si>
  <si>
    <t xml:space="preserve">Lê Thế </t>
  </si>
  <si>
    <t>SAN</t>
  </si>
  <si>
    <t>Hà Nhật</t>
  </si>
  <si>
    <t xml:space="preserve">Nguyễn Ngọc </t>
  </si>
  <si>
    <t xml:space="preserve">HIỆP </t>
  </si>
  <si>
    <t>Phan Đức</t>
  </si>
  <si>
    <t>Nguyễn Tất</t>
  </si>
  <si>
    <t xml:space="preserve">THẮNG </t>
  </si>
  <si>
    <t xml:space="preserve">Lê Thị </t>
  </si>
  <si>
    <t>NỮ</t>
  </si>
  <si>
    <t xml:space="preserve">Trương Việt Khánh </t>
  </si>
  <si>
    <t xml:space="preserve">Đặng Thị Nhật </t>
  </si>
  <si>
    <t xml:space="preserve">LINH </t>
  </si>
  <si>
    <t>Đỗ Ngọc</t>
  </si>
  <si>
    <t>MỸ</t>
  </si>
  <si>
    <t xml:space="preserve">Trần Kim Thu </t>
  </si>
  <si>
    <t>LIỄU</t>
  </si>
  <si>
    <t>Nguyễn Phương</t>
  </si>
  <si>
    <t>Nguyễn Thị Huyền</t>
  </si>
  <si>
    <t>Nguyễn Quỳnh</t>
  </si>
  <si>
    <t>GIAO</t>
  </si>
  <si>
    <t>ĐÔNG</t>
  </si>
  <si>
    <t>Đặng Thị Kiến</t>
  </si>
  <si>
    <t>TRÚC</t>
  </si>
  <si>
    <t>Cao Đình Trung</t>
  </si>
  <si>
    <t>HẬU</t>
  </si>
  <si>
    <t xml:space="preserve">Nguyễn Tiến </t>
  </si>
  <si>
    <t>DƯƠNG</t>
  </si>
  <si>
    <t>Phạm Thị Thu</t>
  </si>
  <si>
    <t xml:space="preserve">Cao Thị </t>
  </si>
  <si>
    <t>Nguyễn Thị Cẩm</t>
  </si>
  <si>
    <t>THẠCH</t>
  </si>
  <si>
    <t>TÚ</t>
  </si>
  <si>
    <t xml:space="preserve">Lương Thị Thanh </t>
  </si>
  <si>
    <t>Nguyễn Anh</t>
  </si>
  <si>
    <t>KIỆT</t>
  </si>
  <si>
    <t>Trần Thị Hồng</t>
  </si>
  <si>
    <t>Lê Thị Hồng</t>
  </si>
  <si>
    <t>DINH</t>
  </si>
  <si>
    <t>CHÂU</t>
  </si>
  <si>
    <t xml:space="preserve">Nguyễn Đức </t>
  </si>
  <si>
    <t xml:space="preserve">Lê Thái </t>
  </si>
  <si>
    <t xml:space="preserve">Nguyễn Thị Thu </t>
  </si>
  <si>
    <t xml:space="preserve">HOÀI </t>
  </si>
  <si>
    <t>YẾN</t>
  </si>
  <si>
    <t>Nguyễn Thị Minh</t>
  </si>
  <si>
    <t>QUÝ</t>
  </si>
  <si>
    <t>Trương Thị Minh</t>
  </si>
  <si>
    <t>Trần Bạch</t>
  </si>
  <si>
    <t xml:space="preserve">Vương Thanh </t>
  </si>
  <si>
    <t xml:space="preserve">Nguyễn Thị Bảo </t>
  </si>
  <si>
    <t>TRÂN</t>
  </si>
  <si>
    <t>TÂM</t>
  </si>
  <si>
    <t xml:space="preserve">Nguyễn Thị Thanh </t>
  </si>
  <si>
    <t xml:space="preserve">Nguyễn Huỳnh </t>
  </si>
  <si>
    <t>LIÊN</t>
  </si>
  <si>
    <t xml:space="preserve">Võ Thúy </t>
  </si>
  <si>
    <t>PHƯƠNG</t>
  </si>
  <si>
    <t>Trần Ngọc</t>
  </si>
  <si>
    <t>ÁNH</t>
  </si>
  <si>
    <t>Phạm Thị</t>
  </si>
  <si>
    <t>PHƯỢNG</t>
  </si>
  <si>
    <t xml:space="preserve">Nguyễn Chí </t>
  </si>
  <si>
    <t xml:space="preserve">NGÃI </t>
  </si>
  <si>
    <t xml:space="preserve">Vũ Quang </t>
  </si>
  <si>
    <t xml:space="preserve">KHẢI </t>
  </si>
  <si>
    <t xml:space="preserve">Phan Thị Xuân </t>
  </si>
  <si>
    <t>Trần Thị</t>
  </si>
  <si>
    <t>LỆ</t>
  </si>
  <si>
    <t>Bùi Thị</t>
  </si>
  <si>
    <t>CỬU</t>
  </si>
  <si>
    <t xml:space="preserve">ANH </t>
  </si>
  <si>
    <t xml:space="preserve">Ngô Hoàng </t>
  </si>
  <si>
    <t xml:space="preserve">Nguyễn Thanh </t>
  </si>
  <si>
    <t>VŨ</t>
  </si>
  <si>
    <t>Nguyễn Vân</t>
  </si>
  <si>
    <t>GIANG</t>
  </si>
  <si>
    <t xml:space="preserve">Nguyễn </t>
  </si>
  <si>
    <t>KHOA</t>
  </si>
  <si>
    <t>Nguyễn Thị</t>
  </si>
  <si>
    <t>Võ Anh</t>
  </si>
  <si>
    <t>QUYÊN</t>
  </si>
  <si>
    <t>Vũ Thị Thái</t>
  </si>
  <si>
    <t>Nguyễn Sanh</t>
  </si>
  <si>
    <t>CƯỜNG</t>
  </si>
  <si>
    <t>Đỗ Tuấn</t>
  </si>
  <si>
    <t>VIỆT</t>
  </si>
  <si>
    <t xml:space="preserve">Lê Quý Hưng </t>
  </si>
  <si>
    <t>QUỐC</t>
  </si>
  <si>
    <t>TRÍ</t>
  </si>
  <si>
    <t xml:space="preserve">Hà Phước </t>
  </si>
  <si>
    <t>NHÂN</t>
  </si>
  <si>
    <t>Phan Văn</t>
  </si>
  <si>
    <t>THÀNH</t>
  </si>
  <si>
    <t>Nguyễn Hoài</t>
  </si>
  <si>
    <t>NAM</t>
  </si>
  <si>
    <t xml:space="preserve">Đỗ Thị Phương </t>
  </si>
  <si>
    <t>KHANH</t>
  </si>
  <si>
    <t xml:space="preserve">Trương Thị Phương </t>
  </si>
  <si>
    <t xml:space="preserve">Võ Minh </t>
  </si>
  <si>
    <t>QUANG</t>
  </si>
  <si>
    <t xml:space="preserve">Nguyễn Tam </t>
  </si>
  <si>
    <t>CƯƠNG</t>
  </si>
  <si>
    <t xml:space="preserve">Vũ Đức </t>
  </si>
  <si>
    <t>PHÁP</t>
  </si>
  <si>
    <t>Chung Trần Thế</t>
  </si>
  <si>
    <t>VINH</t>
  </si>
  <si>
    <t>Dương Minh</t>
  </si>
  <si>
    <t>CHUNG</t>
  </si>
  <si>
    <t xml:space="preserve">Nguyễn Thanh  </t>
  </si>
  <si>
    <t xml:space="preserve">Lê Hồng </t>
  </si>
  <si>
    <t>YÊN</t>
  </si>
  <si>
    <t xml:space="preserve">Nguyễn Minh </t>
  </si>
  <si>
    <t xml:space="preserve">ĐỨC </t>
  </si>
  <si>
    <t>TĂNG</t>
  </si>
  <si>
    <t>Tạ Minh</t>
  </si>
  <si>
    <t>HUÂN</t>
  </si>
  <si>
    <t xml:space="preserve">Trần Trung </t>
  </si>
  <si>
    <t>HIẾU</t>
  </si>
  <si>
    <t>Nguyễn Trọng</t>
  </si>
  <si>
    <t>Quách Minh</t>
  </si>
  <si>
    <t>THỬ</t>
  </si>
  <si>
    <t>Mạnh Lê</t>
  </si>
  <si>
    <t>HOÀN</t>
  </si>
  <si>
    <t>Phạm Minh</t>
  </si>
  <si>
    <t>NGHĨA</t>
  </si>
  <si>
    <t>Huỳnh Ngọc</t>
  </si>
  <si>
    <t xml:space="preserve">Nguyễn Hồng </t>
  </si>
  <si>
    <t>Trần Công</t>
  </si>
  <si>
    <t>TIẾN</t>
  </si>
  <si>
    <t>Nguyễn Tứ</t>
  </si>
  <si>
    <t xml:space="preserve">CẢNH </t>
  </si>
  <si>
    <t>Võ</t>
  </si>
  <si>
    <t>Nguyễn Trần Thanh</t>
  </si>
  <si>
    <t>NHÀN</t>
  </si>
  <si>
    <t>Tăng Cẩm</t>
  </si>
  <si>
    <t>Trần Hiếu</t>
  </si>
  <si>
    <t>TRINH</t>
  </si>
  <si>
    <t>Nguyễn Thị Tố</t>
  </si>
  <si>
    <t>Lê Tiến</t>
  </si>
  <si>
    <t xml:space="preserve">ĐẠT </t>
  </si>
  <si>
    <t>Đặng Đức</t>
  </si>
  <si>
    <t>Nguyễn Thị Ngọc</t>
  </si>
  <si>
    <t>HIỀN</t>
  </si>
  <si>
    <t>Bốc Minh</t>
  </si>
  <si>
    <t>Ngô Phong</t>
  </si>
  <si>
    <t>Võ Phước</t>
  </si>
  <si>
    <t>Đặng Thế</t>
  </si>
  <si>
    <t>HÀO</t>
  </si>
  <si>
    <t>Hà Chí</t>
  </si>
  <si>
    <t>Võ Thiện</t>
  </si>
  <si>
    <t xml:space="preserve">Võ Đắc </t>
  </si>
  <si>
    <t>THỊNH</t>
  </si>
  <si>
    <t>Đàm Quang</t>
  </si>
  <si>
    <t xml:space="preserve">Nguyễn Hữu </t>
  </si>
  <si>
    <t>MẠNH</t>
  </si>
  <si>
    <t xml:space="preserve">Nguyễn Phụ Thượng </t>
  </si>
  <si>
    <t>LƯU</t>
  </si>
  <si>
    <t>Trần Thị Phương</t>
  </si>
  <si>
    <t>OANH</t>
  </si>
  <si>
    <t>Phan Anh Tuấn</t>
  </si>
  <si>
    <t xml:space="preserve">Trần Anh Nga </t>
  </si>
  <si>
    <t>Ngô Thanh</t>
  </si>
  <si>
    <t xml:space="preserve">Trần Mỹ </t>
  </si>
  <si>
    <t xml:space="preserve">Văn Trí </t>
  </si>
  <si>
    <t>THÀNH TIỀN</t>
  </si>
  <si>
    <t>Nguyễn Nguyên Hoàng Ngọc</t>
  </si>
  <si>
    <t xml:space="preserve"> Phạm Ngọc Long </t>
  </si>
  <si>
    <t>THẢO</t>
  </si>
  <si>
    <t>MY</t>
  </si>
  <si>
    <t>NHUẬN</t>
  </si>
  <si>
    <t>TUẤN</t>
  </si>
  <si>
    <t>ĐIỀN</t>
  </si>
  <si>
    <t>Nguyễn Thị Thanh</t>
  </si>
  <si>
    <t>CỘNG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</si>
  <si>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</si>
  <si>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</si>
  <si>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</si>
  <si>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</si>
  <si>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</si>
  <si>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</si>
  <si>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</si>
  <si>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</si>
  <si>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</si>
  <si>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</si>
  <si>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</si>
  <si>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</si>
  <si>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</si>
  <si>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</si>
  <si>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</si>
  <si>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</si>
  <si>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</si>
  <si>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</si>
  <si>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HUỆ</t>
  </si>
  <si>
    <t>Phạm Dương Hoàng</t>
  </si>
  <si>
    <t>Phan Thị Mai</t>
  </si>
  <si>
    <t>19</t>
  </si>
  <si>
    <t>20</t>
  </si>
  <si>
    <t>21</t>
  </si>
  <si>
    <t>CÁN BỘ VIÊN CHỨC TRONG CHỈ TIÊU BIÊN CHẾ - TRƯỜNG TRUNG HỌC PHỔ THÔNG</t>
  </si>
  <si>
    <t>CÁN BỘ VIÊN CHỨC  TRONG CHỈ TIÊU BIÊN CHẾ  - KHỐI CHUYÊN NGHIỆP</t>
  </si>
  <si>
    <t>CÁN BỘ VIÊN CHỨC TRONG CHỈ TIÊU BIÊN CHẾ - TRUNG TÂM DẠY NGHỀ VÀ NBT</t>
  </si>
  <si>
    <t>HS (hide)</t>
  </si>
  <si>
    <t>VK (hide)</t>
  </si>
  <si>
    <t>HS THỰC HƯỞNG (hide)</t>
  </si>
  <si>
    <t>HSPC (hide)</t>
  </si>
  <si>
    <t>CỘNG LƯƠNG (hide)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</si>
  <si>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</si>
  <si>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</si>
  <si>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</si>
  <si>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</si>
  <si>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</si>
  <si>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</si>
  <si>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</si>
  <si>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</si>
  <si>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</si>
  <si>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</si>
  <si>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</si>
  <si>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</si>
  <si>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</si>
  <si>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</si>
  <si>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</si>
  <si>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</si>
  <si>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</si>
  <si>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</si>
  <si>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</si>
  <si>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</si>
  <si>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</si>
  <si>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</si>
  <si>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</si>
  <si>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</si>
  <si>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</si>
  <si>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 xml:space="preserve">Phan Thị Ngọc </t>
  </si>
  <si>
    <t xml:space="preserve">Vũ Như </t>
  </si>
  <si>
    <t>QUỲNH</t>
  </si>
  <si>
    <t>Giáp Đức</t>
  </si>
  <si>
    <t>NHẬN</t>
  </si>
  <si>
    <t xml:space="preserve">PHÚ </t>
  </si>
  <si>
    <t>Vũ Ngọc</t>
  </si>
  <si>
    <t>Trần Liên Đoan</t>
  </si>
  <si>
    <t>VỌNG</t>
  </si>
  <si>
    <t>Dương Ngọc</t>
  </si>
  <si>
    <t>Nguyễn Hữu</t>
  </si>
  <si>
    <t>THẮM</t>
  </si>
  <si>
    <t xml:space="preserve">Đỗ Thị </t>
  </si>
  <si>
    <t xml:space="preserve">Lương Thị </t>
  </si>
  <si>
    <t>Đơn vị tính: đồng</t>
  </si>
  <si>
    <t>Số tiền thi đua không tính ngày (hide)</t>
  </si>
  <si>
    <t>HỆ SỐ TRUY LÃNH LƯƠNG (CỘT NÀY HIDE)</t>
  </si>
  <si>
    <t>HỆ SỐ TRUY LÃNH PCCV (CỘT NÀY HIDE)</t>
  </si>
  <si>
    <t xml:space="preserve">ĐỨC (B) </t>
  </si>
  <si>
    <t>Mức lương theo hệ số điều chỉnh</t>
  </si>
  <si>
    <t>Lương điều chỉnh tính theo ngày công thực hiện/tháng</t>
  </si>
  <si>
    <t>Truy lãnh lương điều chỉnh do truy lãnh lương</t>
  </si>
  <si>
    <t>Truy lãnh lương điều chỉnh do truy lãnh PCCV</t>
  </si>
  <si>
    <t>Trường hỗ trợ 1% BHYT</t>
  </si>
  <si>
    <t>KẾ TOÁN TRƯỞNG</t>
  </si>
  <si>
    <t>HỆ SỐ TRUY LÃNH PCCV (HIDE) chia 2</t>
  </si>
  <si>
    <t>Trần Văn Cu</t>
  </si>
  <si>
    <t xml:space="preserve">Truy lãnh lương điều chỉnh do truy lãnh lương </t>
  </si>
  <si>
    <t>Hsđc:</t>
  </si>
  <si>
    <t>DUY</t>
  </si>
  <si>
    <t>HIỆP</t>
  </si>
  <si>
    <t>Lê Thị Ngọc</t>
  </si>
  <si>
    <t>CHIÊU</t>
  </si>
  <si>
    <t>LAN</t>
  </si>
  <si>
    <t xml:space="preserve">Vũ Hạnh </t>
  </si>
  <si>
    <t>Võ Thị Hồng</t>
  </si>
  <si>
    <t>HẠNH</t>
  </si>
  <si>
    <t>HUY</t>
  </si>
  <si>
    <t>HUYÊN</t>
  </si>
  <si>
    <t>TÂN</t>
  </si>
  <si>
    <t>PHONG</t>
  </si>
  <si>
    <t>TUYỀN</t>
  </si>
  <si>
    <t>THƯ</t>
  </si>
  <si>
    <t>ĐẠT</t>
  </si>
  <si>
    <t>KHÁNH</t>
  </si>
  <si>
    <t>THÁI</t>
  </si>
  <si>
    <t>ĐOÀN</t>
  </si>
  <si>
    <t>KHẢI</t>
  </si>
  <si>
    <t>NGUYÊN</t>
  </si>
  <si>
    <t>TIÊN</t>
  </si>
  <si>
    <t>HẰNG</t>
  </si>
  <si>
    <t>BÌNH</t>
  </si>
  <si>
    <t>VĂN</t>
  </si>
  <si>
    <t>Nguyễn Huỳnh Mai</t>
  </si>
  <si>
    <t>Trần Thị Ánh</t>
  </si>
  <si>
    <t xml:space="preserve">Hà Như </t>
  </si>
  <si>
    <t>Phan Thị Thùy</t>
  </si>
  <si>
    <t xml:space="preserve">Đinh Thị </t>
  </si>
  <si>
    <t>Nguyễn Phú</t>
  </si>
  <si>
    <t>Nguyễn Mạnh</t>
  </si>
  <si>
    <t>Nguyễn Cao</t>
  </si>
  <si>
    <t>Bùi Văn</t>
  </si>
  <si>
    <t>Lê Minh</t>
  </si>
  <si>
    <t>Nguyễn Thị Khánh</t>
  </si>
  <si>
    <t>Trần Việt</t>
  </si>
  <si>
    <t>Đỗ Thị Hải</t>
  </si>
  <si>
    <t xml:space="preserve">Đặng Ngọc </t>
  </si>
  <si>
    <t>Trần Đình</t>
  </si>
  <si>
    <t>Triệu Phú</t>
  </si>
  <si>
    <t>Nguyễn Thành</t>
  </si>
  <si>
    <t>Phạm Nguyên</t>
  </si>
  <si>
    <t>Trương Thị Thủy</t>
  </si>
  <si>
    <t>Huỳnh Thị Kim</t>
  </si>
  <si>
    <t>Đinh Công</t>
  </si>
  <si>
    <t>Nguyễn Thị Mỹ</t>
  </si>
  <si>
    <t>Đỗ Hiếu</t>
  </si>
  <si>
    <t xml:space="preserve">Trần Thị </t>
  </si>
  <si>
    <t xml:space="preserve">Trần Ngọc </t>
  </si>
  <si>
    <t>Đỗ Thị</t>
  </si>
  <si>
    <t>Lê Anh</t>
  </si>
  <si>
    <t xml:space="preserve">HỆ SỐ TRUY LÃNH LƯƠNG (CỘT NÀY HIDE) </t>
  </si>
  <si>
    <t xml:space="preserve">HỆ SỐ TRUY LÃNH LƯƠNG (HIDE) </t>
  </si>
  <si>
    <t>Đỗ Trọng</t>
  </si>
  <si>
    <t>Lê Tất</t>
  </si>
  <si>
    <t>Lư Thị Yến</t>
  </si>
  <si>
    <t>1603205182359</t>
  </si>
  <si>
    <t>1603205182365</t>
  </si>
  <si>
    <t>1603205186206</t>
  </si>
  <si>
    <t>1603205186191</t>
  </si>
  <si>
    <t>1603205185970</t>
  </si>
  <si>
    <t>1603205185964</t>
  </si>
  <si>
    <t>1603205186156</t>
  </si>
  <si>
    <t>1603205186185</t>
  </si>
  <si>
    <t>1603205185958</t>
  </si>
  <si>
    <t>1603205186140</t>
  </si>
  <si>
    <t>1603205186133</t>
  </si>
  <si>
    <t>1603205186179</t>
  </si>
  <si>
    <t>1603205186162</t>
  </si>
  <si>
    <t>1603205186127</t>
  </si>
  <si>
    <t>1603205186077</t>
  </si>
  <si>
    <t>1603205185935</t>
  </si>
  <si>
    <t>1603205185912</t>
  </si>
  <si>
    <t>1603205178657</t>
  </si>
  <si>
    <t>1603205182313</t>
  </si>
  <si>
    <t>1603205182336</t>
  </si>
  <si>
    <t>1603205182342</t>
  </si>
  <si>
    <t>1603205178809</t>
  </si>
  <si>
    <t>1603205178815</t>
  </si>
  <si>
    <t>1603205178850</t>
  </si>
  <si>
    <t>1603205178821</t>
  </si>
  <si>
    <t>1603205179138</t>
  </si>
  <si>
    <t>1603205186786</t>
  </si>
  <si>
    <t>1603205182270</t>
  </si>
  <si>
    <t>1603205182292</t>
  </si>
  <si>
    <t>1603205185675</t>
  </si>
  <si>
    <t>1603205185646</t>
  </si>
  <si>
    <t>1603205185681</t>
  </si>
  <si>
    <t>1603205185702</t>
  </si>
  <si>
    <t>1603205185760</t>
  </si>
  <si>
    <t>1603205185698</t>
  </si>
  <si>
    <t>1603205185652</t>
  </si>
  <si>
    <t>1603205178742</t>
  </si>
  <si>
    <t>1603205179121</t>
  </si>
  <si>
    <t>1603205179167</t>
  </si>
  <si>
    <t>1603205179150</t>
  </si>
  <si>
    <t>1603205179173</t>
  </si>
  <si>
    <t>1603205179180</t>
  </si>
  <si>
    <t>1603205179196</t>
  </si>
  <si>
    <t>1603205182523</t>
  </si>
  <si>
    <t>1603205182530</t>
  </si>
  <si>
    <t>1603205186308</t>
  </si>
  <si>
    <t>1603205186337</t>
  </si>
  <si>
    <t>1603205186350</t>
  </si>
  <si>
    <t>1603205189784</t>
  </si>
  <si>
    <t>1603205235144</t>
  </si>
  <si>
    <t>1603205186416</t>
  </si>
  <si>
    <t>1603205189886</t>
  </si>
  <si>
    <t>1603205186501</t>
  </si>
  <si>
    <t>1603205189790</t>
  </si>
  <si>
    <t>1603205185580</t>
  </si>
  <si>
    <t>1603205186632</t>
  </si>
  <si>
    <t>1603205186400</t>
  </si>
  <si>
    <t>1603205186372</t>
  </si>
  <si>
    <t>1603205186582</t>
  </si>
  <si>
    <t>1603205189965</t>
  </si>
  <si>
    <t>1603205229027</t>
  </si>
  <si>
    <t>1603205186366</t>
  </si>
  <si>
    <t>1603205189913</t>
  </si>
  <si>
    <t>1603205186480</t>
  </si>
  <si>
    <t>1603205189761</t>
  </si>
  <si>
    <t>1603205189942</t>
  </si>
  <si>
    <t>1603205228841</t>
  </si>
  <si>
    <t>1603205186497</t>
  </si>
  <si>
    <t>1603205186468</t>
  </si>
  <si>
    <t>1603205190074</t>
  </si>
  <si>
    <t>1603205190068</t>
  </si>
  <si>
    <t>1603205229368</t>
  </si>
  <si>
    <t>1603205229056</t>
  </si>
  <si>
    <t>1603205186518</t>
  </si>
  <si>
    <t>1603205186599</t>
  </si>
  <si>
    <t>1603205189811</t>
  </si>
  <si>
    <t>1603205186314</t>
  </si>
  <si>
    <t>1603205189907</t>
  </si>
  <si>
    <t>1603205190147</t>
  </si>
  <si>
    <t>1603205189936</t>
  </si>
  <si>
    <t>1603205189920</t>
  </si>
  <si>
    <t>1603205189971</t>
  </si>
  <si>
    <t>1603205219414</t>
  </si>
  <si>
    <t>1603205218440</t>
  </si>
  <si>
    <t>1603205185051</t>
  </si>
  <si>
    <t>1603205185311</t>
  </si>
  <si>
    <t>1603205185160</t>
  </si>
  <si>
    <t>1603205185334</t>
  </si>
  <si>
    <t>1603205185210</t>
  </si>
  <si>
    <t>1603205185284</t>
  </si>
  <si>
    <t>1603205185118</t>
  </si>
  <si>
    <t>1603205185305</t>
  </si>
  <si>
    <t>1603205185278</t>
  </si>
  <si>
    <t>1603205185199</t>
  </si>
  <si>
    <t>1603205185203</t>
  </si>
  <si>
    <t>1603205234692</t>
  </si>
  <si>
    <t>1603205232198</t>
  </si>
  <si>
    <t>1603205233313</t>
  </si>
  <si>
    <t>1603205233178</t>
  </si>
  <si>
    <t>1603205232890</t>
  </si>
  <si>
    <t>1603205224450</t>
  </si>
  <si>
    <t>1603205234010</t>
  </si>
  <si>
    <t>1603205235506</t>
  </si>
  <si>
    <t>1603205231376</t>
  </si>
  <si>
    <t>1603205233018</t>
  </si>
  <si>
    <t>1603205185147</t>
  </si>
  <si>
    <t>1603205179109</t>
  </si>
  <si>
    <t>1603205189630</t>
  </si>
  <si>
    <t>1603205182155</t>
  </si>
  <si>
    <t>1603205182184</t>
  </si>
  <si>
    <t>1603205196694</t>
  </si>
  <si>
    <t>1603205182126</t>
  </si>
  <si>
    <t>1603205182211</t>
  </si>
  <si>
    <t>1603205182228</t>
  </si>
  <si>
    <t>1603205182257</t>
  </si>
  <si>
    <t>1603205182234</t>
  </si>
  <si>
    <t>1603205182132</t>
  </si>
  <si>
    <t>1603205182149</t>
  </si>
  <si>
    <t>1603205182205</t>
  </si>
  <si>
    <t>1603205189710</t>
  </si>
  <si>
    <t>1603205185600</t>
  </si>
  <si>
    <t>1603205185617</t>
  </si>
  <si>
    <t>1603205185550</t>
  </si>
  <si>
    <t>1603205185521</t>
  </si>
  <si>
    <t>1603205185573</t>
  </si>
  <si>
    <t>1603205189699</t>
  </si>
  <si>
    <t>1904201049390</t>
  </si>
  <si>
    <t>1603205234187</t>
  </si>
  <si>
    <t>1603205182388</t>
  </si>
  <si>
    <t>1603205182371</t>
  </si>
  <si>
    <t>1603205189703</t>
  </si>
  <si>
    <t>1603205182500</t>
  </si>
  <si>
    <t>1603205182496</t>
  </si>
  <si>
    <t>1603205182438</t>
  </si>
  <si>
    <t>1603205182517</t>
  </si>
  <si>
    <t>1603205182450</t>
  </si>
  <si>
    <t>1603205182480</t>
  </si>
  <si>
    <t>1603205182444</t>
  </si>
  <si>
    <t>1603205182409</t>
  </si>
  <si>
    <t>1603205182415</t>
  </si>
  <si>
    <t>1603205182473</t>
  </si>
  <si>
    <t>1603205182190</t>
  </si>
  <si>
    <t>1603205185488</t>
  </si>
  <si>
    <t>1603205185515</t>
  </si>
  <si>
    <t>1603205185596</t>
  </si>
  <si>
    <t>1603205189726</t>
  </si>
  <si>
    <t>1603205178896</t>
  </si>
  <si>
    <t>1603205179042</t>
  </si>
  <si>
    <t>1603205179007</t>
  </si>
  <si>
    <t>1603205178917</t>
  </si>
  <si>
    <t>1603205179013</t>
  </si>
  <si>
    <t>1603205179036</t>
  </si>
  <si>
    <t>1603205178923</t>
  </si>
  <si>
    <t>1603205178975</t>
  </si>
  <si>
    <t>1603205178981</t>
  </si>
  <si>
    <t>1603205178969</t>
  </si>
  <si>
    <t>1603205178998</t>
  </si>
  <si>
    <t>1603205179020</t>
  </si>
  <si>
    <t>1603205178900</t>
  </si>
  <si>
    <t>1603205178930</t>
  </si>
  <si>
    <t>1603205178952</t>
  </si>
  <si>
    <t>1603205182581</t>
  </si>
  <si>
    <t>1603205182690</t>
  </si>
  <si>
    <t>1603205182660</t>
  </si>
  <si>
    <t>1603205182654</t>
  </si>
  <si>
    <t>1603205182602</t>
  </si>
  <si>
    <t>1603205231796</t>
  </si>
  <si>
    <t>1603205036044</t>
  </si>
  <si>
    <t>1603205178692</t>
  </si>
  <si>
    <t>CẦM</t>
  </si>
  <si>
    <t>1603205399028</t>
  </si>
  <si>
    <t>KIÊN</t>
  </si>
  <si>
    <t>1603205398372</t>
  </si>
  <si>
    <t>1603205399194</t>
  </si>
  <si>
    <t>LƯỢNG</t>
  </si>
  <si>
    <t>1603205398400</t>
  </si>
  <si>
    <t>BẢO</t>
  </si>
  <si>
    <t>1603205398576</t>
  </si>
  <si>
    <t>1603205398770</t>
  </si>
  <si>
    <t>NHUNG</t>
  </si>
  <si>
    <t>1603205426614</t>
  </si>
  <si>
    <t>Phạm Hữu Lộc</t>
  </si>
  <si>
    <t>LỘC</t>
  </si>
  <si>
    <t>1603215001126</t>
  </si>
  <si>
    <t>CHÌ</t>
  </si>
  <si>
    <t>CHIẾN</t>
  </si>
  <si>
    <t>1603205246010</t>
  </si>
  <si>
    <t>ĐỆ</t>
  </si>
  <si>
    <t>LIÊM</t>
  </si>
  <si>
    <t>1603215001365</t>
  </si>
  <si>
    <t>1603215001371</t>
  </si>
  <si>
    <t>KÍNH</t>
  </si>
  <si>
    <t>NHƯ</t>
  </si>
  <si>
    <t>Nguyễn Kính</t>
  </si>
  <si>
    <t>PHÓ CHỦ TỊCH HĐ THI ĐUA</t>
  </si>
  <si>
    <t>Đinh Văn Đệ</t>
  </si>
  <si>
    <t>Nguyễn Thị Bích Liễu</t>
  </si>
  <si>
    <t>Nguyễn Văn Chì</t>
  </si>
  <si>
    <t>Lê Quang Liêm</t>
  </si>
  <si>
    <t>Giáp Văn Thịnh</t>
  </si>
  <si>
    <t>Lê Hồng Anh Tuấn</t>
  </si>
  <si>
    <t>Ninh Đỗ Hiệp</t>
  </si>
  <si>
    <t>Bùi Thị Lan Anh</t>
  </si>
  <si>
    <t>Hồng Mộng Tuyết Dung</t>
  </si>
  <si>
    <t>Trần Thị Minh Thoa</t>
  </si>
  <si>
    <t>Nguyễn Thị Hồng Thắm</t>
  </si>
  <si>
    <t>Lâm Viết Dũng</t>
  </si>
  <si>
    <t>Nguyễn Văn Chiến</t>
  </si>
  <si>
    <t>Nguyễn Thị Kim Anh</t>
  </si>
  <si>
    <t>Phạm Thị Lê Chi</t>
  </si>
  <si>
    <t>Bùi Thị Dương</t>
  </si>
  <si>
    <t>Nguyễn Thành Nam</t>
  </si>
  <si>
    <t>Huỳnh Thị Minh Ly</t>
  </si>
  <si>
    <t>Nguyễn Thị Thanh Thảo</t>
  </si>
  <si>
    <t>Vương Hội Khánh</t>
  </si>
  <si>
    <t>Đỗ Tuấn Việt</t>
  </si>
  <si>
    <t>Đặng Thu Hà</t>
  </si>
  <si>
    <t>Trần Thị Diễm Thúy</t>
  </si>
  <si>
    <t>Trương Hữu Lộc</t>
  </si>
  <si>
    <t>Nguyễn Trọng Nghĩa</t>
  </si>
  <si>
    <t>Trịnh Hoàng Hiệp</t>
  </si>
  <si>
    <t>Phạm Quỳnh Như</t>
  </si>
  <si>
    <t>Lê Thị Thu Thảo</t>
  </si>
  <si>
    <t>Lưu Thị Thúy</t>
  </si>
  <si>
    <t>Võ Thị Kim Thư</t>
  </si>
  <si>
    <t>Lữ Xuân Trang</t>
  </si>
  <si>
    <t>Lâm Thị Phương Thùy</t>
  </si>
  <si>
    <t>Nguyễn Bạch Cẩm Dung</t>
  </si>
  <si>
    <t>Nguyễn Ngọc Thọ</t>
  </si>
  <si>
    <t>Nguyễn Thị Hiền</t>
  </si>
  <si>
    <t>Chế Vân Cầm</t>
  </si>
  <si>
    <t>Phạm Thị Thanh Thúy</t>
  </si>
  <si>
    <t>Mai Nguyễn Hoàng Yến</t>
  </si>
  <si>
    <t>Trịnh Khắc Vũ</t>
  </si>
  <si>
    <t>Lê Văn Bình</t>
  </si>
  <si>
    <t>Hà Như Mai</t>
  </si>
  <si>
    <t>Nguyễn Thị Thủy</t>
  </si>
  <si>
    <t>Dương Đức Kiên</t>
  </si>
  <si>
    <t>Nguyễn Văn Hậu</t>
  </si>
  <si>
    <t>Nguyễn Phú Tân</t>
  </si>
  <si>
    <t>Giang Phi Hùng</t>
  </si>
  <si>
    <t>Vương Thanh Thủy</t>
  </si>
  <si>
    <t>Nguyễn Thị Thanh Tú</t>
  </si>
  <si>
    <t>Võ Thị Hồng Lan</t>
  </si>
  <si>
    <t>Nguyễn Thị Thu Hà</t>
  </si>
  <si>
    <t>Phạm Thị Thu Hiền</t>
  </si>
  <si>
    <t>Trần Thanh Trúc</t>
  </si>
  <si>
    <t>Nguyễn Ngọc Quỳnh</t>
  </si>
  <si>
    <t>Lê Thị Mai Hường</t>
  </si>
  <si>
    <t>Đỗ Thị Ngát</t>
  </si>
  <si>
    <t>Đinh Thị Huyên</t>
  </si>
  <si>
    <t>Đỗ Thị Thơm</t>
  </si>
  <si>
    <t>Phạm Thị Vinh</t>
  </si>
  <si>
    <t>Hoàng Thị Trang</t>
  </si>
  <si>
    <t>Trần Văn Lượng</t>
  </si>
  <si>
    <t>Nguyễn Nguyên Hoàng Ngọc Quyên</t>
  </si>
  <si>
    <t>Nguyễn Sanh Cường</t>
  </si>
  <si>
    <t>Lê Quý Hưng Quốc</t>
  </si>
  <si>
    <t>Bùi Văn Dũng</t>
  </si>
  <si>
    <t>Nguyễn Văn Minh</t>
  </si>
  <si>
    <t>Nguyễn Thị Khánh Thư</t>
  </si>
  <si>
    <t>Trần Việt Khánh</t>
  </si>
  <si>
    <t>Đỗ Thị Hải Yến</t>
  </si>
  <si>
    <t>Lê Hồng Thái</t>
  </si>
  <si>
    <t>Đặng Ngọc Đoàn</t>
  </si>
  <si>
    <t>Nguyễn Ngọc Tuyên</t>
  </si>
  <si>
    <t>Nguyễn Cao Phong</t>
  </si>
  <si>
    <t>Trần Vĩnh Xuyên</t>
  </si>
  <si>
    <t>Mai Chiếm Tuấn</t>
  </si>
  <si>
    <t>Lương Minh Dũng</t>
  </si>
  <si>
    <t>Nguyễn Tiến Việt Dũng</t>
  </si>
  <si>
    <t>Bùi Đặng Hoàng Tuấn</t>
  </si>
  <si>
    <t>Nguyễn Thị Hải Hà</t>
  </si>
  <si>
    <t>Nguyễn Thanh Vũ</t>
  </si>
  <si>
    <t>Trần Đình Khải</t>
  </si>
  <si>
    <t>Lư Thị Yến Vũ</t>
  </si>
  <si>
    <t>Nguyễn Duy Hải</t>
  </si>
  <si>
    <t>Bùi Anh Tuấn</t>
  </si>
  <si>
    <t>Trần Thị Hương</t>
  </si>
  <si>
    <t>Trần Minh Thông</t>
  </si>
  <si>
    <t>Dương Thị Hồng</t>
  </si>
  <si>
    <t>Châu Văn Bảo</t>
  </si>
  <si>
    <t>Trần Trung Hiếu</t>
  </si>
  <si>
    <t>Trần Nguyên Bảo Trân</t>
  </si>
  <si>
    <t>Nguyễn Thùy Linh</t>
  </si>
  <si>
    <t>Vũ Hạnh Chiêu</t>
  </si>
  <si>
    <t>Nguyễn Minh Đức Cường</t>
  </si>
  <si>
    <t>Tăng Cẩm Huê</t>
  </si>
  <si>
    <t>Ngô Phong Cường</t>
  </si>
  <si>
    <t>Nguyễn Thùy Dương</t>
  </si>
  <si>
    <t>Phan Anh Tuấn Kiệt</t>
  </si>
  <si>
    <t>Triệu Phú Nguyên</t>
  </si>
  <si>
    <t>Nguyễn Thành Đức</t>
  </si>
  <si>
    <t>Nguyễn Thái Bình</t>
  </si>
  <si>
    <t>Kiều Trung Tín</t>
  </si>
  <si>
    <t>Trần Quốc Duy</t>
  </si>
  <si>
    <t>Nguyễn Thanh Hùng</t>
  </si>
  <si>
    <t>Hà Quốc Bảo</t>
  </si>
  <si>
    <t>Hoàng Phúc Bảo</t>
  </si>
  <si>
    <t>Nguyễn Thị Tuyết</t>
  </si>
  <si>
    <t>Đỗ Trọng Quý</t>
  </si>
  <si>
    <t>Nguyễn Vũ Xuân Thì</t>
  </si>
  <si>
    <t>Đinh Đồng Hiệp</t>
  </si>
  <si>
    <t>Nguyễn Thị Nhuận</t>
  </si>
  <si>
    <t>Nguyễn Thị Ngọc Anh</t>
  </si>
  <si>
    <t>Nguyễn Thị Thùy</t>
  </si>
  <si>
    <t>Ngô Thanh Điền</t>
  </si>
  <si>
    <t>Lê Minh Phong</t>
  </si>
  <si>
    <t>Hoàng Văn Viết</t>
  </si>
  <si>
    <t>Huỳnh Thị Cẩm Hoa</t>
  </si>
  <si>
    <t>1603215003383</t>
  </si>
  <si>
    <t>TRƯỜNG CAO ĐẲNG LÝ TỰ TRỌNG</t>
  </si>
  <si>
    <t xml:space="preserve">THÀNH PHỐ HỒ CHÍ MINH </t>
  </si>
  <si>
    <t>THÀNH PHỐ HỒ CHÍ MINH</t>
  </si>
  <si>
    <t>Trần Thị Ngọc Dung</t>
  </si>
  <si>
    <t>1603215003876</t>
  </si>
  <si>
    <t>Trần Hồng Thảo</t>
  </si>
  <si>
    <t>1603215003860</t>
  </si>
  <si>
    <t>1603205398734</t>
  </si>
  <si>
    <t>Nguyễn Mỹ Tiên</t>
  </si>
  <si>
    <t>1603215003882</t>
  </si>
  <si>
    <t>1603215002713</t>
  </si>
  <si>
    <t>1603205249292</t>
  </si>
  <si>
    <t>1603205273823</t>
  </si>
  <si>
    <t>1603205457393</t>
  </si>
  <si>
    <t>1603215002237</t>
  </si>
  <si>
    <t>1603205341369</t>
  </si>
  <si>
    <t>1603205254263</t>
  </si>
  <si>
    <t>1603205246400</t>
  </si>
  <si>
    <t>1603215002243</t>
  </si>
  <si>
    <t>1603205458242</t>
  </si>
  <si>
    <t>1603205458417</t>
  </si>
  <si>
    <t>1603205458481</t>
  </si>
  <si>
    <t>1603205458367</t>
  </si>
  <si>
    <t>1603215002430</t>
  </si>
  <si>
    <t>1603215002424</t>
  </si>
  <si>
    <t>1603215002447</t>
  </si>
  <si>
    <t>1603215002526</t>
  </si>
  <si>
    <t>1603215002499</t>
  </si>
  <si>
    <t>1603215002482</t>
  </si>
  <si>
    <t>1603215002503</t>
  </si>
  <si>
    <t>1603215002634</t>
  </si>
  <si>
    <t>1603215002605</t>
  </si>
  <si>
    <t>1603215002510</t>
  </si>
  <si>
    <t>Lưu Hoàng Hải Yến</t>
  </si>
  <si>
    <t>CÁN BỘ VIÊN CHỨC TRONG CHỈ TIÊU BIÊN CHẾ - TRUNG TÂM ĐÀO TẠO LÝ TỰ TRỌNG</t>
  </si>
  <si>
    <t>Số tài khoản thẻ ATM
OCB</t>
  </si>
  <si>
    <t xml:space="preserve">Mức lương tối thiểu có hệ số  = </t>
  </si>
  <si>
    <t>CÁN BỘ VIÊN CHỨC  TRONG CHỈ TIÊU BIÊN CHẾ</t>
  </si>
  <si>
    <t>SA</t>
  </si>
  <si>
    <t xml:space="preserve">VÂN </t>
  </si>
  <si>
    <t>Nguyễn Thị Vân</t>
  </si>
  <si>
    <t>1603205431614</t>
  </si>
  <si>
    <t>THẮNG</t>
  </si>
  <si>
    <t>Nguyễn Cao Thắng</t>
  </si>
  <si>
    <t>Phạm Quang Vũ</t>
  </si>
  <si>
    <t>Nguyễn Thanh Giang</t>
  </si>
  <si>
    <t>Cao Văn Tuấn</t>
  </si>
  <si>
    <t>Trần Nam Anh</t>
  </si>
  <si>
    <t>1603205556090</t>
  </si>
  <si>
    <t>1603205556084</t>
  </si>
  <si>
    <t>0016100006544007</t>
  </si>
  <si>
    <t>0016100006699008</t>
  </si>
  <si>
    <t>0016100006543008</t>
  </si>
  <si>
    <t>0016100006766007</t>
  </si>
  <si>
    <t>0016100006648007</t>
  </si>
  <si>
    <t>0016100006635002</t>
  </si>
  <si>
    <t>0016100006771003</t>
  </si>
  <si>
    <t>0016100006663006</t>
  </si>
  <si>
    <t>0016100006765003</t>
  </si>
  <si>
    <t>0016100006767006</t>
  </si>
  <si>
    <t>0016100006799005</t>
  </si>
  <si>
    <t>0016100006864001</t>
  </si>
  <si>
    <t>0016100006806001</t>
  </si>
  <si>
    <t>0016100006495006</t>
  </si>
  <si>
    <t>0016100006505001</t>
  </si>
  <si>
    <t>0016100006807008</t>
  </si>
  <si>
    <t>0016100006599006</t>
  </si>
  <si>
    <t>0016100006493003</t>
  </si>
  <si>
    <t>0016100006690003</t>
  </si>
  <si>
    <t>0016100006498005</t>
  </si>
  <si>
    <t>0016100006678003</t>
  </si>
  <si>
    <t>0016100006679007</t>
  </si>
  <si>
    <t>0016100006770007</t>
  </si>
  <si>
    <t>0016100006567007</t>
  </si>
  <si>
    <t>0016100006725001</t>
  </si>
  <si>
    <t>0016100006705008</t>
  </si>
  <si>
    <t>0016100006682008</t>
  </si>
  <si>
    <t>0016100006512008</t>
  </si>
  <si>
    <t>0016100006515007</t>
  </si>
  <si>
    <t>0016100006681004</t>
  </si>
  <si>
    <t>0016100006576006</t>
  </si>
  <si>
    <t>0016100006832002</t>
  </si>
  <si>
    <t>0016100006548002</t>
  </si>
  <si>
    <t>0016100006660007</t>
  </si>
  <si>
    <t>0016100006655003</t>
  </si>
  <si>
    <t>0016100006654007</t>
  </si>
  <si>
    <t>0016100006652004</t>
  </si>
  <si>
    <t>0016100006719001</t>
  </si>
  <si>
    <t>0016100006783001</t>
  </si>
  <si>
    <t>0016100006708007</t>
  </si>
  <si>
    <t>0016100006714007</t>
  </si>
  <si>
    <t>0016100006716002</t>
  </si>
  <si>
    <t>0016100006711008</t>
  </si>
  <si>
    <t>0016100006715006</t>
  </si>
  <si>
    <t>0016100006568003</t>
  </si>
  <si>
    <t>0016100006519002</t>
  </si>
  <si>
    <t>0016100006527005</t>
  </si>
  <si>
    <t>0016100006518006</t>
  </si>
  <si>
    <t>0016100006521007</t>
  </si>
  <si>
    <t>0016100006526009</t>
  </si>
  <si>
    <t>0016100006542004</t>
  </si>
  <si>
    <t>0016100006535008</t>
  </si>
  <si>
    <t>0016100006524006</t>
  </si>
  <si>
    <t>0016100006541008</t>
  </si>
  <si>
    <t>0016100006768002</t>
  </si>
  <si>
    <t>0016100006689005</t>
  </si>
  <si>
    <t>0016100006721006</t>
  </si>
  <si>
    <t>0016100006614005</t>
  </si>
  <si>
    <t>0016100006685007</t>
  </si>
  <si>
    <t>0016100006733004</t>
  </si>
  <si>
    <t>0016100006792008</t>
  </si>
  <si>
    <t>0016100006500007</t>
  </si>
  <si>
    <t>0016100006563001</t>
  </si>
  <si>
    <t>0016100006633007</t>
  </si>
  <si>
    <t>0016100006561009</t>
  </si>
  <si>
    <t>0016100006501006</t>
  </si>
  <si>
    <t>0016100006562005</t>
  </si>
  <si>
    <t>0016100006639008</t>
  </si>
  <si>
    <t>0016100006602007</t>
  </si>
  <si>
    <t>0016100006608005</t>
  </si>
  <si>
    <t>0016100006603003</t>
  </si>
  <si>
    <t>0016100006606002</t>
  </si>
  <si>
    <t>0016100006638001</t>
  </si>
  <si>
    <t>0016100006605006</t>
  </si>
  <si>
    <t>0016100006637005</t>
  </si>
  <si>
    <t>0016100006604007</t>
  </si>
  <si>
    <t>0016100006547006</t>
  </si>
  <si>
    <t>0016100006571004</t>
  </si>
  <si>
    <t>0016100006630008</t>
  </si>
  <si>
    <t>0016100006631007</t>
  </si>
  <si>
    <t>0016100006572008</t>
  </si>
  <si>
    <t>0016100006573007</t>
  </si>
  <si>
    <t>0016100006574003</t>
  </si>
  <si>
    <t>0016100006570008</t>
  </si>
  <si>
    <t>0016100006615001</t>
  </si>
  <si>
    <t>0016100006775009</t>
  </si>
  <si>
    <t>0016100006625007</t>
  </si>
  <si>
    <t>0016100006688009</t>
  </si>
  <si>
    <t>0016100006620005</t>
  </si>
  <si>
    <t>0016100006622008</t>
  </si>
  <si>
    <t>0016100006623004</t>
  </si>
  <si>
    <t>0016100006772007</t>
  </si>
  <si>
    <t>0016100006810009</t>
  </si>
  <si>
    <t>0016100006753005</t>
  </si>
  <si>
    <t>0016100006732008</t>
  </si>
  <si>
    <t>0016100006756004</t>
  </si>
  <si>
    <t>0016100006700009</t>
  </si>
  <si>
    <t>0016100006722002</t>
  </si>
  <si>
    <t>0016100006619007</t>
  </si>
  <si>
    <t>0016100006701005</t>
  </si>
  <si>
    <t>0016100006624008</t>
  </si>
  <si>
    <t>0016100006686006</t>
  </si>
  <si>
    <t>0016100006684003</t>
  </si>
  <si>
    <t>0016100006735007</t>
  </si>
  <si>
    <t>0016100006801007</t>
  </si>
  <si>
    <t>0016100006618008</t>
  </si>
  <si>
    <t>0016100006621001</t>
  </si>
  <si>
    <t>0016100006704004</t>
  </si>
  <si>
    <t>0016100006789007</t>
  </si>
  <si>
    <t>0016100006683007</t>
  </si>
  <si>
    <t>0016100006702001</t>
  </si>
  <si>
    <t>0016100006589008</t>
  </si>
  <si>
    <t>0016100006730005</t>
  </si>
  <si>
    <t>0016100006777001</t>
  </si>
  <si>
    <t>0016100006726008</t>
  </si>
  <si>
    <t>0016100006579005</t>
  </si>
  <si>
    <t>0016100006731001</t>
  </si>
  <si>
    <t>0016100006778008</t>
  </si>
  <si>
    <t>0016100006588004</t>
  </si>
  <si>
    <t>0016100006109009</t>
  </si>
  <si>
    <t>0016100006727004</t>
  </si>
  <si>
    <t>0016100006645008</t>
  </si>
  <si>
    <t>0016100005288007</t>
  </si>
  <si>
    <t>0016100006578009</t>
  </si>
  <si>
    <t>0016100006646004</t>
  </si>
  <si>
    <t>0016100006729007</t>
  </si>
  <si>
    <t>'0016100006822007</t>
  </si>
  <si>
    <t>0016100006612002</t>
  </si>
  <si>
    <t>0016100006738006</t>
  </si>
  <si>
    <t>0016100006791004</t>
  </si>
  <si>
    <t>0016100006629002</t>
  </si>
  <si>
    <t>0016100006816007</t>
  </si>
  <si>
    <t>0016100006508008</t>
  </si>
  <si>
    <t>0016100006809008</t>
  </si>
  <si>
    <t>0016100006626003</t>
  </si>
  <si>
    <t>0016100006798009</t>
  </si>
  <si>
    <t>0016100006795007</t>
  </si>
  <si>
    <t>0016100006797002</t>
  </si>
  <si>
    <t>0016100006750006</t>
  </si>
  <si>
    <t>0016100006749008</t>
  </si>
  <si>
    <t>0016100006747005</t>
  </si>
  <si>
    <t>0016100006774002</t>
  </si>
  <si>
    <t>0016100006865008</t>
  </si>
  <si>
    <t>0016100006762004</t>
  </si>
  <si>
    <t>0016100006787007</t>
  </si>
  <si>
    <t>0016100006760001</t>
  </si>
  <si>
    <t>0016100006763008</t>
  </si>
  <si>
    <t>0016100006794003</t>
  </si>
  <si>
    <t>0016100006815008</t>
  </si>
  <si>
    <t>0016100006779004</t>
  </si>
  <si>
    <t>0016100006758007</t>
  </si>
  <si>
    <t>0016100006752009</t>
  </si>
  <si>
    <t>0016100006811005</t>
  </si>
  <si>
    <t>0016100006761008</t>
  </si>
  <si>
    <t>0016100006793007</t>
  </si>
  <si>
    <t>0016100006786008</t>
  </si>
  <si>
    <t>0016100006788003</t>
  </si>
  <si>
    <t>0016100006808004</t>
  </si>
  <si>
    <t>0016100006813008</t>
  </si>
  <si>
    <t>0016100006800003</t>
  </si>
  <si>
    <t>0016100006757008</t>
  </si>
  <si>
    <t>0016100006790008</t>
  </si>
  <si>
    <t>0016100006814004</t>
  </si>
  <si>
    <t>0016100006759003</t>
  </si>
  <si>
    <t>0016100006597003</t>
  </si>
  <si>
    <t>0016100006530006</t>
  </si>
  <si>
    <t>0016100006590009</t>
  </si>
  <si>
    <t>0016100006504005</t>
  </si>
  <si>
    <t>0016100006592001</t>
  </si>
  <si>
    <t>0016100006596007</t>
  </si>
  <si>
    <t>0016100006595008</t>
  </si>
  <si>
    <t>0016100006643005</t>
  </si>
  <si>
    <t>0016100006528001</t>
  </si>
  <si>
    <t>0016100006529008</t>
  </si>
  <si>
    <t>0016100006593008</t>
  </si>
  <si>
    <t>0016100006581007</t>
  </si>
  <si>
    <t>0016100006591005</t>
  </si>
  <si>
    <t>0016100006610007</t>
  </si>
  <si>
    <t>0016100006584009</t>
  </si>
  <si>
    <t>0016100006617004</t>
  </si>
  <si>
    <t>0016100006644001</t>
  </si>
  <si>
    <t>0016100006531002</t>
  </si>
  <si>
    <t>0016100006582006</t>
  </si>
  <si>
    <t>0016100006583002</t>
  </si>
  <si>
    <t>0016100006642009</t>
  </si>
  <si>
    <t>0016100006609001</t>
  </si>
  <si>
    <t>0016100006503009</t>
  </si>
  <si>
    <t>0016100006641002</t>
  </si>
  <si>
    <t>0016100006555009</t>
  </si>
  <si>
    <t>0016100006640006</t>
  </si>
  <si>
    <t>0016100006693002</t>
  </si>
  <si>
    <t>0016100006694009</t>
  </si>
  <si>
    <t>0016100006632003</t>
  </si>
  <si>
    <t>0016100006634006</t>
  </si>
  <si>
    <t>0016100006740008</t>
  </si>
  <si>
    <t>0016100006743007</t>
  </si>
  <si>
    <t>0016100006742003</t>
  </si>
  <si>
    <t>0016100006744006</t>
  </si>
  <si>
    <t>0016100006695005</t>
  </si>
  <si>
    <t>'0016100006821008</t>
  </si>
  <si>
    <t>0016100006741007</t>
  </si>
  <si>
    <t>0016100006577002</t>
  </si>
  <si>
    <t>0016100006697008</t>
  </si>
  <si>
    <t>0016100006696001</t>
  </si>
  <si>
    <t>0016100006559004</t>
  </si>
  <si>
    <t>0016100006587008</t>
  </si>
  <si>
    <t>0016100006532009</t>
  </si>
  <si>
    <t>0016100006812001</t>
  </si>
  <si>
    <t>0016100006534001</t>
  </si>
  <si>
    <t>0016100006557001</t>
  </si>
  <si>
    <t>0016100006556005</t>
  </si>
  <si>
    <t>0016100006586001</t>
  </si>
  <si>
    <t>0016100006558008</t>
  </si>
  <si>
    <t>0016100006552007</t>
  </si>
  <si>
    <t>Vũ Như Quỳnh</t>
  </si>
  <si>
    <t>Trần Thị Ánh Phượng</t>
  </si>
  <si>
    <t>0016100006540001</t>
  </si>
  <si>
    <t>Lương Xuân Thịnh</t>
  </si>
  <si>
    <t>Cao Xuân Giang</t>
  </si>
  <si>
    <t>Lê Thị Phương Thảo</t>
  </si>
  <si>
    <t>Huỳnh Quốc Dũng</t>
  </si>
  <si>
    <t>Hồ Ngọc Chi</t>
  </si>
  <si>
    <t>Nguyễn Hồng Phúc</t>
  </si>
  <si>
    <t>Nguyễn Lương Tâm</t>
  </si>
  <si>
    <t>Trần Thế Sơn</t>
  </si>
  <si>
    <t>Trần Giang Nam</t>
  </si>
  <si>
    <t>Trần Văn Đông</t>
  </si>
  <si>
    <t>Nguyễn Khắc Huy</t>
  </si>
  <si>
    <t>Trương Thị Hồng</t>
  </si>
  <si>
    <t>Nguyễn Thị Minh Thùy</t>
  </si>
  <si>
    <t>Võ Tấn Kiệt</t>
  </si>
  <si>
    <t>Lý Văn Trung</t>
  </si>
  <si>
    <t>Đinh Hồng Minh</t>
  </si>
  <si>
    <t>Phan Thị Ngọc Phượng</t>
  </si>
  <si>
    <t>Trần Thị Phương Oanh</t>
  </si>
  <si>
    <t>Thân Thị Nhung</t>
  </si>
  <si>
    <t>Nguyễn Trọng Phú</t>
  </si>
  <si>
    <t>Vũ Ngọc Quang</t>
  </si>
  <si>
    <t>Mai Thu Hương</t>
  </si>
  <si>
    <t>Trang Thị Xuân Uyên</t>
  </si>
  <si>
    <t>Nguyễn Thị Kim Dung</t>
  </si>
  <si>
    <t>Lê Xuân Thiện</t>
  </si>
  <si>
    <t>Nguyễn Ngọc Hiệp</t>
  </si>
  <si>
    <t>Phan Đức Long</t>
  </si>
  <si>
    <t>Nguyễn Tất Thắng</t>
  </si>
  <si>
    <t>Võ Thị Xuân Thơ</t>
  </si>
  <si>
    <t>Võ Thị Lệ Trân</t>
  </si>
  <si>
    <t>Thái Thị My Sa</t>
  </si>
  <si>
    <t>Nguyễn Chí Nhân</t>
  </si>
  <si>
    <t>Nguyễn Thanh Sơn</t>
  </si>
  <si>
    <t>Nguyễn Hữu Thiện</t>
  </si>
  <si>
    <t>Nguyễn Tứ Cảnh</t>
  </si>
  <si>
    <t>Bùi Thị Ngọc Sương</t>
  </si>
  <si>
    <t>Nguyễn Thị Huyền Nga</t>
  </si>
  <si>
    <t>Nguyễn Phương Hà</t>
  </si>
  <si>
    <t>Nguyễn Văn Đông</t>
  </si>
  <si>
    <t>Đặng Thị Kiến Trúc</t>
  </si>
  <si>
    <t>Nguyễn Thanh Tú</t>
  </si>
  <si>
    <t>Phạm Thị Thu Nga</t>
  </si>
  <si>
    <t>Nguyễn Thị Cẩm Thạch</t>
  </si>
  <si>
    <t>Lê Thái Hùng</t>
  </si>
  <si>
    <t>Nguyễn Thị Bảo Trân</t>
  </si>
  <si>
    <t>Nguyễn Thị Thu Tâm</t>
  </si>
  <si>
    <t>Lê Nguyễn Mỹ Trâm</t>
  </si>
  <si>
    <t>Nguyễn Thị Dinh</t>
  </si>
  <si>
    <t>Nguyễn Anh Kiệt</t>
  </si>
  <si>
    <t>Trần Thị Hồng Thu</t>
  </si>
  <si>
    <t>Cao Thị Hồng Thắm</t>
  </si>
  <si>
    <t>Bùi Thành Dũng</t>
  </si>
  <si>
    <t>Vũ Thị Thái Linh</t>
  </si>
  <si>
    <t>Nguyễn Văn Đôn</t>
  </si>
  <si>
    <t>Dương Ngọc Vọng</t>
  </si>
  <si>
    <t>Chung Trần Thế Vinh</t>
  </si>
  <si>
    <t>Đỗ Thị Phương Khanh</t>
  </si>
  <si>
    <t>Trương Thị Phương Hồng</t>
  </si>
  <si>
    <t>Dương Minh Chung</t>
  </si>
  <si>
    <t>Phan Văn Thành</t>
  </si>
  <si>
    <t>Vũ Đức Pháp</t>
  </si>
  <si>
    <t>Vũ Quang Khải</t>
  </si>
  <si>
    <t>Phan Thị Xuân Trang</t>
  </si>
  <si>
    <t>Nguyễn Tiến Dũng</t>
  </si>
  <si>
    <t>Nguyễn Thành Long</t>
  </si>
  <si>
    <t>Nguyễn Thanh Vĩnh Phúc</t>
  </si>
  <si>
    <t>Võ Minh Quang</t>
  </si>
  <si>
    <t>Nguyễn Văn Sơn</t>
  </si>
  <si>
    <t>Tạ Minh Cường</t>
  </si>
  <si>
    <t>Nguyễn Văn Yên</t>
  </si>
  <si>
    <t>Nguyễn Anh Tăng</t>
  </si>
  <si>
    <t>Lê Thế Huân</t>
  </si>
  <si>
    <t>Quách Minh Thử</t>
  </si>
  <si>
    <t>Mạnh Lê Hoàn</t>
  </si>
  <si>
    <t>Ngô Hoàng Anh</t>
  </si>
  <si>
    <t>Đỗ Huỳnh Thanh Phong</t>
  </si>
  <si>
    <t>Huỳnh Ngọc Mai</t>
  </si>
  <si>
    <t>Nguyễn Hồng Đức</t>
  </si>
  <si>
    <t>Trần Công Tiến</t>
  </si>
  <si>
    <t>Nguyễn Trần Thanh Nhàn</t>
  </si>
  <si>
    <t>Trần Hiếu Trinh</t>
  </si>
  <si>
    <t>Nguyễn Thị Tố Nga</t>
  </si>
  <si>
    <t>Đặng Đức Minh</t>
  </si>
  <si>
    <t>Nguyễn Thị Ngọc Hiền</t>
  </si>
  <si>
    <t>Nguyễn Anh Tuấn</t>
  </si>
  <si>
    <t>Võ Đắc Thịnh</t>
  </si>
  <si>
    <t>Nguyễn Hữu Mạnh</t>
  </si>
  <si>
    <t>Nguyễn Minh Thái</t>
  </si>
  <si>
    <t>Đặng Thái Sơn</t>
  </si>
  <si>
    <t>Hồ Văn Hóa</t>
  </si>
  <si>
    <t>Đặng Thế Huân</t>
  </si>
  <si>
    <t>Võ Anh Hào</t>
  </si>
  <si>
    <t>Phan Văn Hòa</t>
  </si>
  <si>
    <t>Trần Đình Khoa</t>
  </si>
  <si>
    <t>Trình Minh Phong</t>
  </si>
  <si>
    <t>Lâm Thị Phương Thảo</t>
  </si>
  <si>
    <t>Nguyễn Hoàng Vinh</t>
  </si>
  <si>
    <t>Đỗ Hoàng Duy</t>
  </si>
  <si>
    <t>Lê Thị Thúy Oanh</t>
  </si>
  <si>
    <t>Nguyễn Thiện Bình</t>
  </si>
  <si>
    <t>1603205637004</t>
  </si>
  <si>
    <t>1603205186603</t>
  </si>
  <si>
    <t>1603205647174</t>
  </si>
  <si>
    <t>1603215003650</t>
  </si>
  <si>
    <t>1603205647197</t>
  </si>
  <si>
    <t>1603205634954</t>
  </si>
  <si>
    <t>1603215002809</t>
  </si>
  <si>
    <t>1603215001359</t>
  </si>
  <si>
    <t>1603205534256</t>
  </si>
  <si>
    <t>1603205309314</t>
  </si>
  <si>
    <t>Nguyễn Thanh Dũng</t>
  </si>
  <si>
    <t>Bùi Trọng Tân</t>
  </si>
  <si>
    <t>Võ Quốc Duy</t>
  </si>
  <si>
    <t>Võ Hoài Sơn</t>
  </si>
  <si>
    <t>Trần Ngọc Tuấn</t>
  </si>
  <si>
    <t>Giang Văn Tiến</t>
  </si>
  <si>
    <t>Hồ Gia Bảo</t>
  </si>
  <si>
    <t>Nguyễn Hoàng Thanh Ngân</t>
  </si>
  <si>
    <t>0016100029651005</t>
  </si>
  <si>
    <t>1603205670783</t>
  </si>
  <si>
    <t>0016100029650009</t>
  </si>
  <si>
    <t>1603205670790</t>
  </si>
  <si>
    <t>0016100029652001</t>
  </si>
  <si>
    <t>1603205670804</t>
  </si>
  <si>
    <t>0016100006674008</t>
  </si>
  <si>
    <t>0016100006511001</t>
  </si>
  <si>
    <t>0016100006657006</t>
  </si>
  <si>
    <t>0016100007211001</t>
  </si>
  <si>
    <t>0004100004671006</t>
  </si>
  <si>
    <t>0016100029229001</t>
  </si>
  <si>
    <t>0016100007755001</t>
  </si>
  <si>
    <t>0016100028104008</t>
  </si>
  <si>
    <t>0016100006516003</t>
  </si>
  <si>
    <t>0016100007787008</t>
  </si>
  <si>
    <t>0016100028103004</t>
  </si>
  <si>
    <t>0016100019261004</t>
  </si>
  <si>
    <t>0016100007758008</t>
  </si>
  <si>
    <t>0016100007759007</t>
  </si>
  <si>
    <t>0016100007212008</t>
  </si>
  <si>
    <t>1603205584782</t>
  </si>
  <si>
    <t>0016100007698008</t>
  </si>
  <si>
    <t>0016100012451002</t>
  </si>
  <si>
    <t>0003100008196007</t>
  </si>
  <si>
    <t>0016100007189006</t>
  </si>
  <si>
    <t>0016100007188007</t>
  </si>
  <si>
    <t>0016100012091006</t>
  </si>
  <si>
    <t>0016100007699004</t>
  </si>
  <si>
    <t>1603215005582</t>
  </si>
  <si>
    <t>0016100007776009</t>
  </si>
  <si>
    <t>1603215005576</t>
  </si>
  <si>
    <t>0016100012092002</t>
  </si>
  <si>
    <t>1603205590155</t>
  </si>
  <si>
    <t>0016100018936008</t>
  </si>
  <si>
    <t>1603205626197</t>
  </si>
  <si>
    <t>0016100019259007</t>
  </si>
  <si>
    <t>1603205634948</t>
  </si>
  <si>
    <t>0016100019260008</t>
  </si>
  <si>
    <t>1603205634960</t>
  </si>
  <si>
    <t>1603205668349</t>
  </si>
  <si>
    <t>0021100007409006</t>
  </si>
  <si>
    <t>0023100018335001</t>
  </si>
  <si>
    <t>0004100006031004</t>
  </si>
  <si>
    <t>1603205668355</t>
  </si>
  <si>
    <t>Phan Thanh Hoàng</t>
  </si>
  <si>
    <t>Nguyễn Thị Xuân Chinh</t>
  </si>
  <si>
    <t>0016106868686866</t>
  </si>
  <si>
    <t>Nguyễn Văn Thành</t>
  </si>
  <si>
    <t>Nguyễn Thị Thanh Hòa</t>
  </si>
  <si>
    <t>Đinh Thị Trâm</t>
  </si>
  <si>
    <t>Huỳnh Kim Liên</t>
  </si>
  <si>
    <t>Nguyễn Duy Tân</t>
  </si>
  <si>
    <t>Lê Hồng Ngọc My</t>
  </si>
  <si>
    <t>Nguyễn Khương Thành</t>
  </si>
  <si>
    <t>Nguyễn Hữu Lương</t>
  </si>
  <si>
    <t>Huỳnh Duy An</t>
  </si>
  <si>
    <t>Đỗ Thị Tâm</t>
  </si>
  <si>
    <t>Trần Hà Trang</t>
  </si>
  <si>
    <t>(Chi theo Chương II - "Những quy định cụ thể"/ Mục 2 - "Chi thanh toán cá nhân"/ Điều 17 - "Các khoản thanh toán cá nhân"/ Khoản b - "Thu nhập tăng thêm"
trong Quy chế chi tiêu nội bộ năm 2023 ban hành kèm theo Quyết định số 739/QĐ-LTT-KHTC ngày 02 tháng 11 năm 2022)</t>
  </si>
  <si>
    <t>(Chi theo Chương II - "Những quy định cụ thể"/ Mục 2 - "Chi thanh toán cá nhân"/ Điều 17 - "Các khoản thanh toán cá nhân"/ Khoản b - "Thu nhập tăng thêm"
trong Quy chế chi tiêu nội bộ năm 2022 ban hành kèm theo Quyết định số 739/QĐ-LTT-KHTC ngày 02 tháng 11 năm 2022)</t>
  </si>
  <si>
    <t>Lê Thị Hải Đăng</t>
  </si>
  <si>
    <t>Huỳnh Đình Văn</t>
  </si>
  <si>
    <t>Đào Lê Phương Anh</t>
  </si>
  <si>
    <t>Phan Hữu Tước</t>
  </si>
  <si>
    <t>Mức lương tối thiểu hệ số 1 = 1.800.000</t>
  </si>
  <si>
    <t>BGH</t>
  </si>
  <si>
    <t>TCHC</t>
  </si>
  <si>
    <t>Bằng chữ: Mười lăm triệu một trăm mười ba ngàn tám trăm tám mươi đồng.</t>
  </si>
  <si>
    <t>Nguyễn Duy Lộc</t>
  </si>
  <si>
    <t>Lê Thu Hà</t>
  </si>
  <si>
    <t>BẢNG THU NHẬP TĂNG THÊM - LƯƠNG THEO HỆ SỐ ĐIỀU CHỈNH THÁNG 9 NĂM 2023</t>
  </si>
  <si>
    <t>Thành phố Hồ Chí Minh, ngày 16 tháng 10 năm 2023</t>
  </si>
  <si>
    <t>Nguyễn Huỳnh Lưu Phương</t>
  </si>
  <si>
    <t>GV vào lớp trễ 30 phút ngày 02/12/2023 và giải trình chưa đúng sự thật. TTHĐ thống nhất xếp loại B2</t>
  </si>
  <si>
    <t>B2</t>
  </si>
  <si>
    <t xml:space="preserve">Ngày 18/12/2023, GV quản lý lớp chưa tốt, SV đánh nhau trong giờ học; GV thiếu trách nhiệm khi được đơn vị chức năng mời lên làm việc. </t>
  </si>
  <si>
    <t>GV sử dụng lời nói chưa đúng ngôn phong, chuẩn mực của nhà giáo đối với SV và không trung thực khi giải trình sự việc. TTHĐ thống nhất xếp loại B2</t>
  </si>
  <si>
    <t>- Trừ 1 ngày nghỉ phép 29/12
- Truy lãnh PCTN VK T10+11/23</t>
  </si>
  <si>
    <t>BẢNG THU NHẬP TĂNG THÊM - LƯƠNG THEO HỆ SỐ ĐIỀU CHỈNH THÁNG 12 NĂM 2023</t>
  </si>
  <si>
    <t>Thành phố Hồ Chí Minh, ngày 10 tháng 01 năm 2024</t>
  </si>
  <si>
    <t>Bằng chữ: Hai tỷ hai trăm bảy mươi mốt triệu bảy trăm năm mươi bốn ngàn chín trăm bảy mươi tư đồng.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</si>
</sst>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9">
    <numFmt numFmtId="164" formatCode="_-* #,##0.00\ _€_-;\-* #,##0.00\ _€_-;_-* &quot;-&quot;??\ _€_-;_-@_-"/>
    <numFmt numFmtId="165" formatCode="#,##0;[Red]#,##0"/>
    <numFmt numFmtId="166" formatCode="0.0000"/>
    <numFmt numFmtId="167" formatCode="#,##0.0000"/>
    <numFmt numFmtId="168" formatCode="0.000"/>
    <numFmt numFmtId="169" formatCode="_-* #,##0.00\ [$€-1]_-;\-* #,##0.00\ [$€-1]_-;_-* &quot;-&quot;??\ [$€-1]_-"/>
    <numFmt numFmtId="170" formatCode="\$#,##0\ ;\(\$#,##0\)"/>
    <numFmt numFmtId="171" formatCode="&quot;\&quot;#,##0;[Red]&quot;\&quot;\-#,##0"/>
    <numFmt numFmtId="172" formatCode="&quot;\&quot;#,##0.00;[Red]&quot;\&quot;\-#,##0.00"/>
    <numFmt numFmtId="173" formatCode="&quot;\&quot;#,##0;[Red]&quot;\&quot;&quot;\&quot;\-#,##0"/>
    <numFmt numFmtId="174" formatCode="&quot;\&quot;#,##0.00;[Red]&quot;\&quot;&quot;\&quot;&quot;\&quot;&quot;\&quot;&quot;\&quot;&quot;\&quot;\-#,##0.00"/>
    <numFmt numFmtId="175" formatCode="_-* #,##0\ _€_-;\-* #,##0\ _€_-;_-* &quot;-&quot;??\ _€_-;_-@_-"/>
    <numFmt numFmtId="176" formatCode="#,##0.0"/>
    <numFmt numFmtId="177" formatCode="00000"/>
    <numFmt numFmtId="178" formatCode="_-* #,##0.0\ _€_-;\-* #,##0.0\ _€_-;_-* &quot;-&quot;??\ _€_-;_-@_-"/>
    <numFmt numFmtId="179" formatCode="_-* #,##0.000\ _€_-;\-* #,##0.000\ _€_-;_-* &quot;-&quot;??\ _€_-;_-@_-"/>
    <numFmt numFmtId="180" formatCode="#,##0.000"/>
    <numFmt numFmtId="181" formatCode="\-"/>
    <numFmt numFmtId="182" formatCode="_(* #,##0_);_(* \(#,##0\);_(* &quot;-&quot;???_);_(@_)"/>
  </numFmts>
  <fonts count="61">
    <font>
      <sz val="10"/>
      <name val="Arial"/>
    </font>
    <font>
      <sz val="10"/>
      <name val="Arial"/>
      <family val="2"/>
    </font>
    <font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b/>
      <sz val="8"/>
      <name val="Times New Roman"/>
      <family val="1"/>
    </font>
    <font>
      <sz val="8"/>
      <name val="Times New Roman"/>
      <family val="1"/>
    </font>
    <font>
      <sz val="10"/>
      <name val="Arial"/>
      <family val="2"/>
    </font>
    <font>
      <b/>
      <sz val="11"/>
      <name val="Times New Roman"/>
      <family val="1"/>
    </font>
    <font>
      <sz val="8"/>
      <name val="Arial"/>
      <family val="2"/>
    </font>
    <font>
      <sz val="6"/>
      <name val="Times New Roman"/>
      <family val="1"/>
    </font>
    <font>
      <sz val="11"/>
      <name val="Times New Roman"/>
      <family val="1"/>
    </font>
    <font>
      <b/>
      <i/>
      <sz val="12"/>
      <name val="Times New Roman"/>
      <family val="1"/>
    </font>
    <font>
      <b/>
      <u/>
      <sz val="11"/>
      <name val="Times New Roman"/>
      <family val="1"/>
    </font>
    <font>
      <b/>
      <u/>
      <sz val="12"/>
      <name val="Times New Roman"/>
      <family val="1"/>
    </font>
    <font>
      <b/>
      <sz val="13"/>
      <name val="Times New Roman"/>
      <family val="1"/>
    </font>
    <font>
      <sz val="7"/>
      <name val="Times New Roman"/>
      <family val="1"/>
    </font>
    <font>
      <b/>
      <sz val="11"/>
      <color indexed="9"/>
      <name val="Times New Roman"/>
      <family val="1"/>
    </font>
    <font>
      <b/>
      <sz val="9"/>
      <name val="Times New Roman"/>
      <family val="1"/>
    </font>
    <font>
      <sz val="10"/>
      <color indexed="10"/>
      <name val="Times New Roman"/>
      <family val="1"/>
    </font>
    <font>
      <sz val="11"/>
      <color indexed="10"/>
      <name val="Times New Roman"/>
      <family val="1"/>
    </font>
    <font>
      <sz val="9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3"/>
      <name val="Times New Roman"/>
      <family val="1"/>
    </font>
    <font>
      <i/>
      <sz val="12"/>
      <name val="Times New Roman"/>
      <family val="1"/>
    </font>
    <font>
      <b/>
      <sz val="12"/>
      <color indexed="10"/>
      <name val="Times New Roman"/>
      <family val="1"/>
    </font>
    <font>
      <sz val="10"/>
      <color indexed="8"/>
      <name val="Times New Roman"/>
      <family val="1"/>
    </font>
    <font>
      <sz val="8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0"/>
      <color indexed="10"/>
      <name val="Times New Roman"/>
      <family val="1"/>
    </font>
    <font>
      <sz val="12"/>
      <color indexed="10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VNI-Times"/>
    </font>
    <font>
      <b/>
      <sz val="6"/>
      <name val="Times New Roman"/>
      <family val="1"/>
    </font>
    <font>
      <b/>
      <sz val="12"/>
      <color rgb="FFFF0000"/>
      <name val="Times New Roman"/>
      <family val="1"/>
    </font>
    <font>
      <b/>
      <sz val="11"/>
      <color theme="0"/>
      <name val="Times New Roman"/>
      <family val="1"/>
    </font>
    <font>
      <sz val="9"/>
      <color indexed="81"/>
      <name val="Tahoma"/>
    </font>
    <font>
      <b/>
      <sz val="9"/>
      <color indexed="81"/>
      <name val="Tahoma"/>
    </font>
  </fonts>
  <fills count="4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3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60">
    <xf numFmtId="0" fontId="0" fillId="0" borderId="0"/>
    <xf numFmtId="0" fontId="23" fillId="2" borderId="0" applyNumberFormat="0" applyBorder="0" applyAlignment="0" applyProtection="0"/>
    <xf numFmtId="0" fontId="23" fillId="3" borderId="0" applyNumberFormat="0" applyBorder="0" applyAlignment="0" applyProtection="0"/>
    <xf numFmtId="0" fontId="23" fillId="4" borderId="0" applyNumberFormat="0" applyBorder="0" applyAlignment="0" applyProtection="0"/>
    <xf numFmtId="0" fontId="23" fillId="5" borderId="0" applyNumberFormat="0" applyBorder="0" applyAlignment="0" applyProtection="0"/>
    <xf numFmtId="0" fontId="23" fillId="6" borderId="0" applyNumberFormat="0" applyBorder="0" applyAlignment="0" applyProtection="0"/>
    <xf numFmtId="0" fontId="23" fillId="7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5" borderId="0" applyNumberFormat="0" applyBorder="0" applyAlignment="0" applyProtection="0"/>
    <xf numFmtId="0" fontId="23" fillId="8" borderId="0" applyNumberFormat="0" applyBorder="0" applyAlignment="0" applyProtection="0"/>
    <xf numFmtId="0" fontId="23" fillId="11" borderId="0" applyNumberFormat="0" applyBorder="0" applyAlignment="0" applyProtection="0"/>
    <xf numFmtId="0" fontId="24" fillId="12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9" borderId="0" applyNumberFormat="0" applyBorder="0" applyAlignment="0" applyProtection="0"/>
    <xf numFmtId="0" fontId="25" fillId="3" borderId="0" applyNumberFormat="0" applyBorder="0" applyAlignment="0" applyProtection="0"/>
    <xf numFmtId="0" fontId="26" fillId="20" borderId="1" applyNumberFormat="0" applyAlignment="0" applyProtection="0"/>
    <xf numFmtId="0" fontId="27" fillId="21" borderId="2" applyNumberFormat="0" applyAlignment="0" applyProtection="0"/>
    <xf numFmtId="164" fontId="1" fillId="0" borderId="0" applyFont="0" applyFill="0" applyBorder="0" applyAlignment="0" applyProtection="0"/>
    <xf numFmtId="3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28" fillId="0" borderId="0" applyNumberFormat="0" applyFill="0" applyBorder="0" applyAlignment="0" applyProtection="0"/>
    <xf numFmtId="2" fontId="8" fillId="0" borderId="0" applyFont="0" applyFill="0" applyBorder="0" applyAlignment="0" applyProtection="0"/>
    <xf numFmtId="0" fontId="29" fillId="4" borderId="0" applyNumberFormat="0" applyBorder="0" applyAlignment="0" applyProtection="0"/>
    <xf numFmtId="0" fontId="30" fillId="0" borderId="3" applyNumberFormat="0" applyFill="0" applyAlignment="0" applyProtection="0"/>
    <xf numFmtId="0" fontId="31" fillId="0" borderId="4" applyNumberFormat="0" applyFill="0" applyAlignment="0" applyProtection="0"/>
    <xf numFmtId="0" fontId="32" fillId="0" borderId="5" applyNumberFormat="0" applyFill="0" applyAlignment="0" applyProtection="0"/>
    <xf numFmtId="0" fontId="32" fillId="0" borderId="0" applyNumberFormat="0" applyFill="0" applyBorder="0" applyAlignment="0" applyProtection="0"/>
    <xf numFmtId="0" fontId="33" fillId="7" borderId="1" applyNumberFormat="0" applyAlignment="0" applyProtection="0"/>
    <xf numFmtId="0" fontId="34" fillId="0" borderId="6" applyNumberFormat="0" applyFill="0" applyAlignment="0" applyProtection="0"/>
    <xf numFmtId="0" fontId="35" fillId="22" borderId="0" applyNumberFormat="0" applyBorder="0" applyAlignment="0" applyProtection="0"/>
    <xf numFmtId="0" fontId="55" fillId="0" borderId="0" applyBorder="0"/>
    <xf numFmtId="0" fontId="8" fillId="23" borderId="7" applyNumberFormat="0" applyFont="0" applyAlignment="0" applyProtection="0"/>
    <xf numFmtId="0" fontId="36" fillId="20" borderId="8" applyNumberFormat="0" applyAlignment="0" applyProtection="0"/>
    <xf numFmtId="0" fontId="37" fillId="0" borderId="0" applyNumberFormat="0" applyFill="0" applyBorder="0" applyAlignment="0" applyProtection="0"/>
    <xf numFmtId="0" fontId="38" fillId="0" borderId="9" applyNumberFormat="0" applyFill="0" applyAlignment="0" applyProtection="0"/>
    <xf numFmtId="0" fontId="39" fillId="0" borderId="0" applyNumberFormat="0" applyFill="0" applyBorder="0" applyAlignment="0" applyProtection="0"/>
    <xf numFmtId="40" fontId="40" fillId="0" borderId="0" applyFont="0" applyFill="0" applyBorder="0" applyAlignment="0" applyProtection="0"/>
    <xf numFmtId="38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10" fontId="8" fillId="0" borderId="0" applyFont="0" applyFill="0" applyBorder="0" applyAlignment="0" applyProtection="0"/>
    <xf numFmtId="0" fontId="41" fillId="0" borderId="0"/>
    <xf numFmtId="173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172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0" fontId="43" fillId="0" borderId="0"/>
  </cellStyleXfs>
  <cellXfs count="660">
    <xf numFmtId="0" fontId="0" fillId="0" borderId="0" xfId="0"/>
    <xf numFmtId="0" fontId="2" fillId="0" borderId="0" xfId="0" applyFont="1" applyFill="1" applyAlignment="1">
      <alignment horizontal="center"/>
    </xf>
    <xf numFmtId="0" fontId="2" fillId="0" borderId="0" xfId="0" applyFont="1" applyFill="1"/>
    <xf numFmtId="0" fontId="2" fillId="0" borderId="0" xfId="0" applyFont="1" applyFill="1" applyAlignment="1">
      <alignment horizontal="right"/>
    </xf>
    <xf numFmtId="9" fontId="2" fillId="0" borderId="0" xfId="0" applyNumberFormat="1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3" fillId="0" borderId="0" xfId="0" applyFont="1" applyFill="1"/>
    <xf numFmtId="0" fontId="5" fillId="0" borderId="0" xfId="0" applyFont="1" applyFill="1"/>
    <xf numFmtId="0" fontId="7" fillId="0" borderId="10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right" vertical="center" wrapText="1"/>
    </xf>
    <xf numFmtId="0" fontId="3" fillId="0" borderId="0" xfId="0" applyFont="1" applyFill="1" applyAlignment="1">
      <alignment horizontal="center"/>
    </xf>
    <xf numFmtId="0" fontId="9" fillId="0" borderId="0" xfId="0" applyFont="1" applyFill="1" applyAlignment="1">
      <alignment horizontal="center"/>
    </xf>
    <xf numFmtId="0" fontId="9" fillId="0" borderId="0" xfId="0" applyFont="1" applyFill="1"/>
    <xf numFmtId="0" fontId="14" fillId="0" borderId="0" xfId="0" applyFont="1" applyFill="1" applyAlignment="1"/>
    <xf numFmtId="0" fontId="12" fillId="0" borderId="0" xfId="0" applyFont="1" applyFill="1"/>
    <xf numFmtId="0" fontId="12" fillId="0" borderId="0" xfId="0" applyFont="1" applyFill="1" applyAlignment="1">
      <alignment horizontal="right"/>
    </xf>
    <xf numFmtId="0" fontId="12" fillId="0" borderId="0" xfId="0" applyFont="1" applyFill="1" applyAlignment="1">
      <alignment horizontal="center"/>
    </xf>
    <xf numFmtId="0" fontId="9" fillId="0" borderId="0" xfId="0" applyFont="1" applyFill="1" applyAlignment="1"/>
    <xf numFmtId="0" fontId="2" fillId="0" borderId="13" xfId="0" applyFont="1" applyFill="1" applyBorder="1" applyAlignment="1">
      <alignment horizontal="right" vertical="center" wrapText="1"/>
    </xf>
    <xf numFmtId="0" fontId="5" fillId="0" borderId="0" xfId="0" applyFont="1" applyFill="1" applyBorder="1"/>
    <xf numFmtId="0" fontId="2" fillId="0" borderId="11" xfId="0" quotePrefix="1" applyFont="1" applyFill="1" applyBorder="1" applyAlignment="1">
      <alignment horizontal="center" vertical="center" wrapText="1"/>
    </xf>
    <xf numFmtId="9" fontId="12" fillId="0" borderId="0" xfId="0" applyNumberFormat="1" applyFont="1" applyFill="1" applyAlignment="1">
      <alignment horizontal="center"/>
    </xf>
    <xf numFmtId="0" fontId="7" fillId="0" borderId="14" xfId="0" quotePrefix="1" applyFont="1" applyFill="1" applyBorder="1" applyAlignment="1">
      <alignment horizontal="center" vertical="center" wrapText="1"/>
    </xf>
    <xf numFmtId="2" fontId="12" fillId="0" borderId="0" xfId="0" applyNumberFormat="1" applyFont="1" applyFill="1" applyAlignment="1">
      <alignment horizontal="right"/>
    </xf>
    <xf numFmtId="2" fontId="2" fillId="0" borderId="0" xfId="0" applyNumberFormat="1" applyFont="1" applyFill="1" applyAlignment="1">
      <alignment horizontal="right"/>
    </xf>
    <xf numFmtId="2" fontId="2" fillId="0" borderId="0" xfId="0" applyNumberFormat="1" applyFont="1" applyFill="1" applyAlignment="1">
      <alignment horizontal="center"/>
    </xf>
    <xf numFmtId="0" fontId="9" fillId="0" borderId="0" xfId="0" applyFont="1" applyFill="1" applyBorder="1"/>
    <xf numFmtId="2" fontId="12" fillId="0" borderId="0" xfId="0" applyNumberFormat="1" applyFont="1" applyFill="1" applyAlignment="1">
      <alignment horizontal="center"/>
    </xf>
    <xf numFmtId="0" fontId="5" fillId="0" borderId="0" xfId="0" applyFont="1" applyFill="1" applyAlignment="1">
      <alignment horizontal="left"/>
    </xf>
    <xf numFmtId="0" fontId="7" fillId="0" borderId="14" xfId="0" applyFont="1" applyFill="1" applyBorder="1" applyAlignment="1">
      <alignment horizontal="center" vertical="center" wrapText="1"/>
    </xf>
    <xf numFmtId="0" fontId="7" fillId="0" borderId="10" xfId="0" quotePrefix="1" applyFont="1" applyFill="1" applyBorder="1" applyAlignment="1">
      <alignment horizontal="center" vertical="center" wrapText="1"/>
    </xf>
    <xf numFmtId="0" fontId="12" fillId="0" borderId="11" xfId="0" quotePrefix="1" applyFont="1" applyFill="1" applyBorder="1" applyAlignment="1">
      <alignment horizontal="center" vertical="center" wrapText="1"/>
    </xf>
    <xf numFmtId="3" fontId="3" fillId="0" borderId="11" xfId="0" applyNumberFormat="1" applyFont="1" applyFill="1" applyBorder="1" applyAlignment="1">
      <alignment horizontal="right" vertical="center" wrapText="1"/>
    </xf>
    <xf numFmtId="3" fontId="3" fillId="0" borderId="15" xfId="0" applyNumberFormat="1" applyFont="1" applyFill="1" applyBorder="1" applyAlignment="1">
      <alignment horizontal="right" vertical="center" wrapText="1"/>
    </xf>
    <xf numFmtId="0" fontId="2" fillId="0" borderId="0" xfId="0" applyFont="1" applyFill="1" applyAlignment="1"/>
    <xf numFmtId="0" fontId="3" fillId="0" borderId="12" xfId="0" applyFont="1" applyFill="1" applyBorder="1" applyAlignment="1">
      <alignment vertical="center" wrapText="1"/>
    </xf>
    <xf numFmtId="0" fontId="4" fillId="0" borderId="16" xfId="0" applyFont="1" applyFill="1" applyBorder="1" applyAlignment="1">
      <alignment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left"/>
    </xf>
    <xf numFmtId="0" fontId="14" fillId="0" borderId="0" xfId="0" applyFont="1" applyFill="1" applyAlignment="1">
      <alignment horizontal="right"/>
    </xf>
    <xf numFmtId="0" fontId="2" fillId="0" borderId="15" xfId="0" quotePrefix="1" applyFont="1" applyFill="1" applyBorder="1" applyAlignment="1">
      <alignment horizontal="center" vertical="center" wrapText="1"/>
    </xf>
    <xf numFmtId="0" fontId="9" fillId="0" borderId="0" xfId="0" applyFont="1" applyFill="1" applyBorder="1" applyAlignment="1"/>
    <xf numFmtId="0" fontId="18" fillId="0" borderId="0" xfId="0" applyFont="1" applyFill="1" applyBorder="1" applyAlignment="1"/>
    <xf numFmtId="0" fontId="7" fillId="24" borderId="14" xfId="0" applyFont="1" applyFill="1" applyBorder="1" applyAlignment="1">
      <alignment horizontal="center" vertical="center" wrapText="1"/>
    </xf>
    <xf numFmtId="2" fontId="7" fillId="24" borderId="14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right"/>
    </xf>
    <xf numFmtId="3" fontId="12" fillId="0" borderId="0" xfId="0" applyNumberFormat="1" applyFont="1" applyFill="1" applyAlignment="1">
      <alignment horizontal="right"/>
    </xf>
    <xf numFmtId="3" fontId="12" fillId="0" borderId="0" xfId="0" applyNumberFormat="1" applyFont="1" applyFill="1" applyAlignment="1">
      <alignment horizontal="center"/>
    </xf>
    <xf numFmtId="0" fontId="3" fillId="0" borderId="11" xfId="0" applyFont="1" applyFill="1" applyBorder="1" applyAlignment="1">
      <alignment vertical="center" wrapText="1"/>
    </xf>
    <xf numFmtId="3" fontId="4" fillId="0" borderId="11" xfId="0" applyNumberFormat="1" applyFont="1" applyFill="1" applyBorder="1" applyAlignment="1">
      <alignment horizontal="right" vertical="center" wrapText="1"/>
    </xf>
    <xf numFmtId="2" fontId="7" fillId="0" borderId="10" xfId="0" quotePrefix="1" applyNumberFormat="1" applyFont="1" applyFill="1" applyBorder="1" applyAlignment="1">
      <alignment horizontal="center" vertical="center" wrapText="1"/>
    </xf>
    <xf numFmtId="3" fontId="5" fillId="0" borderId="17" xfId="0" applyNumberFormat="1" applyFont="1" applyFill="1" applyBorder="1" applyAlignment="1">
      <alignment horizontal="right"/>
    </xf>
    <xf numFmtId="0" fontId="3" fillId="0" borderId="18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/>
    </xf>
    <xf numFmtId="0" fontId="5" fillId="0" borderId="10" xfId="0" applyFont="1" applyFill="1" applyBorder="1" applyAlignment="1">
      <alignment horizontal="right"/>
    </xf>
    <xf numFmtId="3" fontId="5" fillId="0" borderId="10" xfId="0" applyNumberFormat="1" applyFont="1" applyFill="1" applyBorder="1" applyAlignment="1">
      <alignment horizontal="right"/>
    </xf>
    <xf numFmtId="0" fontId="3" fillId="0" borderId="18" xfId="0" applyFont="1" applyFill="1" applyBorder="1" applyAlignment="1">
      <alignment vertical="center" wrapText="1"/>
    </xf>
    <xf numFmtId="0" fontId="2" fillId="0" borderId="18" xfId="0" applyFont="1" applyFill="1" applyBorder="1" applyAlignment="1">
      <alignment horizontal="center" vertical="center" wrapText="1"/>
    </xf>
    <xf numFmtId="3" fontId="3" fillId="0" borderId="18" xfId="0" applyNumberFormat="1" applyFont="1" applyFill="1" applyBorder="1" applyAlignment="1">
      <alignment horizontal="right" vertical="center" wrapText="1"/>
    </xf>
    <xf numFmtId="3" fontId="4" fillId="0" borderId="18" xfId="0" applyNumberFormat="1" applyFont="1" applyFill="1" applyBorder="1" applyAlignment="1">
      <alignment horizontal="right" vertical="center" wrapText="1"/>
    </xf>
    <xf numFmtId="2" fontId="3" fillId="0" borderId="18" xfId="0" applyNumberFormat="1" applyFont="1" applyFill="1" applyBorder="1" applyAlignment="1">
      <alignment horizontal="center" vertical="center" wrapText="1"/>
    </xf>
    <xf numFmtId="0" fontId="2" fillId="0" borderId="18" xfId="0" quotePrefix="1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vertical="center" wrapText="1"/>
    </xf>
    <xf numFmtId="0" fontId="2" fillId="0" borderId="19" xfId="0" applyFont="1" applyFill="1" applyBorder="1" applyAlignment="1">
      <alignment horizontal="right" vertical="center" wrapText="1"/>
    </xf>
    <xf numFmtId="0" fontId="3" fillId="0" borderId="13" xfId="0" applyFont="1" applyFill="1" applyBorder="1" applyAlignment="1">
      <alignment vertical="center" wrapText="1"/>
    </xf>
    <xf numFmtId="0" fontId="3" fillId="0" borderId="11" xfId="0" applyFont="1" applyFill="1" applyBorder="1" applyAlignment="1">
      <alignment horizontal="center" vertical="center"/>
    </xf>
    <xf numFmtId="3" fontId="3" fillId="0" borderId="0" xfId="0" applyNumberFormat="1" applyFont="1" applyFill="1" applyAlignment="1">
      <alignment horizontal="center"/>
    </xf>
    <xf numFmtId="0" fontId="7" fillId="24" borderId="10" xfId="0" applyFont="1" applyFill="1" applyBorder="1" applyAlignment="1">
      <alignment horizontal="center" vertical="center" wrapText="1"/>
    </xf>
    <xf numFmtId="9" fontId="7" fillId="24" borderId="10" xfId="0" applyNumberFormat="1" applyFont="1" applyFill="1" applyBorder="1" applyAlignment="1">
      <alignment horizontal="center" vertical="center" wrapText="1"/>
    </xf>
    <xf numFmtId="0" fontId="11" fillId="24" borderId="10" xfId="0" applyFont="1" applyFill="1" applyBorder="1" applyAlignment="1">
      <alignment horizontal="center" vertical="center" wrapText="1"/>
    </xf>
    <xf numFmtId="0" fontId="7" fillId="24" borderId="14" xfId="0" quotePrefix="1" applyFont="1" applyFill="1" applyBorder="1" applyAlignment="1">
      <alignment horizontal="center" vertical="center" wrapText="1"/>
    </xf>
    <xf numFmtId="0" fontId="5" fillId="24" borderId="10" xfId="0" applyFont="1" applyFill="1" applyBorder="1" applyAlignment="1">
      <alignment horizontal="center"/>
    </xf>
    <xf numFmtId="2" fontId="7" fillId="24" borderId="14" xfId="0" quotePrefix="1" applyNumberFormat="1" applyFont="1" applyFill="1" applyBorder="1" applyAlignment="1">
      <alignment horizontal="center" vertical="center" wrapText="1"/>
    </xf>
    <xf numFmtId="3" fontId="5" fillId="24" borderId="10" xfId="0" applyNumberFormat="1" applyFont="1" applyFill="1" applyBorder="1" applyAlignment="1">
      <alignment horizontal="right"/>
    </xf>
    <xf numFmtId="168" fontId="12" fillId="0" borderId="0" xfId="0" applyNumberFormat="1" applyFont="1" applyFill="1" applyAlignment="1">
      <alignment horizontal="center"/>
    </xf>
    <xf numFmtId="168" fontId="7" fillId="0" borderId="10" xfId="0" quotePrefix="1" applyNumberFormat="1" applyFont="1" applyFill="1" applyBorder="1" applyAlignment="1">
      <alignment horizontal="center" vertical="center" wrapText="1"/>
    </xf>
    <xf numFmtId="168" fontId="2" fillId="0" borderId="0" xfId="0" applyNumberFormat="1" applyFont="1" applyFill="1" applyAlignment="1">
      <alignment horizontal="center"/>
    </xf>
    <xf numFmtId="2" fontId="3" fillId="0" borderId="11" xfId="0" applyNumberFormat="1" applyFont="1" applyFill="1" applyBorder="1" applyAlignment="1">
      <alignment horizontal="right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0" fontId="3" fillId="25" borderId="10" xfId="0" applyFont="1" applyFill="1" applyBorder="1" applyAlignment="1">
      <alignment horizontal="center" vertical="center" wrapText="1"/>
    </xf>
    <xf numFmtId="168" fontId="7" fillId="0" borderId="14" xfId="0" applyNumberFormat="1" applyFont="1" applyFill="1" applyBorder="1" applyAlignment="1">
      <alignment horizontal="center" vertical="center" wrapText="1"/>
    </xf>
    <xf numFmtId="168" fontId="2" fillId="0" borderId="0" xfId="0" applyNumberFormat="1" applyFont="1" applyFill="1"/>
    <xf numFmtId="168" fontId="12" fillId="0" borderId="0" xfId="0" applyNumberFormat="1" applyFont="1" applyFill="1"/>
    <xf numFmtId="0" fontId="2" fillId="0" borderId="11" xfId="0" applyFont="1" applyFill="1" applyBorder="1" applyAlignment="1">
      <alignment horizontal="center" vertical="center" wrapText="1"/>
    </xf>
    <xf numFmtId="168" fontId="3" fillId="0" borderId="11" xfId="0" applyNumberFormat="1" applyFont="1" applyFill="1" applyBorder="1" applyAlignment="1">
      <alignment horizontal="center" vertical="center" wrapText="1"/>
    </xf>
    <xf numFmtId="2" fontId="3" fillId="0" borderId="11" xfId="0" applyNumberFormat="1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49" fontId="4" fillId="0" borderId="11" xfId="0" applyNumberFormat="1" applyFont="1" applyFill="1" applyBorder="1" applyAlignment="1">
      <alignment horizontal="center" vertical="center" wrapText="1"/>
    </xf>
    <xf numFmtId="0" fontId="15" fillId="0" borderId="0" xfId="0" applyFont="1" applyFill="1" applyAlignment="1"/>
    <xf numFmtId="0" fontId="4" fillId="0" borderId="0" xfId="0" applyFont="1" applyFill="1" applyAlignment="1"/>
    <xf numFmtId="0" fontId="3" fillId="0" borderId="10" xfId="0" applyFont="1" applyFill="1" applyBorder="1" applyAlignment="1">
      <alignment horizontal="center" vertical="center" wrapText="1"/>
    </xf>
    <xf numFmtId="14" fontId="3" fillId="0" borderId="11" xfId="0" applyNumberFormat="1" applyFont="1" applyFill="1" applyBorder="1" applyAlignment="1">
      <alignment horizontal="center" vertical="center"/>
    </xf>
    <xf numFmtId="2" fontId="17" fillId="0" borderId="14" xfId="0" applyNumberFormat="1" applyFont="1" applyFill="1" applyBorder="1" applyAlignment="1">
      <alignment horizontal="center" vertical="center" wrapText="1"/>
    </xf>
    <xf numFmtId="14" fontId="3" fillId="0" borderId="18" xfId="0" applyNumberFormat="1" applyFont="1" applyFill="1" applyBorder="1" applyAlignment="1">
      <alignment horizontal="center" vertical="center" wrapText="1"/>
    </xf>
    <xf numFmtId="0" fontId="19" fillId="0" borderId="16" xfId="0" applyFont="1" applyFill="1" applyBorder="1" applyAlignment="1">
      <alignment vertical="center" wrapText="1"/>
    </xf>
    <xf numFmtId="0" fontId="17" fillId="0" borderId="14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/>
    </xf>
    <xf numFmtId="168" fontId="3" fillId="0" borderId="0" xfId="0" applyNumberFormat="1" applyFont="1" applyFill="1" applyAlignment="1">
      <alignment horizontal="center"/>
    </xf>
    <xf numFmtId="0" fontId="2" fillId="0" borderId="0" xfId="0" applyFont="1" applyFill="1" applyAlignment="1">
      <alignment horizontal="center" vertical="top"/>
    </xf>
    <xf numFmtId="3" fontId="2" fillId="0" borderId="0" xfId="0" applyNumberFormat="1" applyFont="1" applyFill="1" applyAlignment="1">
      <alignment horizontal="center" vertical="top"/>
    </xf>
    <xf numFmtId="0" fontId="5" fillId="0" borderId="0" xfId="0" applyFont="1" applyFill="1" applyAlignment="1">
      <alignment horizontal="center" vertical="top"/>
    </xf>
    <xf numFmtId="0" fontId="21" fillId="0" borderId="0" xfId="0" applyFont="1" applyFill="1" applyAlignment="1">
      <alignment horizontal="left"/>
    </xf>
    <xf numFmtId="168" fontId="3" fillId="0" borderId="11" xfId="0" applyNumberFormat="1" applyFont="1" applyFill="1" applyBorder="1" applyAlignment="1">
      <alignment horizontal="right" vertical="center" wrapText="1"/>
    </xf>
    <xf numFmtId="2" fontId="3" fillId="0" borderId="18" xfId="0" applyNumberFormat="1" applyFont="1" applyFill="1" applyBorder="1" applyAlignment="1">
      <alignment horizontal="right" vertical="center" wrapText="1"/>
    </xf>
    <xf numFmtId="1" fontId="3" fillId="0" borderId="11" xfId="0" applyNumberFormat="1" applyFont="1" applyFill="1" applyBorder="1" applyAlignment="1">
      <alignment horizontal="center" vertical="center" wrapText="1"/>
    </xf>
    <xf numFmtId="166" fontId="3" fillId="0" borderId="11" xfId="0" applyNumberFormat="1" applyFont="1" applyFill="1" applyBorder="1" applyAlignment="1">
      <alignment horizontal="right" vertical="center" wrapText="1"/>
    </xf>
    <xf numFmtId="2" fontId="2" fillId="0" borderId="0" xfId="0" applyNumberFormat="1" applyFont="1" applyFill="1"/>
    <xf numFmtId="0" fontId="5" fillId="0" borderId="20" xfId="0" applyFont="1" applyFill="1" applyBorder="1" applyAlignment="1">
      <alignment horizontal="center"/>
    </xf>
    <xf numFmtId="3" fontId="12" fillId="0" borderId="0" xfId="0" applyNumberFormat="1" applyFont="1" applyFill="1"/>
    <xf numFmtId="0" fontId="44" fillId="0" borderId="0" xfId="0" applyFont="1" applyFill="1"/>
    <xf numFmtId="0" fontId="2" fillId="0" borderId="0" xfId="0" applyFont="1" applyFill="1" applyBorder="1" applyAlignment="1">
      <alignment vertical="center" wrapText="1"/>
    </xf>
    <xf numFmtId="0" fontId="2" fillId="0" borderId="0" xfId="0" applyFont="1" applyFill="1" applyAlignment="1">
      <alignment vertical="center" wrapText="1"/>
    </xf>
    <xf numFmtId="9" fontId="2" fillId="0" borderId="0" xfId="0" applyNumberFormat="1" applyFont="1" applyFill="1"/>
    <xf numFmtId="0" fontId="5" fillId="0" borderId="21" xfId="0" applyFont="1" applyFill="1" applyBorder="1" applyAlignment="1">
      <alignment horizontal="center"/>
    </xf>
    <xf numFmtId="0" fontId="7" fillId="0" borderId="0" xfId="0" applyFont="1" applyFill="1" applyBorder="1" applyAlignment="1">
      <alignment vertical="center" wrapText="1"/>
    </xf>
    <xf numFmtId="0" fontId="22" fillId="0" borderId="16" xfId="0" applyFont="1" applyFill="1" applyBorder="1" applyAlignment="1">
      <alignment vertical="center" wrapText="1"/>
    </xf>
    <xf numFmtId="14" fontId="3" fillId="0" borderId="11" xfId="0" applyNumberFormat="1" applyFont="1" applyFill="1" applyBorder="1" applyAlignment="1">
      <alignment horizontal="center" vertical="center" wrapText="1"/>
    </xf>
    <xf numFmtId="2" fontId="3" fillId="0" borderId="15" xfId="0" applyNumberFormat="1" applyFont="1" applyFill="1" applyBorder="1" applyAlignment="1">
      <alignment horizontal="right" vertical="center" wrapText="1"/>
    </xf>
    <xf numFmtId="0" fontId="9" fillId="0" borderId="17" xfId="0" applyFont="1" applyFill="1" applyBorder="1" applyAlignment="1">
      <alignment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9" fillId="0" borderId="23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right" vertical="center" wrapText="1"/>
    </xf>
    <xf numFmtId="168" fontId="9" fillId="0" borderId="17" xfId="0" applyNumberFormat="1" applyFont="1" applyFill="1" applyBorder="1" applyAlignment="1">
      <alignment horizontal="right" vertical="center" wrapText="1"/>
    </xf>
    <xf numFmtId="3" fontId="9" fillId="0" borderId="17" xfId="0" applyNumberFormat="1" applyFont="1" applyFill="1" applyBorder="1" applyAlignment="1">
      <alignment horizontal="right" vertical="center" wrapText="1"/>
    </xf>
    <xf numFmtId="3" fontId="9" fillId="0" borderId="17" xfId="0" applyNumberFormat="1" applyFont="1" applyFill="1" applyBorder="1" applyAlignment="1">
      <alignment vertical="center" wrapText="1"/>
    </xf>
    <xf numFmtId="0" fontId="9" fillId="0" borderId="22" xfId="0" applyFont="1" applyFill="1" applyBorder="1" applyAlignment="1">
      <alignment horizontal="right" vertical="center" wrapText="1"/>
    </xf>
    <xf numFmtId="0" fontId="9" fillId="0" borderId="0" xfId="0" applyFont="1" applyFill="1" applyAlignment="1">
      <alignment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2" fillId="0" borderId="16" xfId="0" applyFont="1" applyFill="1" applyBorder="1" applyAlignment="1">
      <alignment horizontal="left" vertical="center" wrapText="1"/>
    </xf>
    <xf numFmtId="0" fontId="22" fillId="0" borderId="16" xfId="0" applyFont="1" applyFill="1" applyBorder="1" applyAlignment="1">
      <alignment vertical="center"/>
    </xf>
    <xf numFmtId="0" fontId="4" fillId="0" borderId="23" xfId="0" applyFont="1" applyFill="1" applyBorder="1" applyAlignment="1">
      <alignment horizontal="center"/>
    </xf>
    <xf numFmtId="2" fontId="13" fillId="0" borderId="17" xfId="0" applyNumberFormat="1" applyFont="1" applyFill="1" applyBorder="1" applyAlignment="1">
      <alignment horizontal="center"/>
    </xf>
    <xf numFmtId="0" fontId="45" fillId="0" borderId="0" xfId="0" applyFont="1" applyFill="1" applyAlignment="1">
      <alignment horizontal="center"/>
    </xf>
    <xf numFmtId="166" fontId="12" fillId="0" borderId="0" xfId="0" applyNumberFormat="1" applyFont="1" applyFill="1" applyAlignment="1">
      <alignment horizontal="right"/>
    </xf>
    <xf numFmtId="166" fontId="2" fillId="0" borderId="0" xfId="0" applyNumberFormat="1" applyFont="1" applyFill="1" applyAlignment="1">
      <alignment horizontal="right"/>
    </xf>
    <xf numFmtId="166" fontId="11" fillId="0" borderId="14" xfId="0" applyNumberFormat="1" applyFont="1" applyFill="1" applyBorder="1" applyAlignment="1">
      <alignment horizontal="center" vertical="center" wrapText="1"/>
    </xf>
    <xf numFmtId="166" fontId="11" fillId="0" borderId="10" xfId="0" quotePrefix="1" applyNumberFormat="1" applyFont="1" applyFill="1" applyBorder="1" applyAlignment="1">
      <alignment horizontal="center" vertical="center" wrapText="1"/>
    </xf>
    <xf numFmtId="166" fontId="3" fillId="0" borderId="11" xfId="0" applyNumberFormat="1" applyFont="1" applyFill="1" applyBorder="1" applyAlignment="1">
      <alignment horizontal="center" vertical="center" wrapText="1"/>
    </xf>
    <xf numFmtId="0" fontId="3" fillId="0" borderId="17" xfId="0" quotePrefix="1" applyFont="1" applyFill="1" applyBorder="1" applyAlignment="1">
      <alignment horizontal="center" vertical="center" wrapText="1"/>
    </xf>
    <xf numFmtId="166" fontId="2" fillId="0" borderId="0" xfId="0" applyNumberFormat="1" applyFont="1" applyFill="1" applyAlignment="1">
      <alignment horizontal="center"/>
    </xf>
    <xf numFmtId="166" fontId="9" fillId="0" borderId="0" xfId="0" applyNumberFormat="1" applyFont="1" applyFill="1" applyAlignment="1">
      <alignment horizontal="center"/>
    </xf>
    <xf numFmtId="166" fontId="12" fillId="0" borderId="0" xfId="0" applyNumberFormat="1" applyFont="1" applyFill="1" applyAlignment="1">
      <alignment horizontal="center"/>
    </xf>
    <xf numFmtId="166" fontId="2" fillId="0" borderId="0" xfId="0" applyNumberFormat="1" applyFont="1" applyFill="1"/>
    <xf numFmtId="3" fontId="2" fillId="0" borderId="0" xfId="0" applyNumberFormat="1" applyFont="1" applyFill="1" applyAlignment="1">
      <alignment vertical="center" wrapText="1"/>
    </xf>
    <xf numFmtId="0" fontId="2" fillId="0" borderId="0" xfId="0" applyFont="1" applyFill="1" applyAlignment="1">
      <alignment horizontal="left" vertical="center"/>
    </xf>
    <xf numFmtId="0" fontId="3" fillId="0" borderId="24" xfId="0" applyFont="1" applyFill="1" applyBorder="1" applyAlignment="1">
      <alignment vertical="center" wrapText="1"/>
    </xf>
    <xf numFmtId="14" fontId="3" fillId="0" borderId="16" xfId="0" applyNumberFormat="1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0" fontId="3" fillId="0" borderId="25" xfId="0" applyFont="1" applyFill="1" applyBorder="1" applyAlignment="1">
      <alignment horizontal="center" vertical="center" wrapText="1"/>
    </xf>
    <xf numFmtId="3" fontId="3" fillId="0" borderId="25" xfId="0" applyNumberFormat="1" applyFont="1" applyFill="1" applyBorder="1" applyAlignment="1">
      <alignment horizontal="right" vertical="center" wrapText="1"/>
    </xf>
    <xf numFmtId="3" fontId="4" fillId="0" borderId="25" xfId="0" applyNumberFormat="1" applyFont="1" applyFill="1" applyBorder="1" applyAlignment="1">
      <alignment horizontal="right" vertical="center" wrapText="1"/>
    </xf>
    <xf numFmtId="0" fontId="46" fillId="0" borderId="16" xfId="0" applyFont="1" applyFill="1" applyBorder="1" applyAlignment="1">
      <alignment vertical="center" wrapText="1"/>
    </xf>
    <xf numFmtId="0" fontId="9" fillId="0" borderId="26" xfId="0" applyFont="1" applyFill="1" applyBorder="1" applyAlignment="1">
      <alignment horizontal="center" vertical="center" wrapText="1"/>
    </xf>
    <xf numFmtId="175" fontId="2" fillId="0" borderId="0" xfId="28" applyNumberFormat="1" applyFont="1" applyFill="1"/>
    <xf numFmtId="175" fontId="12" fillId="0" borderId="0" xfId="28" applyNumberFormat="1" applyFont="1" applyFill="1"/>
    <xf numFmtId="175" fontId="7" fillId="0" borderId="0" xfId="28" applyNumberFormat="1" applyFont="1" applyFill="1" applyBorder="1" applyAlignment="1">
      <alignment vertical="center" wrapText="1"/>
    </xf>
    <xf numFmtId="175" fontId="2" fillId="0" borderId="0" xfId="28" applyNumberFormat="1" applyFont="1" applyFill="1" applyBorder="1" applyAlignment="1">
      <alignment vertical="center" wrapText="1"/>
    </xf>
    <xf numFmtId="175" fontId="2" fillId="0" borderId="0" xfId="28" applyNumberFormat="1" applyFont="1" applyFill="1" applyAlignment="1">
      <alignment vertical="center" wrapText="1"/>
    </xf>
    <xf numFmtId="175" fontId="9" fillId="0" borderId="0" xfId="28" applyNumberFormat="1" applyFont="1" applyFill="1" applyAlignment="1">
      <alignment vertical="center" wrapText="1"/>
    </xf>
    <xf numFmtId="9" fontId="2" fillId="0" borderId="11" xfId="0" applyNumberFormat="1" applyFont="1" applyFill="1" applyBorder="1" applyAlignment="1">
      <alignment horizontal="center" vertical="center" wrapText="1"/>
    </xf>
    <xf numFmtId="165" fontId="2" fillId="0" borderId="11" xfId="0" applyNumberFormat="1" applyFont="1" applyFill="1" applyBorder="1" applyAlignment="1">
      <alignment horizontal="center" vertical="center" wrapText="1"/>
    </xf>
    <xf numFmtId="0" fontId="2" fillId="0" borderId="16" xfId="0" applyFont="1" applyBorder="1" applyAlignment="1">
      <alignment horizontal="left"/>
    </xf>
    <xf numFmtId="0" fontId="20" fillId="0" borderId="11" xfId="0" applyFont="1" applyFill="1" applyBorder="1" applyAlignment="1">
      <alignment horizontal="center" vertical="center" wrapText="1"/>
    </xf>
    <xf numFmtId="2" fontId="2" fillId="0" borderId="11" xfId="0" applyNumberFormat="1" applyFont="1" applyFill="1" applyBorder="1" applyAlignment="1">
      <alignment horizontal="center" vertical="center" wrapText="1"/>
    </xf>
    <xf numFmtId="2" fontId="3" fillId="0" borderId="11" xfId="0" applyNumberFormat="1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vertical="center" wrapText="1"/>
    </xf>
    <xf numFmtId="3" fontId="4" fillId="0" borderId="10" xfId="0" applyNumberFormat="1" applyFont="1" applyFill="1" applyBorder="1" applyAlignment="1">
      <alignment horizontal="right"/>
    </xf>
    <xf numFmtId="175" fontId="2" fillId="0" borderId="0" xfId="28" quotePrefix="1" applyNumberFormat="1" applyFont="1" applyFill="1" applyAlignment="1">
      <alignment vertical="center" wrapText="1"/>
    </xf>
    <xf numFmtId="0" fontId="4" fillId="0" borderId="27" xfId="0" applyFont="1" applyFill="1" applyBorder="1" applyAlignment="1">
      <alignment vertical="center" wrapText="1"/>
    </xf>
    <xf numFmtId="49" fontId="3" fillId="0" borderId="11" xfId="0" quotePrefix="1" applyNumberFormat="1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vertical="center" wrapText="1"/>
    </xf>
    <xf numFmtId="165" fontId="3" fillId="0" borderId="18" xfId="0" applyNumberFormat="1" applyFont="1" applyFill="1" applyBorder="1" applyAlignment="1">
      <alignment horizontal="center" vertical="center" wrapText="1"/>
    </xf>
    <xf numFmtId="167" fontId="3" fillId="0" borderId="18" xfId="0" applyNumberFormat="1" applyFont="1" applyFill="1" applyBorder="1" applyAlignment="1">
      <alignment horizontal="right" vertical="center" wrapText="1"/>
    </xf>
    <xf numFmtId="0" fontId="22" fillId="0" borderId="27" xfId="0" applyFont="1" applyFill="1" applyBorder="1" applyAlignment="1">
      <alignment vertical="center" wrapText="1"/>
    </xf>
    <xf numFmtId="0" fontId="2" fillId="0" borderId="16" xfId="0" applyFont="1" applyFill="1" applyBorder="1" applyAlignment="1">
      <alignment horizontal="left"/>
    </xf>
    <xf numFmtId="0" fontId="2" fillId="0" borderId="11" xfId="0" applyFont="1" applyFill="1" applyBorder="1" applyAlignment="1">
      <alignment vertical="center" wrapText="1"/>
    </xf>
    <xf numFmtId="165" fontId="3" fillId="0" borderId="11" xfId="0" applyNumberFormat="1" applyFont="1" applyFill="1" applyBorder="1" applyAlignment="1">
      <alignment horizontal="center" vertical="center" wrapText="1"/>
    </xf>
    <xf numFmtId="167" fontId="3" fillId="0" borderId="11" xfId="0" applyNumberFormat="1" applyFont="1" applyFill="1" applyBorder="1" applyAlignment="1">
      <alignment horizontal="right" vertical="center" wrapText="1"/>
    </xf>
    <xf numFmtId="165" fontId="3" fillId="0" borderId="15" xfId="0" applyNumberFormat="1" applyFont="1" applyFill="1" applyBorder="1" applyAlignment="1">
      <alignment horizontal="center" vertical="center" wrapText="1"/>
    </xf>
    <xf numFmtId="0" fontId="46" fillId="0" borderId="27" xfId="0" applyFont="1" applyFill="1" applyBorder="1" applyAlignment="1">
      <alignment vertical="center" wrapText="1"/>
    </xf>
    <xf numFmtId="0" fontId="3" fillId="0" borderId="18" xfId="0" applyFont="1" applyFill="1" applyBorder="1" applyAlignment="1">
      <alignment horizontal="center" vertical="center"/>
    </xf>
    <xf numFmtId="168" fontId="9" fillId="0" borderId="0" xfId="0" applyNumberFormat="1" applyFont="1" applyFill="1" applyAlignment="1"/>
    <xf numFmtId="168" fontId="5" fillId="0" borderId="0" xfId="0" applyNumberFormat="1" applyFont="1" applyFill="1" applyBorder="1"/>
    <xf numFmtId="9" fontId="7" fillId="0" borderId="10" xfId="0" applyNumberFormat="1" applyFont="1" applyFill="1" applyBorder="1" applyAlignment="1">
      <alignment horizontal="center" vertical="center" wrapText="1"/>
    </xf>
    <xf numFmtId="168" fontId="17" fillId="0" borderId="14" xfId="0" applyNumberFormat="1" applyFont="1" applyFill="1" applyBorder="1" applyAlignment="1">
      <alignment horizontal="center" vertical="center" wrapText="1"/>
    </xf>
    <xf numFmtId="168" fontId="3" fillId="0" borderId="18" xfId="0" applyNumberFormat="1" applyFont="1" applyFill="1" applyBorder="1" applyAlignment="1">
      <alignment horizontal="righ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0" fontId="3" fillId="24" borderId="11" xfId="0" applyFont="1" applyFill="1" applyBorder="1" applyAlignment="1">
      <alignment horizontal="center" vertical="center" wrapText="1"/>
    </xf>
    <xf numFmtId="175" fontId="2" fillId="0" borderId="28" xfId="28" applyNumberFormat="1" applyFont="1" applyFill="1" applyBorder="1" applyAlignment="1">
      <alignment vertical="center" wrapText="1"/>
    </xf>
    <xf numFmtId="175" fontId="2" fillId="0" borderId="29" xfId="28" applyNumberFormat="1" applyFont="1" applyFill="1" applyBorder="1" applyAlignment="1">
      <alignment vertical="center" wrapText="1"/>
    </xf>
    <xf numFmtId="0" fontId="14" fillId="0" borderId="0" xfId="0" applyFont="1" applyFill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3" fontId="4" fillId="0" borderId="10" xfId="0" applyNumberFormat="1" applyFont="1" applyFill="1" applyBorder="1" applyAlignment="1">
      <alignment horizontal="right" vertical="center" wrapText="1"/>
    </xf>
    <xf numFmtId="1" fontId="13" fillId="0" borderId="10" xfId="0" applyNumberFormat="1" applyFont="1" applyFill="1" applyBorder="1" applyAlignment="1">
      <alignment horizontal="center"/>
    </xf>
    <xf numFmtId="1" fontId="4" fillId="0" borderId="11" xfId="0" quotePrefix="1" applyNumberFormat="1" applyFont="1" applyFill="1" applyBorder="1" applyAlignment="1">
      <alignment horizontal="center" vertical="center"/>
    </xf>
    <xf numFmtId="1" fontId="4" fillId="0" borderId="12" xfId="0" quotePrefix="1" applyNumberFormat="1" applyFont="1" applyFill="1" applyBorder="1" applyAlignment="1">
      <alignment horizontal="center" vertical="center"/>
    </xf>
    <xf numFmtId="175" fontId="2" fillId="0" borderId="0" xfId="0" applyNumberFormat="1" applyFont="1" applyFill="1" applyAlignment="1">
      <alignment vertical="center" wrapText="1"/>
    </xf>
    <xf numFmtId="1" fontId="3" fillId="0" borderId="11" xfId="0" quotePrefix="1" applyNumberFormat="1" applyFont="1" applyFill="1" applyBorder="1" applyAlignment="1">
      <alignment horizontal="center" vertical="center"/>
    </xf>
    <xf numFmtId="1" fontId="3" fillId="0" borderId="11" xfId="0" applyNumberFormat="1" applyFont="1" applyFill="1" applyBorder="1" applyAlignment="1">
      <alignment horizontal="center" vertical="center"/>
    </xf>
    <xf numFmtId="0" fontId="2" fillId="0" borderId="12" xfId="0" quotePrefix="1" applyFont="1" applyFill="1" applyBorder="1" applyAlignment="1">
      <alignment horizontal="right" vertical="center" wrapText="1"/>
    </xf>
    <xf numFmtId="0" fontId="12" fillId="0" borderId="11" xfId="0" applyFont="1" applyFill="1" applyBorder="1" applyAlignment="1">
      <alignment horizontal="center" vertical="center"/>
    </xf>
    <xf numFmtId="49" fontId="4" fillId="0" borderId="12" xfId="0" applyNumberFormat="1" applyFont="1" applyFill="1" applyBorder="1" applyAlignment="1">
      <alignment horizontal="center" vertical="center" wrapText="1"/>
    </xf>
    <xf numFmtId="1" fontId="4" fillId="0" borderId="12" xfId="0" applyNumberFormat="1" applyFont="1" applyFill="1" applyBorder="1" applyAlignment="1">
      <alignment horizontal="center" vertical="center"/>
    </xf>
    <xf numFmtId="9" fontId="22" fillId="0" borderId="11" xfId="0" applyNumberFormat="1" applyFont="1" applyFill="1" applyBorder="1" applyAlignment="1">
      <alignment horizontal="center" vertical="center" wrapText="1"/>
    </xf>
    <xf numFmtId="1" fontId="4" fillId="0" borderId="16" xfId="0" quotePrefix="1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horizontal="right"/>
    </xf>
    <xf numFmtId="0" fontId="9" fillId="0" borderId="22" xfId="0" applyFont="1" applyFill="1" applyBorder="1" applyAlignment="1">
      <alignment vertical="center" wrapText="1"/>
    </xf>
    <xf numFmtId="0" fontId="4" fillId="0" borderId="30" xfId="0" applyFont="1" applyFill="1" applyBorder="1" applyAlignment="1">
      <alignment vertical="center" wrapText="1"/>
    </xf>
    <xf numFmtId="0" fontId="12" fillId="0" borderId="15" xfId="0" applyFont="1" applyFill="1" applyBorder="1" applyAlignment="1">
      <alignment horizontal="center" vertical="center"/>
    </xf>
    <xf numFmtId="49" fontId="4" fillId="0" borderId="13" xfId="0" applyNumberFormat="1" applyFont="1" applyFill="1" applyBorder="1" applyAlignment="1">
      <alignment horizontal="center" vertical="center" wrapText="1"/>
    </xf>
    <xf numFmtId="9" fontId="2" fillId="0" borderId="15" xfId="0" applyNumberFormat="1" applyFont="1" applyFill="1" applyBorder="1" applyAlignment="1">
      <alignment horizontal="center" vertical="center" wrapText="1"/>
    </xf>
    <xf numFmtId="168" fontId="3" fillId="0" borderId="15" xfId="0" applyNumberFormat="1" applyFont="1" applyFill="1" applyBorder="1" applyAlignment="1">
      <alignment horizontal="center" vertical="center" wrapText="1"/>
    </xf>
    <xf numFmtId="165" fontId="2" fillId="0" borderId="15" xfId="0" applyNumberFormat="1" applyFont="1" applyFill="1" applyBorder="1" applyAlignment="1">
      <alignment horizontal="center" vertical="center" wrapText="1"/>
    </xf>
    <xf numFmtId="166" fontId="3" fillId="0" borderId="15" xfId="0" applyNumberFormat="1" applyFont="1" applyFill="1" applyBorder="1" applyAlignment="1">
      <alignment horizontal="right" vertical="center" wrapText="1"/>
    </xf>
    <xf numFmtId="3" fontId="4" fillId="0" borderId="15" xfId="0" applyNumberFormat="1" applyFont="1" applyFill="1" applyBorder="1" applyAlignment="1">
      <alignment horizontal="right" vertical="center" wrapText="1"/>
    </xf>
    <xf numFmtId="0" fontId="22" fillId="0" borderId="30" xfId="0" applyFont="1" applyFill="1" applyBorder="1" applyAlignment="1">
      <alignment vertical="center" wrapText="1"/>
    </xf>
    <xf numFmtId="177" fontId="3" fillId="0" borderId="11" xfId="0" quotePrefix="1" applyNumberFormat="1" applyFont="1" applyFill="1" applyBorder="1" applyAlignment="1">
      <alignment horizontal="center" vertical="center" wrapText="1"/>
    </xf>
    <xf numFmtId="14" fontId="3" fillId="0" borderId="15" xfId="0" applyNumberFormat="1" applyFont="1" applyFill="1" applyBorder="1" applyAlignment="1">
      <alignment horizontal="center" vertical="center" wrapText="1"/>
    </xf>
    <xf numFmtId="177" fontId="3" fillId="0" borderId="15" xfId="0" quotePrefix="1" applyNumberFormat="1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vertical="center" wrapText="1"/>
    </xf>
    <xf numFmtId="168" fontId="3" fillId="0" borderId="15" xfId="0" applyNumberFormat="1" applyFont="1" applyFill="1" applyBorder="1" applyAlignment="1">
      <alignment horizontal="right" vertical="center" wrapText="1"/>
    </xf>
    <xf numFmtId="0" fontId="2" fillId="0" borderId="30" xfId="0" applyFont="1" applyFill="1" applyBorder="1" applyAlignment="1">
      <alignment horizontal="left" vertical="center" wrapText="1"/>
    </xf>
    <xf numFmtId="3" fontId="2" fillId="0" borderId="0" xfId="0" applyNumberFormat="1" applyFont="1" applyFill="1"/>
    <xf numFmtId="9" fontId="7" fillId="24" borderId="14" xfId="0" applyNumberFormat="1" applyFont="1" applyFill="1" applyBorder="1" applyAlignment="1">
      <alignment horizontal="center" vertical="center" wrapText="1"/>
    </xf>
    <xf numFmtId="9" fontId="2" fillId="24" borderId="11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/>
    </xf>
    <xf numFmtId="9" fontId="5" fillId="0" borderId="0" xfId="0" applyNumberFormat="1" applyFont="1" applyFill="1" applyAlignment="1">
      <alignment horizontal="center"/>
    </xf>
    <xf numFmtId="2" fontId="3" fillId="24" borderId="11" xfId="0" applyNumberFormat="1" applyFont="1" applyFill="1" applyBorder="1" applyAlignment="1">
      <alignment horizontal="center" vertical="center" wrapText="1"/>
    </xf>
    <xf numFmtId="178" fontId="9" fillId="0" borderId="17" xfId="28" applyNumberFormat="1" applyFont="1" applyFill="1" applyBorder="1" applyAlignment="1">
      <alignment horizontal="center" vertical="center" wrapText="1"/>
    </xf>
    <xf numFmtId="168" fontId="9" fillId="0" borderId="0" xfId="0" applyNumberFormat="1" applyFont="1" applyFill="1" applyAlignment="1">
      <alignment horizontal="center"/>
    </xf>
    <xf numFmtId="168" fontId="9" fillId="0" borderId="0" xfId="0" applyNumberFormat="1" applyFont="1" applyFill="1"/>
    <xf numFmtId="175" fontId="2" fillId="26" borderId="0" xfId="28" applyNumberFormat="1" applyFont="1" applyFill="1" applyAlignment="1">
      <alignment vertical="center" wrapText="1"/>
    </xf>
    <xf numFmtId="0" fontId="3" fillId="27" borderId="12" xfId="0" applyFont="1" applyFill="1" applyBorder="1" applyAlignment="1">
      <alignment vertical="center" wrapText="1"/>
    </xf>
    <xf numFmtId="0" fontId="4" fillId="27" borderId="16" xfId="0" applyFont="1" applyFill="1" applyBorder="1" applyAlignment="1">
      <alignment vertical="center" wrapText="1"/>
    </xf>
    <xf numFmtId="0" fontId="3" fillId="27" borderId="11" xfId="0" applyFont="1" applyFill="1" applyBorder="1" applyAlignment="1">
      <alignment horizontal="center" vertical="center"/>
    </xf>
    <xf numFmtId="49" fontId="3" fillId="27" borderId="11" xfId="0" applyNumberFormat="1" applyFont="1" applyFill="1" applyBorder="1" applyAlignment="1">
      <alignment horizontal="center" vertical="center" wrapText="1"/>
    </xf>
    <xf numFmtId="0" fontId="3" fillId="27" borderId="11" xfId="0" applyFont="1" applyFill="1" applyBorder="1" applyAlignment="1">
      <alignment horizontal="center" vertical="center" wrapText="1"/>
    </xf>
    <xf numFmtId="9" fontId="2" fillId="27" borderId="11" xfId="0" applyNumberFormat="1" applyFont="1" applyFill="1" applyBorder="1" applyAlignment="1">
      <alignment horizontal="center" vertical="center" wrapText="1"/>
    </xf>
    <xf numFmtId="0" fontId="2" fillId="27" borderId="11" xfId="0" applyFont="1" applyFill="1" applyBorder="1" applyAlignment="1">
      <alignment horizontal="center" vertical="center" wrapText="1"/>
    </xf>
    <xf numFmtId="168" fontId="3" fillId="27" borderId="11" xfId="0" applyNumberFormat="1" applyFont="1" applyFill="1" applyBorder="1" applyAlignment="1">
      <alignment horizontal="center" vertical="center" wrapText="1"/>
    </xf>
    <xf numFmtId="3" fontId="3" fillId="27" borderId="11" xfId="0" applyNumberFormat="1" applyFont="1" applyFill="1" applyBorder="1" applyAlignment="1">
      <alignment horizontal="right" vertical="center" wrapText="1"/>
    </xf>
    <xf numFmtId="165" fontId="2" fillId="27" borderId="11" xfId="0" applyNumberFormat="1" applyFont="1" applyFill="1" applyBorder="1" applyAlignment="1">
      <alignment horizontal="center" vertical="center" wrapText="1"/>
    </xf>
    <xf numFmtId="166" fontId="3" fillId="27" borderId="11" xfId="0" applyNumberFormat="1" applyFont="1" applyFill="1" applyBorder="1" applyAlignment="1">
      <alignment horizontal="right" vertical="center" wrapText="1"/>
    </xf>
    <xf numFmtId="0" fontId="3" fillId="0" borderId="15" xfId="0" applyFont="1" applyFill="1" applyBorder="1" applyAlignment="1">
      <alignment horizontal="center" vertical="center"/>
    </xf>
    <xf numFmtId="2" fontId="3" fillId="27" borderId="11" xfId="0" applyNumberFormat="1" applyFont="1" applyFill="1" applyBorder="1" applyAlignment="1">
      <alignment horizontal="right" vertical="center" wrapText="1"/>
    </xf>
    <xf numFmtId="3" fontId="4" fillId="27" borderId="11" xfId="0" applyNumberFormat="1" applyFont="1" applyFill="1" applyBorder="1" applyAlignment="1">
      <alignment horizontal="right" vertical="center" wrapText="1"/>
    </xf>
    <xf numFmtId="0" fontId="2" fillId="27" borderId="12" xfId="0" applyFont="1" applyFill="1" applyBorder="1" applyAlignment="1">
      <alignment horizontal="right" vertical="center" wrapText="1"/>
    </xf>
    <xf numFmtId="0" fontId="3" fillId="0" borderId="11" xfId="0" applyFont="1" applyFill="1" applyBorder="1" applyAlignment="1">
      <alignment horizontal="center"/>
    </xf>
    <xf numFmtId="168" fontId="5" fillId="0" borderId="0" xfId="0" applyNumberFormat="1" applyFont="1" applyFill="1"/>
    <xf numFmtId="0" fontId="3" fillId="0" borderId="31" xfId="0" applyFont="1" applyFill="1" applyBorder="1" applyAlignment="1">
      <alignment horizontal="center" vertical="center"/>
    </xf>
    <xf numFmtId="0" fontId="22" fillId="0" borderId="28" xfId="0" applyFont="1" applyFill="1" applyBorder="1" applyAlignment="1">
      <alignment vertical="center" wrapText="1"/>
    </xf>
    <xf numFmtId="0" fontId="22" fillId="0" borderId="32" xfId="0" applyFont="1" applyFill="1" applyBorder="1" applyAlignment="1">
      <alignment horizontal="left" vertical="center" wrapText="1"/>
    </xf>
    <xf numFmtId="0" fontId="3" fillId="0" borderId="11" xfId="0" applyFont="1" applyBorder="1" applyAlignment="1">
      <alignment horizontal="center" vertical="center" wrapText="1"/>
    </xf>
    <xf numFmtId="0" fontId="47" fillId="0" borderId="16" xfId="0" applyFont="1" applyFill="1" applyBorder="1" applyAlignment="1">
      <alignment horizontal="left" vertical="center" wrapText="1"/>
    </xf>
    <xf numFmtId="0" fontId="22" fillId="27" borderId="16" xfId="0" applyFont="1" applyFill="1" applyBorder="1" applyAlignment="1">
      <alignment vertical="center" wrapText="1"/>
    </xf>
    <xf numFmtId="0" fontId="22" fillId="27" borderId="16" xfId="0" applyFont="1" applyFill="1" applyBorder="1" applyAlignment="1">
      <alignment horizontal="left" vertical="center" wrapText="1"/>
    </xf>
    <xf numFmtId="0" fontId="46" fillId="0" borderId="30" xfId="0" applyFont="1" applyFill="1" applyBorder="1" applyAlignment="1">
      <alignment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vertical="center" wrapText="1"/>
    </xf>
    <xf numFmtId="167" fontId="3" fillId="0" borderId="15" xfId="0" applyNumberFormat="1" applyFont="1" applyFill="1" applyBorder="1" applyAlignment="1">
      <alignment horizontal="right" vertical="center" wrapText="1"/>
    </xf>
    <xf numFmtId="0" fontId="22" fillId="0" borderId="30" xfId="0" applyFont="1" applyFill="1" applyBorder="1" applyAlignment="1">
      <alignment horizontal="left" vertical="center" wrapText="1"/>
    </xf>
    <xf numFmtId="0" fontId="2" fillId="27" borderId="11" xfId="0" quotePrefix="1" applyFont="1" applyFill="1" applyBorder="1" applyAlignment="1">
      <alignment horizontal="center" vertical="center" wrapText="1"/>
    </xf>
    <xf numFmtId="2" fontId="3" fillId="27" borderId="11" xfId="0" applyNumberFormat="1" applyFont="1" applyFill="1" applyBorder="1" applyAlignment="1">
      <alignment horizontal="center" vertical="center" wrapText="1"/>
    </xf>
    <xf numFmtId="0" fontId="3" fillId="27" borderId="11" xfId="0" applyFont="1" applyFill="1" applyBorder="1" applyAlignment="1">
      <alignment vertical="center" wrapText="1"/>
    </xf>
    <xf numFmtId="165" fontId="3" fillId="27" borderId="11" xfId="0" applyNumberFormat="1" applyFont="1" applyFill="1" applyBorder="1" applyAlignment="1">
      <alignment horizontal="center" vertical="center" wrapText="1"/>
    </xf>
    <xf numFmtId="168" fontId="3" fillId="27" borderId="11" xfId="0" applyNumberFormat="1" applyFont="1" applyFill="1" applyBorder="1" applyAlignment="1">
      <alignment horizontal="right" vertical="center" wrapText="1"/>
    </xf>
    <xf numFmtId="0" fontId="2" fillId="27" borderId="16" xfId="0" applyFont="1" applyFill="1" applyBorder="1" applyAlignment="1">
      <alignment horizontal="left" vertical="center" wrapText="1"/>
    </xf>
    <xf numFmtId="0" fontId="3" fillId="0" borderId="18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175" fontId="2" fillId="24" borderId="0" xfId="28" applyNumberFormat="1" applyFont="1" applyFill="1" applyAlignment="1">
      <alignment vertical="center" wrapText="1"/>
    </xf>
    <xf numFmtId="0" fontId="46" fillId="27" borderId="16" xfId="0" applyFont="1" applyFill="1" applyBorder="1" applyAlignment="1">
      <alignment vertical="center" wrapText="1"/>
    </xf>
    <xf numFmtId="1" fontId="3" fillId="27" borderId="11" xfId="0" applyNumberFormat="1" applyFont="1" applyFill="1" applyBorder="1" applyAlignment="1">
      <alignment horizontal="center" vertical="center" wrapText="1"/>
    </xf>
    <xf numFmtId="3" fontId="3" fillId="27" borderId="25" xfId="0" applyNumberFormat="1" applyFont="1" applyFill="1" applyBorder="1" applyAlignment="1">
      <alignment horizontal="right" vertical="center" wrapText="1"/>
    </xf>
    <xf numFmtId="3" fontId="4" fillId="27" borderId="25" xfId="0" applyNumberFormat="1" applyFont="1" applyFill="1" applyBorder="1" applyAlignment="1">
      <alignment horizontal="right" vertical="center" wrapText="1"/>
    </xf>
    <xf numFmtId="2" fontId="4" fillId="0" borderId="17" xfId="0" applyNumberFormat="1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vertical="center" wrapText="1"/>
    </xf>
    <xf numFmtId="0" fontId="3" fillId="27" borderId="25" xfId="0" applyFont="1" applyFill="1" applyBorder="1" applyAlignment="1">
      <alignment horizontal="center" vertical="center" wrapText="1"/>
    </xf>
    <xf numFmtId="0" fontId="3" fillId="28" borderId="25" xfId="0" applyFont="1" applyFill="1" applyBorder="1" applyAlignment="1">
      <alignment horizontal="center" vertical="center" wrapText="1"/>
    </xf>
    <xf numFmtId="0" fontId="2" fillId="28" borderId="11" xfId="0" quotePrefix="1" applyFont="1" applyFill="1" applyBorder="1" applyAlignment="1">
      <alignment horizontal="center" vertical="center" wrapText="1"/>
    </xf>
    <xf numFmtId="0" fontId="3" fillId="28" borderId="12" xfId="0" applyFont="1" applyFill="1" applyBorder="1" applyAlignment="1">
      <alignment vertical="center" wrapText="1"/>
    </xf>
    <xf numFmtId="0" fontId="4" fillId="28" borderId="16" xfId="0" applyFont="1" applyFill="1" applyBorder="1" applyAlignment="1">
      <alignment vertical="center" wrapText="1"/>
    </xf>
    <xf numFmtId="14" fontId="3" fillId="28" borderId="11" xfId="0" applyNumberFormat="1" applyFont="1" applyFill="1" applyBorder="1" applyAlignment="1">
      <alignment horizontal="center" vertical="center" wrapText="1"/>
    </xf>
    <xf numFmtId="49" fontId="3" fillId="28" borderId="11" xfId="0" applyNumberFormat="1" applyFont="1" applyFill="1" applyBorder="1" applyAlignment="1">
      <alignment horizontal="center" vertical="center" wrapText="1"/>
    </xf>
    <xf numFmtId="2" fontId="3" fillId="28" borderId="11" xfId="0" applyNumberFormat="1" applyFont="1" applyFill="1" applyBorder="1" applyAlignment="1">
      <alignment horizontal="center" vertical="center" wrapText="1"/>
    </xf>
    <xf numFmtId="0" fontId="3" fillId="28" borderId="11" xfId="0" applyFont="1" applyFill="1" applyBorder="1" applyAlignment="1">
      <alignment vertical="center" wrapText="1"/>
    </xf>
    <xf numFmtId="0" fontId="2" fillId="28" borderId="11" xfId="0" applyFont="1" applyFill="1" applyBorder="1" applyAlignment="1">
      <alignment horizontal="center" vertical="center" wrapText="1"/>
    </xf>
    <xf numFmtId="0" fontId="3" fillId="28" borderId="11" xfId="0" applyFont="1" applyFill="1" applyBorder="1" applyAlignment="1">
      <alignment horizontal="center" vertical="center" wrapText="1"/>
    </xf>
    <xf numFmtId="3" fontId="3" fillId="28" borderId="11" xfId="0" applyNumberFormat="1" applyFont="1" applyFill="1" applyBorder="1" applyAlignment="1">
      <alignment horizontal="right" vertical="center" wrapText="1"/>
    </xf>
    <xf numFmtId="3" fontId="3" fillId="28" borderId="25" xfId="0" applyNumberFormat="1" applyFont="1" applyFill="1" applyBorder="1" applyAlignment="1">
      <alignment horizontal="right" vertical="center" wrapText="1"/>
    </xf>
    <xf numFmtId="165" fontId="3" fillId="28" borderId="11" xfId="0" applyNumberFormat="1" applyFont="1" applyFill="1" applyBorder="1" applyAlignment="1">
      <alignment horizontal="center" vertical="center" wrapText="1"/>
    </xf>
    <xf numFmtId="168" fontId="3" fillId="28" borderId="11" xfId="0" applyNumberFormat="1" applyFont="1" applyFill="1" applyBorder="1" applyAlignment="1">
      <alignment horizontal="right" vertical="center" wrapText="1"/>
    </xf>
    <xf numFmtId="2" fontId="3" fillId="28" borderId="11" xfId="0" applyNumberFormat="1" applyFont="1" applyFill="1" applyBorder="1" applyAlignment="1">
      <alignment horizontal="right" vertical="center" wrapText="1"/>
    </xf>
    <xf numFmtId="3" fontId="4" fillId="28" borderId="25" xfId="0" applyNumberFormat="1" applyFont="1" applyFill="1" applyBorder="1" applyAlignment="1">
      <alignment horizontal="right" vertical="center" wrapText="1"/>
    </xf>
    <xf numFmtId="0" fontId="2" fillId="28" borderId="12" xfId="0" applyFont="1" applyFill="1" applyBorder="1" applyAlignment="1">
      <alignment horizontal="right" vertical="center" wrapText="1"/>
    </xf>
    <xf numFmtId="0" fontId="2" fillId="28" borderId="16" xfId="0" applyFont="1" applyFill="1" applyBorder="1" applyAlignment="1">
      <alignment horizontal="left" vertical="center" wrapText="1"/>
    </xf>
    <xf numFmtId="0" fontId="2" fillId="28" borderId="0" xfId="0" applyFont="1" applyFill="1" applyAlignment="1">
      <alignment vertical="center" wrapText="1"/>
    </xf>
    <xf numFmtId="0" fontId="22" fillId="29" borderId="16" xfId="0" applyFont="1" applyFill="1" applyBorder="1" applyAlignment="1">
      <alignment vertical="center" wrapText="1"/>
    </xf>
    <xf numFmtId="0" fontId="22" fillId="29" borderId="16" xfId="0" applyFont="1" applyFill="1" applyBorder="1" applyAlignment="1">
      <alignment horizontal="left" vertical="center" wrapText="1"/>
    </xf>
    <xf numFmtId="0" fontId="3" fillId="30" borderId="11" xfId="0" applyFont="1" applyFill="1" applyBorder="1" applyAlignment="1">
      <alignment horizontal="center" vertical="center"/>
    </xf>
    <xf numFmtId="0" fontId="3" fillId="31" borderId="11" xfId="0" applyFont="1" applyFill="1" applyBorder="1" applyAlignment="1">
      <alignment horizontal="center" vertical="center"/>
    </xf>
    <xf numFmtId="0" fontId="3" fillId="31" borderId="33" xfId="0" applyFont="1" applyFill="1" applyBorder="1" applyAlignment="1">
      <alignment horizontal="center" vertical="center" wrapText="1"/>
    </xf>
    <xf numFmtId="0" fontId="46" fillId="28" borderId="16" xfId="0" applyFont="1" applyFill="1" applyBorder="1" applyAlignment="1">
      <alignment vertical="center" wrapText="1"/>
    </xf>
    <xf numFmtId="0" fontId="3" fillId="28" borderId="11" xfId="0" applyFont="1" applyFill="1" applyBorder="1" applyAlignment="1">
      <alignment horizontal="center" vertical="center"/>
    </xf>
    <xf numFmtId="9" fontId="2" fillId="28" borderId="11" xfId="0" applyNumberFormat="1" applyFont="1" applyFill="1" applyBorder="1" applyAlignment="1">
      <alignment horizontal="center" vertical="center" wrapText="1"/>
    </xf>
    <xf numFmtId="168" fontId="3" fillId="28" borderId="11" xfId="0" applyNumberFormat="1" applyFont="1" applyFill="1" applyBorder="1" applyAlignment="1">
      <alignment horizontal="center" vertical="center" wrapText="1"/>
    </xf>
    <xf numFmtId="165" fontId="2" fillId="28" borderId="11" xfId="0" applyNumberFormat="1" applyFont="1" applyFill="1" applyBorder="1" applyAlignment="1">
      <alignment horizontal="center" vertical="center" wrapText="1"/>
    </xf>
    <xf numFmtId="166" fontId="3" fillId="28" borderId="11" xfId="0" applyNumberFormat="1" applyFont="1" applyFill="1" applyBorder="1" applyAlignment="1">
      <alignment horizontal="right" vertical="center" wrapText="1"/>
    </xf>
    <xf numFmtId="3" fontId="4" fillId="28" borderId="11" xfId="0" applyNumberFormat="1" applyFont="1" applyFill="1" applyBorder="1" applyAlignment="1">
      <alignment horizontal="right" vertical="center" wrapText="1"/>
    </xf>
    <xf numFmtId="0" fontId="22" fillId="28" borderId="16" xfId="0" applyFont="1" applyFill="1" applyBorder="1" applyAlignment="1">
      <alignment vertical="center" wrapText="1"/>
    </xf>
    <xf numFmtId="0" fontId="3" fillId="30" borderId="12" xfId="0" applyFont="1" applyFill="1" applyBorder="1" applyAlignment="1">
      <alignment vertical="center" wrapText="1"/>
    </xf>
    <xf numFmtId="0" fontId="4" fillId="30" borderId="16" xfId="0" applyFont="1" applyFill="1" applyBorder="1" applyAlignment="1">
      <alignment vertical="center" wrapText="1"/>
    </xf>
    <xf numFmtId="49" fontId="3" fillId="30" borderId="11" xfId="0" applyNumberFormat="1" applyFont="1" applyFill="1" applyBorder="1" applyAlignment="1">
      <alignment horizontal="center" vertical="center" wrapText="1"/>
    </xf>
    <xf numFmtId="0" fontId="3" fillId="30" borderId="11" xfId="0" applyFont="1" applyFill="1" applyBorder="1" applyAlignment="1">
      <alignment horizontal="center" vertical="center" wrapText="1"/>
    </xf>
    <xf numFmtId="9" fontId="2" fillId="30" borderId="11" xfId="0" applyNumberFormat="1" applyFont="1" applyFill="1" applyBorder="1" applyAlignment="1">
      <alignment horizontal="center" vertical="center" wrapText="1"/>
    </xf>
    <xf numFmtId="0" fontId="2" fillId="30" borderId="11" xfId="0" applyFont="1" applyFill="1" applyBorder="1" applyAlignment="1">
      <alignment horizontal="center" vertical="center" wrapText="1"/>
    </xf>
    <xf numFmtId="168" fontId="3" fillId="30" borderId="11" xfId="0" applyNumberFormat="1" applyFont="1" applyFill="1" applyBorder="1" applyAlignment="1">
      <alignment horizontal="center" vertical="center" wrapText="1"/>
    </xf>
    <xf numFmtId="3" fontId="3" fillId="30" borderId="11" xfId="0" applyNumberFormat="1" applyFont="1" applyFill="1" applyBorder="1" applyAlignment="1">
      <alignment horizontal="right" vertical="center" wrapText="1"/>
    </xf>
    <xf numFmtId="165" fontId="2" fillId="30" borderId="11" xfId="0" applyNumberFormat="1" applyFont="1" applyFill="1" applyBorder="1" applyAlignment="1">
      <alignment horizontal="center" vertical="center" wrapText="1"/>
    </xf>
    <xf numFmtId="166" fontId="3" fillId="30" borderId="11" xfId="0" applyNumberFormat="1" applyFont="1" applyFill="1" applyBorder="1" applyAlignment="1">
      <alignment horizontal="right" vertical="center" wrapText="1"/>
    </xf>
    <xf numFmtId="2" fontId="3" fillId="30" borderId="11" xfId="0" applyNumberFormat="1" applyFont="1" applyFill="1" applyBorder="1" applyAlignment="1">
      <alignment horizontal="right" vertical="center" wrapText="1"/>
    </xf>
    <xf numFmtId="3" fontId="4" fillId="30" borderId="11" xfId="0" applyNumberFormat="1" applyFont="1" applyFill="1" applyBorder="1" applyAlignment="1">
      <alignment horizontal="right" vertical="center" wrapText="1"/>
    </xf>
    <xf numFmtId="0" fontId="2" fillId="30" borderId="12" xfId="0" applyFont="1" applyFill="1" applyBorder="1" applyAlignment="1">
      <alignment horizontal="right" vertical="center" wrapText="1"/>
    </xf>
    <xf numFmtId="0" fontId="22" fillId="30" borderId="16" xfId="0" applyFont="1" applyFill="1" applyBorder="1" applyAlignment="1">
      <alignment vertical="center" wrapText="1"/>
    </xf>
    <xf numFmtId="175" fontId="2" fillId="30" borderId="0" xfId="28" applyNumberFormat="1" applyFont="1" applyFill="1" applyAlignment="1">
      <alignment vertical="center" wrapText="1"/>
    </xf>
    <xf numFmtId="0" fontId="2" fillId="30" borderId="0" xfId="0" applyFont="1" applyFill="1" applyAlignment="1">
      <alignment vertical="center" wrapText="1"/>
    </xf>
    <xf numFmtId="49" fontId="4" fillId="28" borderId="11" xfId="0" applyNumberFormat="1" applyFont="1" applyFill="1" applyBorder="1" applyAlignment="1">
      <alignment horizontal="center" vertical="center" wrapText="1"/>
    </xf>
    <xf numFmtId="2" fontId="2" fillId="28" borderId="11" xfId="0" applyNumberFormat="1" applyFont="1" applyFill="1" applyBorder="1" applyAlignment="1">
      <alignment horizontal="center" vertical="center" wrapText="1"/>
    </xf>
    <xf numFmtId="0" fontId="3" fillId="24" borderId="15" xfId="0" applyFont="1" applyFill="1" applyBorder="1" applyAlignment="1">
      <alignment horizontal="center" vertical="center" wrapText="1"/>
    </xf>
    <xf numFmtId="0" fontId="3" fillId="24" borderId="18" xfId="0" applyFont="1" applyFill="1" applyBorder="1" applyAlignment="1">
      <alignment horizontal="center" vertical="center" wrapText="1"/>
    </xf>
    <xf numFmtId="0" fontId="3" fillId="24" borderId="25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/>
    </xf>
    <xf numFmtId="0" fontId="3" fillId="31" borderId="12" xfId="0" applyFont="1" applyFill="1" applyBorder="1" applyAlignment="1">
      <alignment vertical="center" wrapText="1"/>
    </xf>
    <xf numFmtId="0" fontId="4" fillId="31" borderId="16" xfId="0" applyFont="1" applyFill="1" applyBorder="1" applyAlignment="1">
      <alignment vertical="center" wrapText="1"/>
    </xf>
    <xf numFmtId="49" fontId="3" fillId="31" borderId="11" xfId="0" applyNumberFormat="1" applyFont="1" applyFill="1" applyBorder="1" applyAlignment="1">
      <alignment horizontal="center" vertical="center" wrapText="1"/>
    </xf>
    <xf numFmtId="0" fontId="3" fillId="31" borderId="11" xfId="0" applyFont="1" applyFill="1" applyBorder="1" applyAlignment="1">
      <alignment horizontal="center" vertical="center" wrapText="1"/>
    </xf>
    <xf numFmtId="9" fontId="2" fillId="31" borderId="11" xfId="0" applyNumberFormat="1" applyFont="1" applyFill="1" applyBorder="1" applyAlignment="1">
      <alignment horizontal="center" vertical="center" wrapText="1"/>
    </xf>
    <xf numFmtId="0" fontId="2" fillId="31" borderId="11" xfId="0" applyFont="1" applyFill="1" applyBorder="1" applyAlignment="1">
      <alignment horizontal="center" vertical="center" wrapText="1"/>
    </xf>
    <xf numFmtId="168" fontId="3" fillId="31" borderId="11" xfId="0" applyNumberFormat="1" applyFont="1" applyFill="1" applyBorder="1" applyAlignment="1">
      <alignment horizontal="center" vertical="center" wrapText="1"/>
    </xf>
    <xf numFmtId="3" fontId="3" fillId="31" borderId="11" xfId="0" applyNumberFormat="1" applyFont="1" applyFill="1" applyBorder="1" applyAlignment="1">
      <alignment horizontal="right" vertical="center" wrapText="1"/>
    </xf>
    <xf numFmtId="165" fontId="2" fillId="31" borderId="11" xfId="0" applyNumberFormat="1" applyFont="1" applyFill="1" applyBorder="1" applyAlignment="1">
      <alignment horizontal="center" vertical="center" wrapText="1"/>
    </xf>
    <xf numFmtId="166" fontId="3" fillId="31" borderId="11" xfId="0" applyNumberFormat="1" applyFont="1" applyFill="1" applyBorder="1" applyAlignment="1">
      <alignment horizontal="right" vertical="center" wrapText="1"/>
    </xf>
    <xf numFmtId="2" fontId="3" fillId="31" borderId="11" xfId="0" applyNumberFormat="1" applyFont="1" applyFill="1" applyBorder="1" applyAlignment="1">
      <alignment horizontal="right" vertical="center" wrapText="1"/>
    </xf>
    <xf numFmtId="3" fontId="4" fillId="31" borderId="11" xfId="0" applyNumberFormat="1" applyFont="1" applyFill="1" applyBorder="1" applyAlignment="1">
      <alignment horizontal="right" vertical="center" wrapText="1"/>
    </xf>
    <xf numFmtId="0" fontId="2" fillId="31" borderId="12" xfId="0" applyFont="1" applyFill="1" applyBorder="1" applyAlignment="1">
      <alignment horizontal="right" vertical="center" wrapText="1"/>
    </xf>
    <xf numFmtId="0" fontId="22" fillId="31" borderId="16" xfId="0" applyFont="1" applyFill="1" applyBorder="1" applyAlignment="1">
      <alignment horizontal="left" vertical="center" wrapText="1"/>
    </xf>
    <xf numFmtId="175" fontId="2" fillId="31" borderId="0" xfId="28" quotePrefix="1" applyNumberFormat="1" applyFont="1" applyFill="1" applyAlignment="1">
      <alignment vertical="center" wrapText="1"/>
    </xf>
    <xf numFmtId="175" fontId="2" fillId="31" borderId="0" xfId="28" applyNumberFormat="1" applyFont="1" applyFill="1" applyAlignment="1">
      <alignment vertical="center" wrapText="1"/>
    </xf>
    <xf numFmtId="0" fontId="2" fillId="31" borderId="0" xfId="0" applyFont="1" applyFill="1" applyAlignment="1">
      <alignment vertical="center" wrapText="1"/>
    </xf>
    <xf numFmtId="175" fontId="2" fillId="0" borderId="0" xfId="28" applyNumberFormat="1" applyFont="1" applyFill="1" applyAlignment="1">
      <alignment vertical="center"/>
    </xf>
    <xf numFmtId="0" fontId="4" fillId="0" borderId="10" xfId="0" applyFont="1" applyFill="1" applyBorder="1" applyAlignment="1">
      <alignment horizontal="center"/>
    </xf>
    <xf numFmtId="0" fontId="4" fillId="24" borderId="10" xfId="0" applyFont="1" applyFill="1" applyBorder="1" applyAlignment="1">
      <alignment horizontal="center"/>
    </xf>
    <xf numFmtId="0" fontId="4" fillId="0" borderId="10" xfId="0" applyFont="1" applyFill="1" applyBorder="1" applyAlignment="1">
      <alignment horizontal="right"/>
    </xf>
    <xf numFmtId="3" fontId="4" fillId="24" borderId="10" xfId="0" applyNumberFormat="1" applyFont="1" applyFill="1" applyBorder="1" applyAlignment="1">
      <alignment horizontal="right"/>
    </xf>
    <xf numFmtId="0" fontId="4" fillId="0" borderId="20" xfId="0" applyFont="1" applyFill="1" applyBorder="1" applyAlignment="1">
      <alignment horizontal="center"/>
    </xf>
    <xf numFmtId="0" fontId="5" fillId="0" borderId="0" xfId="0" applyFont="1" applyFill="1" applyBorder="1" applyAlignment="1"/>
    <xf numFmtId="3" fontId="5" fillId="0" borderId="0" xfId="0" applyNumberFormat="1" applyFont="1" applyFill="1" applyBorder="1" applyAlignment="1">
      <alignment horizontal="left"/>
    </xf>
    <xf numFmtId="0" fontId="9" fillId="0" borderId="10" xfId="0" applyFont="1" applyFill="1" applyBorder="1" applyAlignment="1">
      <alignment vertical="center" wrapText="1"/>
    </xf>
    <xf numFmtId="0" fontId="9" fillId="0" borderId="21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right" vertical="center" wrapText="1"/>
    </xf>
    <xf numFmtId="0" fontId="7" fillId="25" borderId="14" xfId="0" applyFont="1" applyFill="1" applyBorder="1" applyAlignment="1">
      <alignment horizontal="center" vertical="center" wrapText="1"/>
    </xf>
    <xf numFmtId="0" fontId="7" fillId="25" borderId="10" xfId="0" quotePrefix="1" applyFont="1" applyFill="1" applyBorder="1" applyAlignment="1">
      <alignment horizontal="center" vertical="center" wrapText="1"/>
    </xf>
    <xf numFmtId="0" fontId="9" fillId="25" borderId="0" xfId="0" applyFont="1" applyFill="1" applyAlignment="1"/>
    <xf numFmtId="0" fontId="9" fillId="25" borderId="0" xfId="0" applyFont="1" applyFill="1" applyAlignment="1">
      <alignment horizontal="center"/>
    </xf>
    <xf numFmtId="0" fontId="2" fillId="25" borderId="0" xfId="0" applyFont="1" applyFill="1"/>
    <xf numFmtId="0" fontId="12" fillId="25" borderId="0" xfId="0" applyFont="1" applyFill="1" applyAlignment="1">
      <alignment horizontal="right"/>
    </xf>
    <xf numFmtId="0" fontId="2" fillId="25" borderId="0" xfId="0" applyFont="1" applyFill="1" applyAlignment="1">
      <alignment horizontal="right"/>
    </xf>
    <xf numFmtId="0" fontId="7" fillId="25" borderId="0" xfId="0" applyFont="1" applyFill="1" applyAlignment="1">
      <alignment horizontal="right"/>
    </xf>
    <xf numFmtId="0" fontId="9" fillId="25" borderId="0" xfId="0" applyFont="1" applyFill="1"/>
    <xf numFmtId="0" fontId="5" fillId="25" borderId="0" xfId="0" applyFont="1" applyFill="1"/>
    <xf numFmtId="3" fontId="2" fillId="25" borderId="0" xfId="0" applyNumberFormat="1" applyFont="1" applyFill="1"/>
    <xf numFmtId="0" fontId="7" fillId="24" borderId="10" xfId="0" quotePrefix="1" applyFont="1" applyFill="1" applyBorder="1" applyAlignment="1">
      <alignment horizontal="center" vertical="center" wrapText="1"/>
    </xf>
    <xf numFmtId="2" fontId="7" fillId="24" borderId="10" xfId="0" quotePrefix="1" applyNumberFormat="1" applyFont="1" applyFill="1" applyBorder="1" applyAlignment="1">
      <alignment horizontal="center" vertical="center" wrapText="1"/>
    </xf>
    <xf numFmtId="3" fontId="3" fillId="32" borderId="11" xfId="0" applyNumberFormat="1" applyFont="1" applyFill="1" applyBorder="1" applyAlignment="1">
      <alignment horizontal="right" vertical="center" wrapText="1"/>
    </xf>
    <xf numFmtId="0" fontId="3" fillId="32" borderId="12" xfId="0" applyFont="1" applyFill="1" applyBorder="1" applyAlignment="1">
      <alignment vertical="center" wrapText="1"/>
    </xf>
    <xf numFmtId="0" fontId="4" fillId="32" borderId="16" xfId="0" applyFont="1" applyFill="1" applyBorder="1" applyAlignment="1">
      <alignment vertical="center" wrapText="1"/>
    </xf>
    <xf numFmtId="0" fontId="12" fillId="32" borderId="11" xfId="0" applyFont="1" applyFill="1" applyBorder="1" applyAlignment="1">
      <alignment horizontal="center" vertical="center"/>
    </xf>
    <xf numFmtId="0" fontId="3" fillId="32" borderId="11" xfId="0" applyFont="1" applyFill="1" applyBorder="1" applyAlignment="1">
      <alignment horizontal="center" vertical="center" wrapText="1"/>
    </xf>
    <xf numFmtId="9" fontId="2" fillId="32" borderId="11" xfId="0" applyNumberFormat="1" applyFont="1" applyFill="1" applyBorder="1" applyAlignment="1">
      <alignment horizontal="center" vertical="center" wrapText="1"/>
    </xf>
    <xf numFmtId="0" fontId="2" fillId="32" borderId="11" xfId="0" applyFont="1" applyFill="1" applyBorder="1" applyAlignment="1">
      <alignment horizontal="center" vertical="center" wrapText="1"/>
    </xf>
    <xf numFmtId="168" fontId="3" fillId="32" borderId="11" xfId="0" applyNumberFormat="1" applyFont="1" applyFill="1" applyBorder="1" applyAlignment="1">
      <alignment horizontal="center" vertical="center" wrapText="1"/>
    </xf>
    <xf numFmtId="2" fontId="3" fillId="32" borderId="11" xfId="0" applyNumberFormat="1" applyFont="1" applyFill="1" applyBorder="1" applyAlignment="1">
      <alignment horizontal="right" vertical="center" wrapText="1"/>
    </xf>
    <xf numFmtId="3" fontId="4" fillId="32" borderId="11" xfId="0" applyNumberFormat="1" applyFont="1" applyFill="1" applyBorder="1" applyAlignment="1">
      <alignment horizontal="right" vertical="center" wrapText="1"/>
    </xf>
    <xf numFmtId="0" fontId="2" fillId="32" borderId="0" xfId="0" applyFont="1" applyFill="1" applyAlignment="1">
      <alignment vertical="center" wrapText="1"/>
    </xf>
    <xf numFmtId="2" fontId="3" fillId="32" borderId="11" xfId="0" applyNumberFormat="1" applyFont="1" applyFill="1" applyBorder="1" applyAlignment="1">
      <alignment horizontal="center" vertical="center" wrapText="1"/>
    </xf>
    <xf numFmtId="0" fontId="3" fillId="32" borderId="11" xfId="0" applyFont="1" applyFill="1" applyBorder="1" applyAlignment="1">
      <alignment vertical="center" wrapText="1"/>
    </xf>
    <xf numFmtId="0" fontId="46" fillId="32" borderId="16" xfId="0" applyFont="1" applyFill="1" applyBorder="1" applyAlignment="1">
      <alignment vertical="center" wrapText="1"/>
    </xf>
    <xf numFmtId="0" fontId="52" fillId="32" borderId="11" xfId="0" applyFont="1" applyFill="1" applyBorder="1" applyAlignment="1">
      <alignment horizontal="center" vertical="center" wrapText="1"/>
    </xf>
    <xf numFmtId="0" fontId="3" fillId="32" borderId="24" xfId="0" applyFont="1" applyFill="1" applyBorder="1" applyAlignment="1">
      <alignment vertical="center" wrapText="1"/>
    </xf>
    <xf numFmtId="9" fontId="51" fillId="32" borderId="11" xfId="0" applyNumberFormat="1" applyFont="1" applyFill="1" applyBorder="1" applyAlignment="1">
      <alignment horizontal="center" vertical="center" wrapText="1"/>
    </xf>
    <xf numFmtId="0" fontId="12" fillId="32" borderId="11" xfId="0" quotePrefix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left"/>
    </xf>
    <xf numFmtId="0" fontId="57" fillId="32" borderId="16" xfId="0" applyFont="1" applyFill="1" applyBorder="1" applyAlignment="1">
      <alignment vertical="center" wrapText="1"/>
    </xf>
    <xf numFmtId="2" fontId="12" fillId="33" borderId="0" xfId="0" applyNumberFormat="1" applyFont="1" applyFill="1" applyAlignment="1">
      <alignment horizontal="right"/>
    </xf>
    <xf numFmtId="2" fontId="2" fillId="33" borderId="0" xfId="0" applyNumberFormat="1" applyFont="1" applyFill="1" applyAlignment="1">
      <alignment horizontal="right"/>
    </xf>
    <xf numFmtId="2" fontId="17" fillId="33" borderId="14" xfId="0" applyNumberFormat="1" applyFont="1" applyFill="1" applyBorder="1" applyAlignment="1">
      <alignment horizontal="center" vertical="center" wrapText="1"/>
    </xf>
    <xf numFmtId="2" fontId="7" fillId="33" borderId="10" xfId="0" quotePrefix="1" applyNumberFormat="1" applyFont="1" applyFill="1" applyBorder="1" applyAlignment="1">
      <alignment horizontal="center" vertical="center" wrapText="1"/>
    </xf>
    <xf numFmtId="2" fontId="3" fillId="33" borderId="11" xfId="0" applyNumberFormat="1" applyFont="1" applyFill="1" applyBorder="1" applyAlignment="1">
      <alignment horizontal="right" vertical="center" wrapText="1"/>
    </xf>
    <xf numFmtId="2" fontId="2" fillId="33" borderId="0" xfId="0" applyNumberFormat="1" applyFont="1" applyFill="1" applyAlignment="1">
      <alignment horizontal="center"/>
    </xf>
    <xf numFmtId="0" fontId="9" fillId="33" borderId="0" xfId="0" applyFont="1" applyFill="1" applyAlignment="1"/>
    <xf numFmtId="2" fontId="12" fillId="33" borderId="0" xfId="0" applyNumberFormat="1" applyFont="1" applyFill="1" applyAlignment="1">
      <alignment horizontal="center"/>
    </xf>
    <xf numFmtId="2" fontId="2" fillId="33" borderId="0" xfId="0" applyNumberFormat="1" applyFont="1" applyFill="1"/>
    <xf numFmtId="0" fontId="3" fillId="32" borderId="34" xfId="0" applyFont="1" applyFill="1" applyBorder="1" applyAlignment="1">
      <alignment horizontal="left" vertical="center" wrapText="1"/>
    </xf>
    <xf numFmtId="3" fontId="4" fillId="0" borderId="20" xfId="0" applyNumberFormat="1" applyFont="1" applyFill="1" applyBorder="1" applyAlignment="1">
      <alignment horizontal="right"/>
    </xf>
    <xf numFmtId="0" fontId="52" fillId="32" borderId="11" xfId="0" quotePrefix="1" applyFont="1" applyFill="1" applyBorder="1" applyAlignment="1">
      <alignment horizontal="center" vertical="center" wrapText="1"/>
    </xf>
    <xf numFmtId="166" fontId="3" fillId="34" borderId="11" xfId="0" applyNumberFormat="1" applyFont="1" applyFill="1" applyBorder="1" applyAlignment="1">
      <alignment horizontal="right" vertical="center" wrapText="1"/>
    </xf>
    <xf numFmtId="181" fontId="22" fillId="0" borderId="16" xfId="0" applyNumberFormat="1" applyFont="1" applyFill="1" applyBorder="1" applyAlignment="1">
      <alignment horizontal="justify" vertical="center" wrapText="1"/>
    </xf>
    <xf numFmtId="0" fontId="4" fillId="0" borderId="0" xfId="0" applyFont="1" applyFill="1"/>
    <xf numFmtId="0" fontId="12" fillId="0" borderId="18" xfId="0" applyFont="1" applyFill="1" applyBorder="1" applyAlignment="1">
      <alignment horizontal="center" vertical="center" wrapText="1"/>
    </xf>
    <xf numFmtId="0" fontId="2" fillId="35" borderId="11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24" borderId="10" xfId="0" applyFont="1" applyFill="1" applyBorder="1" applyAlignment="1">
      <alignment horizontal="center" vertical="center" wrapText="1"/>
    </xf>
    <xf numFmtId="9" fontId="6" fillId="24" borderId="10" xfId="0" applyNumberFormat="1" applyFont="1" applyFill="1" applyBorder="1" applyAlignment="1">
      <alignment horizontal="center" vertical="center" wrapText="1"/>
    </xf>
    <xf numFmtId="0" fontId="56" fillId="24" borderId="10" xfId="0" applyFont="1" applyFill="1" applyBorder="1" applyAlignment="1">
      <alignment horizontal="center" vertical="center" wrapText="1"/>
    </xf>
    <xf numFmtId="0" fontId="56" fillId="0" borderId="10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2" fontId="6" fillId="24" borderId="14" xfId="0" applyNumberFormat="1" applyFont="1" applyFill="1" applyBorder="1" applyAlignment="1">
      <alignment horizontal="center" vertical="center" wrapText="1"/>
    </xf>
    <xf numFmtId="0" fontId="4" fillId="36" borderId="16" xfId="0" applyFont="1" applyFill="1" applyBorder="1" applyAlignment="1">
      <alignment vertical="center" wrapText="1"/>
    </xf>
    <xf numFmtId="2" fontId="3" fillId="36" borderId="11" xfId="0" applyNumberFormat="1" applyFont="1" applyFill="1" applyBorder="1" applyAlignment="1">
      <alignment horizontal="right" vertical="center" wrapText="1"/>
    </xf>
    <xf numFmtId="0" fontId="6" fillId="25" borderId="10" xfId="0" applyFont="1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horizontal="center" vertical="center" wrapText="1"/>
    </xf>
    <xf numFmtId="0" fontId="12" fillId="37" borderId="11" xfId="0" applyFont="1" applyFill="1" applyBorder="1" applyAlignment="1">
      <alignment horizontal="center" vertical="center" wrapText="1"/>
    </xf>
    <xf numFmtId="2" fontId="3" fillId="37" borderId="11" xfId="0" applyNumberFormat="1" applyFont="1" applyFill="1" applyBorder="1" applyAlignment="1">
      <alignment horizontal="right" vertical="center" wrapText="1"/>
    </xf>
    <xf numFmtId="0" fontId="4" fillId="37" borderId="16" xfId="0" applyFont="1" applyFill="1" applyBorder="1" applyAlignment="1">
      <alignment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vertical="center" wrapText="1"/>
    </xf>
    <xf numFmtId="0" fontId="4" fillId="0" borderId="10" xfId="0" applyFont="1" applyFill="1" applyBorder="1" applyAlignment="1">
      <alignment horizontal="center" vertical="center" wrapText="1"/>
    </xf>
    <xf numFmtId="3" fontId="4" fillId="25" borderId="10" xfId="0" applyNumberFormat="1" applyFont="1" applyFill="1" applyBorder="1" applyAlignment="1">
      <alignment horizontal="center" vertical="center" wrapText="1"/>
    </xf>
    <xf numFmtId="3" fontId="4" fillId="0" borderId="10" xfId="0" applyNumberFormat="1" applyFont="1" applyFill="1" applyBorder="1" applyAlignment="1">
      <alignment vertical="center" wrapText="1"/>
    </xf>
    <xf numFmtId="176" fontId="4" fillId="0" borderId="10" xfId="0" applyNumberFormat="1" applyFont="1" applyFill="1" applyBorder="1" applyAlignment="1">
      <alignment vertical="center" wrapText="1"/>
    </xf>
    <xf numFmtId="3" fontId="4" fillId="33" borderId="10" xfId="0" applyNumberFormat="1" applyFont="1" applyFill="1" applyBorder="1" applyAlignment="1">
      <alignment vertical="center" wrapText="1"/>
    </xf>
    <xf numFmtId="14" fontId="12" fillId="32" borderId="11" xfId="0" applyNumberFormat="1" applyFont="1" applyFill="1" applyBorder="1" applyAlignment="1">
      <alignment horizontal="center" vertical="center"/>
    </xf>
    <xf numFmtId="0" fontId="3" fillId="32" borderId="16" xfId="0" applyFont="1" applyFill="1" applyBorder="1" applyAlignment="1">
      <alignment vertical="center"/>
    </xf>
    <xf numFmtId="0" fontId="12" fillId="0" borderId="10" xfId="0" applyFont="1" applyFill="1" applyBorder="1" applyAlignment="1">
      <alignment horizontal="center" vertical="center" wrapText="1"/>
    </xf>
    <xf numFmtId="0" fontId="12" fillId="0" borderId="10" xfId="0" quotePrefix="1" applyFont="1" applyFill="1" applyBorder="1" applyAlignment="1">
      <alignment horizontal="center" vertical="center" wrapText="1"/>
    </xf>
    <xf numFmtId="49" fontId="12" fillId="32" borderId="11" xfId="0" quotePrefix="1" applyNumberFormat="1" applyFont="1" applyFill="1" applyBorder="1" applyAlignment="1">
      <alignment horizontal="center" vertical="center" wrapText="1"/>
    </xf>
    <xf numFmtId="49" fontId="12" fillId="32" borderId="11" xfId="0" applyNumberFormat="1" applyFont="1" applyFill="1" applyBorder="1" applyAlignment="1">
      <alignment horizontal="center" vertical="center" wrapText="1"/>
    </xf>
    <xf numFmtId="49" fontId="12" fillId="0" borderId="11" xfId="0" applyNumberFormat="1" applyFont="1" applyFill="1" applyBorder="1" applyAlignment="1">
      <alignment horizontal="center" vertical="center" wrapText="1"/>
    </xf>
    <xf numFmtId="49" fontId="12" fillId="37" borderId="11" xfId="0" applyNumberFormat="1" applyFont="1" applyFill="1" applyBorder="1" applyAlignment="1">
      <alignment horizontal="center" vertical="center" wrapText="1"/>
    </xf>
    <xf numFmtId="1" fontId="12" fillId="32" borderId="11" xfId="0" quotePrefix="1" applyNumberFormat="1" applyFont="1" applyFill="1" applyBorder="1" applyAlignment="1">
      <alignment horizontal="center" vertical="center"/>
    </xf>
    <xf numFmtId="1" fontId="12" fillId="0" borderId="11" xfId="0" applyNumberFormat="1" applyFont="1" applyFill="1" applyBorder="1" applyAlignment="1">
      <alignment horizontal="center" vertical="center"/>
    </xf>
    <xf numFmtId="1" fontId="12" fillId="32" borderId="11" xfId="0" applyNumberFormat="1" applyFont="1" applyFill="1" applyBorder="1" applyAlignment="1">
      <alignment horizontal="center" vertical="center" wrapText="1"/>
    </xf>
    <xf numFmtId="1" fontId="12" fillId="0" borderId="11" xfId="0" quotePrefix="1" applyNumberFormat="1" applyFont="1" applyFill="1" applyBorder="1" applyAlignment="1">
      <alignment horizontal="center" vertical="center"/>
    </xf>
    <xf numFmtId="1" fontId="12" fillId="32" borderId="11" xfId="0" applyNumberFormat="1" applyFont="1" applyFill="1" applyBorder="1" applyAlignment="1">
      <alignment horizontal="center" vertical="center"/>
    </xf>
    <xf numFmtId="1" fontId="12" fillId="0" borderId="11" xfId="0" applyNumberFormat="1" applyFont="1" applyFill="1" applyBorder="1" applyAlignment="1">
      <alignment horizontal="center" vertical="center" wrapText="1"/>
    </xf>
    <xf numFmtId="49" fontId="12" fillId="0" borderId="11" xfId="0" quotePrefix="1" applyNumberFormat="1" applyFont="1" applyFill="1" applyBorder="1" applyAlignment="1">
      <alignment horizontal="center" vertical="center" wrapText="1"/>
    </xf>
    <xf numFmtId="49" fontId="12" fillId="36" borderId="11" xfId="0" applyNumberFormat="1" applyFont="1" applyFill="1" applyBorder="1" applyAlignment="1">
      <alignment horizontal="center" vertical="center" wrapText="1"/>
    </xf>
    <xf numFmtId="0" fontId="12" fillId="32" borderId="11" xfId="0" applyFont="1" applyFill="1" applyBorder="1" applyAlignment="1">
      <alignment horizontal="center" vertical="center" wrapText="1"/>
    </xf>
    <xf numFmtId="1" fontId="12" fillId="32" borderId="11" xfId="0" quotePrefix="1" applyNumberFormat="1" applyFont="1" applyFill="1" applyBorder="1" applyAlignment="1">
      <alignment horizontal="center" vertical="center" wrapText="1"/>
    </xf>
    <xf numFmtId="1" fontId="12" fillId="36" borderId="11" xfId="0" applyNumberFormat="1" applyFont="1" applyFill="1" applyBorder="1" applyAlignment="1">
      <alignment horizontal="center" vertical="center"/>
    </xf>
    <xf numFmtId="3" fontId="7" fillId="0" borderId="0" xfId="0" applyNumberFormat="1" applyFont="1" applyFill="1" applyBorder="1" applyAlignment="1">
      <alignment vertical="center" wrapText="1"/>
    </xf>
    <xf numFmtId="3" fontId="2" fillId="0" borderId="0" xfId="0" applyNumberFormat="1" applyFont="1" applyFill="1" applyBorder="1" applyAlignment="1">
      <alignment vertical="center" wrapText="1"/>
    </xf>
    <xf numFmtId="3" fontId="9" fillId="0" borderId="0" xfId="0" applyNumberFormat="1" applyFont="1" applyFill="1" applyAlignment="1">
      <alignment vertical="center" wrapText="1"/>
    </xf>
    <xf numFmtId="37" fontId="3" fillId="0" borderId="18" xfId="28" quotePrefix="1" applyNumberFormat="1" applyFont="1" applyBorder="1" applyAlignment="1">
      <alignment horizontal="center" vertical="center"/>
    </xf>
    <xf numFmtId="37" fontId="3" fillId="0" borderId="11" xfId="28" quotePrefix="1" applyNumberFormat="1" applyFont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 wrapText="1"/>
    </xf>
    <xf numFmtId="0" fontId="7" fillId="0" borderId="20" xfId="0" quotePrefix="1" applyFont="1" applyFill="1" applyBorder="1" applyAlignment="1">
      <alignment horizontal="center" vertical="center" wrapText="1"/>
    </xf>
    <xf numFmtId="3" fontId="4" fillId="0" borderId="20" xfId="0" applyNumberFormat="1" applyFont="1" applyFill="1" applyBorder="1" applyAlignment="1">
      <alignment vertical="center" wrapText="1"/>
    </xf>
    <xf numFmtId="181" fontId="2" fillId="0" borderId="16" xfId="0" applyNumberFormat="1" applyFont="1" applyBorder="1" applyAlignment="1">
      <alignment horizontal="left" vertical="center" wrapText="1"/>
    </xf>
    <xf numFmtId="0" fontId="3" fillId="32" borderId="12" xfId="0" applyFont="1" applyFill="1" applyBorder="1" applyAlignment="1">
      <alignment vertical="center"/>
    </xf>
    <xf numFmtId="2" fontId="2" fillId="32" borderId="11" xfId="0" applyNumberFormat="1" applyFont="1" applyFill="1" applyBorder="1" applyAlignment="1">
      <alignment horizontal="center" vertical="center" wrapText="1"/>
    </xf>
    <xf numFmtId="1" fontId="22" fillId="32" borderId="16" xfId="0" quotePrefix="1" applyNumberFormat="1" applyFont="1" applyFill="1" applyBorder="1" applyAlignment="1">
      <alignment horizontal="center" vertical="center"/>
    </xf>
    <xf numFmtId="0" fontId="2" fillId="38" borderId="11" xfId="0" applyFont="1" applyFill="1" applyBorder="1" applyAlignment="1">
      <alignment horizontal="center" vertical="center" wrapText="1"/>
    </xf>
    <xf numFmtId="37" fontId="2" fillId="0" borderId="0" xfId="0" applyNumberFormat="1" applyFont="1" applyFill="1" applyAlignment="1">
      <alignment horizontal="center" vertical="top"/>
    </xf>
    <xf numFmtId="0" fontId="9" fillId="34" borderId="0" xfId="0" applyFont="1" applyFill="1" applyAlignment="1"/>
    <xf numFmtId="166" fontId="12" fillId="34" borderId="0" xfId="0" applyNumberFormat="1" applyFont="1" applyFill="1" applyAlignment="1">
      <alignment horizontal="right"/>
    </xf>
    <xf numFmtId="166" fontId="2" fillId="34" borderId="0" xfId="0" applyNumberFormat="1" applyFont="1" applyFill="1" applyAlignment="1">
      <alignment horizontal="right"/>
    </xf>
    <xf numFmtId="166" fontId="11" fillId="34" borderId="14" xfId="0" applyNumberFormat="1" applyFont="1" applyFill="1" applyBorder="1" applyAlignment="1">
      <alignment horizontal="center" vertical="center" wrapText="1"/>
    </xf>
    <xf numFmtId="166" fontId="11" fillId="34" borderId="10" xfId="0" quotePrefix="1" applyNumberFormat="1" applyFont="1" applyFill="1" applyBorder="1" applyAlignment="1">
      <alignment horizontal="center" vertical="center" wrapText="1"/>
    </xf>
    <xf numFmtId="168" fontId="3" fillId="34" borderId="11" xfId="0" applyNumberFormat="1" applyFont="1" applyFill="1" applyBorder="1" applyAlignment="1">
      <alignment horizontal="right" vertical="center" wrapText="1"/>
    </xf>
    <xf numFmtId="166" fontId="3" fillId="34" borderId="11" xfId="0" applyNumberFormat="1" applyFont="1" applyFill="1" applyBorder="1" applyAlignment="1">
      <alignment horizontal="center" vertical="center" wrapText="1"/>
    </xf>
    <xf numFmtId="166" fontId="2" fillId="34" borderId="0" xfId="0" applyNumberFormat="1" applyFont="1" applyFill="1" applyAlignment="1">
      <alignment horizontal="center"/>
    </xf>
    <xf numFmtId="166" fontId="9" fillId="34" borderId="0" xfId="0" applyNumberFormat="1" applyFont="1" applyFill="1" applyAlignment="1">
      <alignment horizontal="center"/>
    </xf>
    <xf numFmtId="166" fontId="12" fillId="34" borderId="0" xfId="0" applyNumberFormat="1" applyFont="1" applyFill="1" applyAlignment="1">
      <alignment horizontal="center"/>
    </xf>
    <xf numFmtId="166" fontId="2" fillId="34" borderId="0" xfId="0" applyNumberFormat="1" applyFont="1" applyFill="1"/>
    <xf numFmtId="166" fontId="3" fillId="32" borderId="11" xfId="0" applyNumberFormat="1" applyFont="1" applyFill="1" applyBorder="1" applyAlignment="1">
      <alignment horizontal="right" vertical="center" wrapText="1"/>
    </xf>
    <xf numFmtId="164" fontId="2" fillId="0" borderId="0" xfId="28" applyNumberFormat="1" applyFont="1" applyFill="1" applyAlignment="1">
      <alignment vertical="center" wrapText="1"/>
    </xf>
    <xf numFmtId="0" fontId="3" fillId="32" borderId="34" xfId="0" applyFont="1" applyFill="1" applyBorder="1" applyAlignment="1">
      <alignment vertical="center" wrapText="1"/>
    </xf>
    <xf numFmtId="2" fontId="12" fillId="32" borderId="11" xfId="0" applyNumberFormat="1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 wrapText="1"/>
    </xf>
    <xf numFmtId="179" fontId="2" fillId="0" borderId="0" xfId="28" applyNumberFormat="1" applyFont="1" applyFill="1" applyAlignment="1">
      <alignment vertical="center" wrapText="1"/>
    </xf>
    <xf numFmtId="3" fontId="3" fillId="32" borderId="11" xfId="0" applyNumberFormat="1" applyFont="1" applyFill="1" applyBorder="1" applyAlignment="1" applyProtection="1">
      <alignment horizontal="right" vertical="center" wrapText="1"/>
      <protection hidden="1"/>
    </xf>
    <xf numFmtId="37" fontId="3" fillId="32" borderId="11" xfId="28" quotePrefix="1" applyNumberFormat="1" applyFont="1" applyFill="1" applyBorder="1" applyAlignment="1">
      <alignment horizontal="center" vertical="center"/>
    </xf>
    <xf numFmtId="9" fontId="22" fillId="32" borderId="11" xfId="0" applyNumberFormat="1" applyFont="1" applyFill="1" applyBorder="1" applyAlignment="1">
      <alignment horizontal="center" vertical="center" wrapText="1"/>
    </xf>
    <xf numFmtId="167" fontId="2" fillId="0" borderId="0" xfId="0" applyNumberFormat="1" applyFont="1" applyFill="1" applyAlignment="1">
      <alignment vertical="center" wrapText="1"/>
    </xf>
    <xf numFmtId="180" fontId="2" fillId="0" borderId="0" xfId="0" applyNumberFormat="1" applyFont="1" applyFill="1" applyAlignment="1">
      <alignment vertical="center" wrapText="1"/>
    </xf>
    <xf numFmtId="181" fontId="22" fillId="0" borderId="0" xfId="0" applyNumberFormat="1" applyFont="1" applyFill="1" applyBorder="1" applyAlignment="1">
      <alignment horizontal="justify" vertical="center" wrapText="1"/>
    </xf>
    <xf numFmtId="0" fontId="2" fillId="39" borderId="11" xfId="0" applyFont="1" applyFill="1" applyBorder="1" applyAlignment="1">
      <alignment horizontal="center" vertical="center" wrapText="1"/>
    </xf>
    <xf numFmtId="168" fontId="12" fillId="32" borderId="11" xfId="0" applyNumberFormat="1" applyFont="1" applyFill="1" applyBorder="1" applyAlignment="1">
      <alignment horizontal="center" vertical="center"/>
    </xf>
    <xf numFmtId="3" fontId="0" fillId="0" borderId="0" xfId="0" applyNumberFormat="1"/>
    <xf numFmtId="37" fontId="3" fillId="0" borderId="15" xfId="28" quotePrefix="1" applyNumberFormat="1" applyFont="1" applyBorder="1" applyAlignment="1">
      <alignment horizontal="center" vertical="center"/>
    </xf>
    <xf numFmtId="180" fontId="4" fillId="34" borderId="10" xfId="0" applyNumberFormat="1" applyFont="1" applyFill="1" applyBorder="1" applyAlignment="1">
      <alignment vertical="center" wrapText="1"/>
    </xf>
    <xf numFmtId="168" fontId="3" fillId="32" borderId="11" xfId="0" applyNumberFormat="1" applyFont="1" applyFill="1" applyBorder="1" applyAlignment="1">
      <alignment horizontal="right" vertical="center" wrapText="1"/>
    </xf>
    <xf numFmtId="49" fontId="3" fillId="32" borderId="11" xfId="0" quotePrefix="1" applyNumberFormat="1" applyFont="1" applyFill="1" applyBorder="1" applyAlignment="1">
      <alignment horizontal="center" vertical="center" wrapText="1"/>
    </xf>
    <xf numFmtId="49" fontId="12" fillId="32" borderId="18" xfId="0" quotePrefix="1" applyNumberFormat="1" applyFont="1" applyFill="1" applyBorder="1" applyAlignment="1">
      <alignment horizontal="center" vertical="center" wrapText="1"/>
    </xf>
    <xf numFmtId="1" fontId="3" fillId="32" borderId="11" xfId="0" quotePrefix="1" applyNumberFormat="1" applyFont="1" applyFill="1" applyBorder="1" applyAlignment="1">
      <alignment horizontal="center" vertical="center" wrapText="1"/>
    </xf>
    <xf numFmtId="1" fontId="3" fillId="32" borderId="11" xfId="0" quotePrefix="1" applyNumberFormat="1" applyFont="1" applyFill="1" applyBorder="1" applyAlignment="1">
      <alignment horizontal="center" vertical="center"/>
    </xf>
    <xf numFmtId="1" fontId="3" fillId="0" borderId="11" xfId="0" quotePrefix="1" applyNumberFormat="1" applyFont="1" applyFill="1" applyBorder="1" applyAlignment="1">
      <alignment horizontal="center" vertical="center" wrapText="1"/>
    </xf>
    <xf numFmtId="0" fontId="2" fillId="32" borderId="11" xfId="0" quotePrefix="1" applyFont="1" applyFill="1" applyBorder="1" applyAlignment="1">
      <alignment horizontal="center" vertical="center"/>
    </xf>
    <xf numFmtId="0" fontId="12" fillId="0" borderId="15" xfId="0" applyFont="1" applyFill="1" applyBorder="1" applyAlignment="1">
      <alignment horizontal="center" vertical="center" wrapText="1"/>
    </xf>
    <xf numFmtId="1" fontId="12" fillId="0" borderId="30" xfId="0" quotePrefix="1" applyNumberFormat="1" applyFont="1" applyFill="1" applyBorder="1" applyAlignment="1">
      <alignment horizontal="center" vertical="center"/>
    </xf>
    <xf numFmtId="166" fontId="3" fillId="32" borderId="11" xfId="0" applyNumberFormat="1" applyFont="1" applyFill="1" applyBorder="1" applyAlignment="1">
      <alignment horizontal="center" vertical="center" wrapText="1"/>
    </xf>
    <xf numFmtId="1" fontId="3" fillId="32" borderId="11" xfId="0" applyNumberFormat="1" applyFont="1" applyFill="1" applyBorder="1" applyAlignment="1">
      <alignment horizontal="center" vertical="center" wrapText="1"/>
    </xf>
    <xf numFmtId="175" fontId="2" fillId="32" borderId="0" xfId="28" applyNumberFormat="1" applyFont="1" applyFill="1" applyAlignment="1">
      <alignment vertical="center" wrapText="1"/>
    </xf>
    <xf numFmtId="0" fontId="12" fillId="32" borderId="16" xfId="0" quotePrefix="1" applyFont="1" applyFill="1" applyBorder="1" applyAlignment="1">
      <alignment horizontal="center" vertical="center" wrapText="1"/>
    </xf>
    <xf numFmtId="2" fontId="3" fillId="32" borderId="11" xfId="43" applyNumberFormat="1" applyFont="1" applyFill="1" applyBorder="1" applyAlignment="1">
      <alignment horizontal="center" vertical="center" wrapText="1"/>
    </xf>
    <xf numFmtId="0" fontId="4" fillId="32" borderId="28" xfId="0" applyFont="1" applyFill="1" applyBorder="1" applyAlignment="1">
      <alignment horizontal="left" vertical="center" wrapText="1"/>
    </xf>
    <xf numFmtId="37" fontId="3" fillId="0" borderId="12" xfId="28" quotePrefix="1" applyNumberFormat="1" applyFont="1" applyBorder="1" applyAlignment="1">
      <alignment horizontal="center" vertical="center"/>
    </xf>
    <xf numFmtId="0" fontId="4" fillId="0" borderId="0" xfId="0" applyNumberFormat="1" applyFont="1" applyFill="1" applyAlignment="1">
      <alignment horizontal="left" vertical="center"/>
    </xf>
    <xf numFmtId="181" fontId="22" fillId="0" borderId="16" xfId="0" applyNumberFormat="1" applyFont="1" applyFill="1" applyBorder="1" applyAlignment="1" applyProtection="1">
      <alignment horizontal="justify" vertical="center" wrapText="1"/>
      <protection hidden="1"/>
    </xf>
    <xf numFmtId="3" fontId="3" fillId="32" borderId="11" xfId="0" applyNumberFormat="1" applyFont="1" applyFill="1" applyBorder="1" applyAlignment="1" applyProtection="1">
      <alignment horizontal="right" vertical="center" wrapText="1"/>
      <protection locked="0" hidden="1"/>
    </xf>
    <xf numFmtId="0" fontId="2" fillId="0" borderId="0" xfId="0" applyFont="1" applyFill="1" applyBorder="1"/>
    <xf numFmtId="0" fontId="12" fillId="0" borderId="0" xfId="0" applyFont="1" applyFill="1" applyBorder="1"/>
    <xf numFmtId="168" fontId="2" fillId="0" borderId="0" xfId="0" applyNumberFormat="1" applyFont="1" applyFill="1" applyBorder="1" applyAlignment="1">
      <alignment vertical="center" wrapText="1"/>
    </xf>
    <xf numFmtId="179" fontId="2" fillId="0" borderId="0" xfId="28" applyNumberFormat="1" applyFont="1" applyFill="1" applyBorder="1" applyAlignment="1">
      <alignment vertical="center" wrapText="1"/>
    </xf>
    <xf numFmtId="182" fontId="2" fillId="0" borderId="0" xfId="0" applyNumberFormat="1" applyFont="1" applyFill="1" applyBorder="1" applyAlignment="1">
      <alignment vertical="center" wrapText="1"/>
    </xf>
    <xf numFmtId="0" fontId="9" fillId="0" borderId="0" xfId="0" applyFont="1" applyFill="1" applyBorder="1" applyAlignment="1">
      <alignment vertical="center" wrapText="1"/>
    </xf>
    <xf numFmtId="3" fontId="19" fillId="0" borderId="0" xfId="0" applyNumberFormat="1" applyFont="1" applyFill="1" applyBorder="1" applyAlignment="1"/>
    <xf numFmtId="0" fontId="5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3" fontId="5" fillId="0" borderId="0" xfId="0" applyNumberFormat="1" applyFont="1" applyFill="1" applyAlignment="1">
      <alignment horizontal="left" vertical="center"/>
    </xf>
    <xf numFmtId="0" fontId="9" fillId="0" borderId="0" xfId="0" applyFont="1" applyFill="1" applyAlignment="1">
      <alignment vertical="center"/>
    </xf>
    <xf numFmtId="0" fontId="9" fillId="0" borderId="0" xfId="0" applyFont="1" applyFill="1" applyAlignment="1">
      <alignment horizontal="center" vertical="center"/>
    </xf>
    <xf numFmtId="165" fontId="9" fillId="0" borderId="0" xfId="0" applyNumberFormat="1" applyFont="1" applyFill="1" applyAlignment="1">
      <alignment vertical="center"/>
    </xf>
    <xf numFmtId="0" fontId="12" fillId="0" borderId="0" xfId="0" applyFont="1" applyFill="1" applyAlignment="1">
      <alignment horizontal="center" vertical="center"/>
    </xf>
    <xf numFmtId="168" fontId="12" fillId="0" borderId="0" xfId="0" applyNumberFormat="1" applyFont="1" applyFill="1" applyAlignment="1">
      <alignment horizontal="center" vertical="center"/>
    </xf>
    <xf numFmtId="0" fontId="12" fillId="25" borderId="0" xfId="0" applyFont="1" applyFill="1" applyAlignment="1">
      <alignment horizontal="right" vertical="center"/>
    </xf>
    <xf numFmtId="0" fontId="9" fillId="0" borderId="0" xfId="0" applyFont="1" applyFill="1" applyAlignment="1">
      <alignment horizontal="right" vertical="center"/>
    </xf>
    <xf numFmtId="0" fontId="9" fillId="0" borderId="0" xfId="0" applyFont="1" applyFill="1" applyAlignment="1">
      <alignment horizontal="left" vertical="center"/>
    </xf>
    <xf numFmtId="2" fontId="12" fillId="33" borderId="0" xfId="0" applyNumberFormat="1" applyFont="1" applyFill="1" applyAlignment="1">
      <alignment horizontal="right" vertical="center"/>
    </xf>
    <xf numFmtId="0" fontId="12" fillId="0" borderId="0" xfId="0" applyFont="1" applyFill="1" applyAlignment="1">
      <alignment horizontal="right" vertical="center"/>
    </xf>
    <xf numFmtId="0" fontId="2" fillId="0" borderId="0" xfId="0" applyFont="1" applyFill="1" applyAlignment="1">
      <alignment horizontal="center" vertical="center"/>
    </xf>
    <xf numFmtId="3" fontId="12" fillId="0" borderId="0" xfId="0" applyNumberFormat="1" applyFont="1" applyFill="1" applyAlignment="1">
      <alignment vertical="center"/>
    </xf>
    <xf numFmtId="0" fontId="12" fillId="0" borderId="0" xfId="0" applyFont="1" applyFill="1" applyBorder="1" applyAlignment="1">
      <alignment vertical="center"/>
    </xf>
    <xf numFmtId="175" fontId="12" fillId="0" borderId="0" xfId="28" applyNumberFormat="1" applyFont="1" applyFill="1" applyAlignment="1">
      <alignment vertical="center"/>
    </xf>
    <xf numFmtId="0" fontId="2" fillId="40" borderId="11" xfId="0" applyFont="1" applyFill="1" applyBorder="1" applyAlignment="1">
      <alignment horizontal="center" vertical="center" wrapText="1"/>
    </xf>
    <xf numFmtId="1" fontId="3" fillId="32" borderId="11" xfId="0" applyNumberFormat="1" applyFont="1" applyFill="1" applyBorder="1" applyAlignment="1">
      <alignment horizontal="center" vertical="center"/>
    </xf>
    <xf numFmtId="0" fontId="2" fillId="32" borderId="12" xfId="0" quotePrefix="1" applyFont="1" applyFill="1" applyBorder="1" applyAlignment="1">
      <alignment horizontal="left" vertical="center" wrapText="1"/>
    </xf>
    <xf numFmtId="4" fontId="3" fillId="0" borderId="11" xfId="0" applyNumberFormat="1" applyFont="1" applyFill="1" applyBorder="1" applyAlignment="1">
      <alignment horizontal="center" vertical="center" wrapText="1"/>
    </xf>
    <xf numFmtId="3" fontId="3" fillId="0" borderId="11" xfId="0" quotePrefix="1" applyNumberFormat="1" applyFont="1" applyFill="1" applyBorder="1" applyAlignment="1">
      <alignment horizontal="right" vertical="center" wrapText="1"/>
    </xf>
    <xf numFmtId="0" fontId="2" fillId="0" borderId="12" xfId="0" applyFont="1" applyFill="1" applyBorder="1" applyAlignment="1">
      <alignment horizontal="left" vertical="center" wrapText="1"/>
    </xf>
    <xf numFmtId="168" fontId="4" fillId="0" borderId="10" xfId="0" applyNumberFormat="1" applyFont="1" applyFill="1" applyBorder="1" applyAlignment="1">
      <alignment horizontal="center"/>
    </xf>
    <xf numFmtId="37" fontId="4" fillId="0" borderId="10" xfId="0" applyNumberFormat="1" applyFont="1" applyFill="1" applyBorder="1" applyAlignment="1">
      <alignment horizontal="center"/>
    </xf>
    <xf numFmtId="182" fontId="2" fillId="0" borderId="0" xfId="0" applyNumberFormat="1" applyFont="1" applyFill="1" applyAlignment="1">
      <alignment vertical="center" wrapText="1"/>
    </xf>
    <xf numFmtId="37" fontId="3" fillId="32" borderId="12" xfId="28" quotePrefix="1" applyNumberFormat="1" applyFont="1" applyFill="1" applyBorder="1" applyAlignment="1">
      <alignment horizontal="center" vertical="center"/>
    </xf>
    <xf numFmtId="3" fontId="2" fillId="0" borderId="0" xfId="0" quotePrefix="1" applyNumberFormat="1" applyFont="1" applyFill="1" applyAlignment="1">
      <alignment vertical="center" wrapText="1"/>
    </xf>
    <xf numFmtId="3" fontId="2" fillId="0" borderId="36" xfId="0" quotePrefix="1" applyNumberFormat="1" applyFont="1" applyFill="1" applyBorder="1" applyAlignment="1">
      <alignment vertical="center" wrapText="1"/>
    </xf>
    <xf numFmtId="181" fontId="22" fillId="0" borderId="0" xfId="0" applyNumberFormat="1" applyFont="1" applyFill="1" applyBorder="1" applyAlignment="1">
      <alignment vertical="center" wrapText="1"/>
    </xf>
    <xf numFmtId="0" fontId="9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19" fillId="32" borderId="16" xfId="0" applyFont="1" applyFill="1" applyBorder="1" applyAlignment="1">
      <alignment vertical="center" wrapText="1"/>
    </xf>
    <xf numFmtId="9" fontId="2" fillId="32" borderId="11" xfId="0" applyNumberFormat="1" applyFont="1" applyFill="1" applyBorder="1" applyAlignment="1">
      <alignment horizontal="center" vertical="center"/>
    </xf>
    <xf numFmtId="0" fontId="4" fillId="39" borderId="16" xfId="0" applyFont="1" applyFill="1" applyBorder="1" applyAlignment="1">
      <alignment vertical="center" wrapText="1"/>
    </xf>
    <xf numFmtId="9" fontId="2" fillId="39" borderId="11" xfId="0" applyNumberFormat="1" applyFont="1" applyFill="1" applyBorder="1" applyAlignment="1">
      <alignment horizontal="center" vertical="center" wrapText="1"/>
    </xf>
    <xf numFmtId="168" fontId="3" fillId="39" borderId="11" xfId="0" applyNumberFormat="1" applyFont="1" applyFill="1" applyBorder="1" applyAlignment="1">
      <alignment horizontal="center" vertical="center" wrapText="1"/>
    </xf>
    <xf numFmtId="3" fontId="3" fillId="39" borderId="11" xfId="0" applyNumberFormat="1" applyFont="1" applyFill="1" applyBorder="1" applyAlignment="1">
      <alignment horizontal="right" vertical="center" wrapText="1"/>
    </xf>
    <xf numFmtId="3" fontId="3" fillId="39" borderId="11" xfId="0" applyNumberFormat="1" applyFont="1" applyFill="1" applyBorder="1" applyAlignment="1" applyProtection="1">
      <alignment horizontal="right" vertical="center" wrapText="1"/>
      <protection locked="0" hidden="1"/>
    </xf>
    <xf numFmtId="37" fontId="3" fillId="39" borderId="11" xfId="28" quotePrefix="1" applyNumberFormat="1" applyFont="1" applyFill="1" applyBorder="1" applyAlignment="1">
      <alignment horizontal="center" vertical="center"/>
    </xf>
    <xf numFmtId="166" fontId="3" fillId="39" borderId="11" xfId="0" applyNumberFormat="1" applyFont="1" applyFill="1" applyBorder="1" applyAlignment="1">
      <alignment horizontal="right" vertical="center" wrapText="1"/>
    </xf>
    <xf numFmtId="2" fontId="3" fillId="39" borderId="11" xfId="0" applyNumberFormat="1" applyFont="1" applyFill="1" applyBorder="1" applyAlignment="1">
      <alignment horizontal="right" vertical="center" wrapText="1"/>
    </xf>
    <xf numFmtId="0" fontId="2" fillId="0" borderId="0" xfId="0" applyFont="1" applyFill="1" applyAlignment="1">
      <alignment horizontal="center" vertical="center" wrapText="1"/>
    </xf>
    <xf numFmtId="0" fontId="58" fillId="0" borderId="0" xfId="0" applyFont="1" applyFill="1"/>
    <xf numFmtId="3" fontId="2" fillId="32" borderId="0" xfId="0" applyNumberFormat="1" applyFont="1" applyFill="1" applyAlignment="1">
      <alignment vertical="center" wrapText="1"/>
    </xf>
    <xf numFmtId="0" fontId="2" fillId="32" borderId="0" xfId="0" applyFont="1" applyFill="1" applyBorder="1" applyAlignment="1">
      <alignment vertical="center" wrapText="1"/>
    </xf>
    <xf numFmtId="0" fontId="2" fillId="32" borderId="24" xfId="0" applyFont="1" applyFill="1" applyBorder="1" applyAlignment="1">
      <alignment vertical="center" wrapText="1"/>
    </xf>
    <xf numFmtId="0" fontId="4" fillId="32" borderId="28" xfId="0" applyFont="1" applyFill="1" applyBorder="1" applyAlignment="1">
      <alignment horizontal="center" vertical="center" wrapText="1"/>
    </xf>
    <xf numFmtId="3" fontId="2" fillId="32" borderId="36" xfId="0" quotePrefix="1" applyNumberFormat="1" applyFont="1" applyFill="1" applyBorder="1" applyAlignment="1">
      <alignment vertical="center" wrapText="1"/>
    </xf>
    <xf numFmtId="3" fontId="2" fillId="32" borderId="0" xfId="0" quotePrefix="1" applyNumberFormat="1" applyFont="1" applyFill="1" applyAlignment="1">
      <alignment vertical="center" wrapText="1"/>
    </xf>
    <xf numFmtId="181" fontId="22" fillId="32" borderId="0" xfId="0" applyNumberFormat="1" applyFont="1" applyFill="1" applyBorder="1" applyAlignment="1">
      <alignment horizontal="justify" vertical="center" wrapText="1"/>
    </xf>
    <xf numFmtId="167" fontId="2" fillId="32" borderId="0" xfId="0" applyNumberFormat="1" applyFont="1" applyFill="1" applyAlignment="1">
      <alignment vertical="center" wrapText="1"/>
    </xf>
    <xf numFmtId="0" fontId="12" fillId="39" borderId="11" xfId="0" quotePrefix="1" applyFont="1" applyFill="1" applyBorder="1" applyAlignment="1">
      <alignment horizontal="center" vertical="center" wrapText="1"/>
    </xf>
    <xf numFmtId="0" fontId="3" fillId="39" borderId="34" xfId="0" applyFont="1" applyFill="1" applyBorder="1" applyAlignment="1">
      <alignment vertical="center" wrapText="1"/>
    </xf>
    <xf numFmtId="1" fontId="3" fillId="39" borderId="11" xfId="0" quotePrefix="1" applyNumberFormat="1" applyFont="1" applyFill="1" applyBorder="1" applyAlignment="1">
      <alignment horizontal="center" vertical="center" wrapText="1"/>
    </xf>
    <xf numFmtId="3" fontId="2" fillId="32" borderId="0" xfId="0" quotePrefix="1" applyNumberFormat="1" applyFont="1" applyFill="1" applyBorder="1" applyAlignment="1">
      <alignment vertical="center" wrapText="1"/>
    </xf>
    <xf numFmtId="2" fontId="2" fillId="39" borderId="11" xfId="0" applyNumberFormat="1" applyFont="1" applyFill="1" applyBorder="1" applyAlignment="1">
      <alignment horizontal="center" vertical="center" wrapText="1"/>
    </xf>
    <xf numFmtId="3" fontId="4" fillId="39" borderId="11" xfId="0" applyNumberFormat="1" applyFont="1" applyFill="1" applyBorder="1" applyAlignment="1">
      <alignment horizontal="right" vertical="center" wrapText="1"/>
    </xf>
    <xf numFmtId="0" fontId="3" fillId="39" borderId="11" xfId="0" applyFont="1" applyFill="1" applyBorder="1" applyAlignment="1">
      <alignment horizontal="center" vertical="center" wrapText="1"/>
    </xf>
    <xf numFmtId="0" fontId="52" fillId="39" borderId="11" xfId="0" applyFont="1" applyFill="1" applyBorder="1" applyAlignment="1">
      <alignment horizontal="center" vertical="center" wrapText="1"/>
    </xf>
    <xf numFmtId="181" fontId="22" fillId="39" borderId="16" xfId="0" applyNumberFormat="1" applyFont="1" applyFill="1" applyBorder="1" applyAlignment="1" applyProtection="1">
      <alignment horizontal="justify" vertical="center" wrapText="1"/>
      <protection hidden="1"/>
    </xf>
    <xf numFmtId="181" fontId="22" fillId="32" borderId="16" xfId="0" applyNumberFormat="1" applyFont="1" applyFill="1" applyBorder="1" applyAlignment="1" applyProtection="1">
      <alignment horizontal="justify" vertical="center" wrapText="1"/>
      <protection hidden="1"/>
    </xf>
    <xf numFmtId="0" fontId="4" fillId="41" borderId="16" xfId="0" applyFont="1" applyFill="1" applyBorder="1" applyAlignment="1">
      <alignment vertical="center" wrapText="1"/>
    </xf>
    <xf numFmtId="9" fontId="2" fillId="41" borderId="11" xfId="0" applyNumberFormat="1" applyFont="1" applyFill="1" applyBorder="1" applyAlignment="1">
      <alignment horizontal="center" vertical="center" wrapText="1"/>
    </xf>
    <xf numFmtId="0" fontId="2" fillId="41" borderId="11" xfId="0" applyFont="1" applyFill="1" applyBorder="1" applyAlignment="1">
      <alignment horizontal="center" vertical="center" wrapText="1"/>
    </xf>
    <xf numFmtId="168" fontId="3" fillId="41" borderId="11" xfId="0" applyNumberFormat="1" applyFont="1" applyFill="1" applyBorder="1" applyAlignment="1">
      <alignment horizontal="center" vertical="center" wrapText="1"/>
    </xf>
    <xf numFmtId="3" fontId="3" fillId="41" borderId="11" xfId="0" applyNumberFormat="1" applyFont="1" applyFill="1" applyBorder="1" applyAlignment="1">
      <alignment horizontal="right" vertical="center" wrapText="1"/>
    </xf>
    <xf numFmtId="0" fontId="3" fillId="41" borderId="11" xfId="0" applyFont="1" applyFill="1" applyBorder="1" applyAlignment="1">
      <alignment horizontal="center" vertical="center" wrapText="1"/>
    </xf>
    <xf numFmtId="3" fontId="3" fillId="41" borderId="11" xfId="0" applyNumberFormat="1" applyFont="1" applyFill="1" applyBorder="1" applyAlignment="1" applyProtection="1">
      <alignment horizontal="right" vertical="center" wrapText="1"/>
      <protection locked="0" hidden="1"/>
    </xf>
    <xf numFmtId="0" fontId="52" fillId="41" borderId="11" xfId="0" applyFont="1" applyFill="1" applyBorder="1" applyAlignment="1">
      <alignment horizontal="center" vertical="center" wrapText="1"/>
    </xf>
    <xf numFmtId="37" fontId="3" fillId="41" borderId="11" xfId="28" quotePrefix="1" applyNumberFormat="1" applyFont="1" applyFill="1" applyBorder="1" applyAlignment="1">
      <alignment horizontal="center" vertical="center"/>
    </xf>
    <xf numFmtId="166" fontId="3" fillId="41" borderId="11" xfId="0" applyNumberFormat="1" applyFont="1" applyFill="1" applyBorder="1" applyAlignment="1">
      <alignment horizontal="right" vertical="center" wrapText="1"/>
    </xf>
    <xf numFmtId="2" fontId="3" fillId="41" borderId="11" xfId="0" applyNumberFormat="1" applyFont="1" applyFill="1" applyBorder="1" applyAlignment="1">
      <alignment horizontal="right" vertical="center" wrapText="1"/>
    </xf>
    <xf numFmtId="3" fontId="4" fillId="41" borderId="11" xfId="0" applyNumberFormat="1" applyFont="1" applyFill="1" applyBorder="1" applyAlignment="1">
      <alignment horizontal="right" vertical="center" wrapText="1"/>
    </xf>
    <xf numFmtId="181" fontId="22" fillId="41" borderId="16" xfId="0" applyNumberFormat="1" applyFont="1" applyFill="1" applyBorder="1" applyAlignment="1" applyProtection="1">
      <alignment horizontal="justify" vertical="center" wrapText="1"/>
      <protection hidden="1"/>
    </xf>
    <xf numFmtId="0" fontId="3" fillId="41" borderId="12" xfId="0" applyFont="1" applyFill="1" applyBorder="1" applyAlignment="1">
      <alignment vertical="center" wrapText="1"/>
    </xf>
    <xf numFmtId="0" fontId="12" fillId="41" borderId="11" xfId="0" applyFont="1" applyFill="1" applyBorder="1" applyAlignment="1">
      <alignment horizontal="center" vertical="center" wrapText="1"/>
    </xf>
    <xf numFmtId="1" fontId="3" fillId="41" borderId="11" xfId="0" applyNumberFormat="1" applyFont="1" applyFill="1" applyBorder="1" applyAlignment="1">
      <alignment horizontal="center" vertical="center"/>
    </xf>
    <xf numFmtId="0" fontId="12" fillId="41" borderId="11" xfId="0" quotePrefix="1" applyFont="1" applyFill="1" applyBorder="1" applyAlignment="1">
      <alignment horizontal="center" vertical="center" wrapText="1"/>
    </xf>
    <xf numFmtId="2" fontId="3" fillId="41" borderId="11" xfId="0" applyNumberFormat="1" applyFont="1" applyFill="1" applyBorder="1" applyAlignment="1">
      <alignment horizontal="center" vertical="center" wrapText="1"/>
    </xf>
    <xf numFmtId="49" fontId="12" fillId="41" borderId="11" xfId="0" applyNumberFormat="1" applyFont="1" applyFill="1" applyBorder="1" applyAlignment="1">
      <alignment horizontal="center" vertical="center" wrapText="1"/>
    </xf>
    <xf numFmtId="166" fontId="3" fillId="38" borderId="11" xfId="0" applyNumberFormat="1" applyFont="1" applyFill="1" applyBorder="1" applyAlignment="1">
      <alignment horizontal="right" vertical="center" wrapText="1"/>
    </xf>
    <xf numFmtId="3" fontId="3" fillId="38" borderId="11" xfId="0" applyNumberFormat="1" applyFont="1" applyFill="1" applyBorder="1" applyAlignment="1">
      <alignment horizontal="right" vertical="center" wrapText="1"/>
    </xf>
    <xf numFmtId="0" fontId="7" fillId="32" borderId="12" xfId="0" quotePrefix="1" applyFont="1" applyFill="1" applyBorder="1" applyAlignment="1">
      <alignment vertical="center" wrapText="1"/>
    </xf>
    <xf numFmtId="0" fontId="7" fillId="32" borderId="12" xfId="0" quotePrefix="1" applyFont="1" applyFill="1" applyBorder="1" applyAlignment="1">
      <alignment horizontal="left" vertical="center" wrapText="1"/>
    </xf>
    <xf numFmtId="0" fontId="7" fillId="0" borderId="12" xfId="0" applyFont="1" applyFill="1" applyBorder="1" applyAlignment="1">
      <alignment horizontal="left" vertical="center" wrapText="1"/>
    </xf>
    <xf numFmtId="0" fontId="7" fillId="39" borderId="12" xfId="0" quotePrefix="1" applyFont="1" applyFill="1" applyBorder="1" applyAlignment="1">
      <alignment vertical="center" wrapText="1"/>
    </xf>
    <xf numFmtId="0" fontId="7" fillId="32" borderId="24" xfId="0" quotePrefix="1" applyFont="1" applyFill="1" applyBorder="1" applyAlignment="1">
      <alignment vertical="center" wrapText="1"/>
    </xf>
    <xf numFmtId="0" fontId="7" fillId="41" borderId="12" xfId="0" quotePrefix="1" applyFont="1" applyFill="1" applyBorder="1" applyAlignment="1">
      <alignment vertical="center" wrapText="1"/>
    </xf>
    <xf numFmtId="164" fontId="2" fillId="32" borderId="0" xfId="28" applyFont="1" applyFill="1" applyAlignment="1">
      <alignment vertical="center" wrapText="1"/>
    </xf>
    <xf numFmtId="0" fontId="3" fillId="39" borderId="12" xfId="0" applyFont="1" applyFill="1" applyBorder="1" applyAlignment="1">
      <alignment vertical="center" wrapText="1"/>
    </xf>
    <xf numFmtId="0" fontId="6" fillId="39" borderId="16" xfId="0" applyFont="1" applyFill="1" applyBorder="1" applyAlignment="1">
      <alignment vertical="center" wrapText="1"/>
    </xf>
    <xf numFmtId="0" fontId="12" fillId="39" borderId="11" xfId="0" applyFont="1" applyFill="1" applyBorder="1" applyAlignment="1">
      <alignment horizontal="center" vertical="center" wrapText="1"/>
    </xf>
    <xf numFmtId="49" fontId="12" fillId="39" borderId="11" xfId="0" applyNumberFormat="1" applyFont="1" applyFill="1" applyBorder="1" applyAlignment="1">
      <alignment horizontal="center" vertical="center" wrapText="1"/>
    </xf>
    <xf numFmtId="2" fontId="3" fillId="39" borderId="11" xfId="0" applyNumberFormat="1" applyFont="1" applyFill="1" applyBorder="1" applyAlignment="1">
      <alignment horizontal="center" vertical="center" wrapText="1"/>
    </xf>
    <xf numFmtId="0" fontId="12" fillId="41" borderId="11" xfId="0" applyFont="1" applyFill="1" applyBorder="1" applyAlignment="1">
      <alignment horizontal="center" vertical="center"/>
    </xf>
    <xf numFmtId="0" fontId="7" fillId="39" borderId="24" xfId="0" quotePrefix="1" applyFont="1" applyFill="1" applyBorder="1" applyAlignment="1">
      <alignment vertical="center" wrapText="1"/>
    </xf>
    <xf numFmtId="0" fontId="46" fillId="41" borderId="16" xfId="0" applyFont="1" applyFill="1" applyBorder="1" applyAlignment="1">
      <alignment vertical="center" wrapText="1"/>
    </xf>
    <xf numFmtId="181" fontId="22" fillId="41" borderId="16" xfId="0" quotePrefix="1" applyNumberFormat="1" applyFont="1" applyFill="1" applyBorder="1" applyAlignment="1" applyProtection="1">
      <alignment horizontal="justify" vertical="center" wrapText="1"/>
      <protection hidden="1"/>
    </xf>
    <xf numFmtId="0" fontId="9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 vertical="center" wrapText="1"/>
    </xf>
    <xf numFmtId="0" fontId="1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168" fontId="9" fillId="0" borderId="0" xfId="0" applyNumberFormat="1" applyFont="1" applyFill="1" applyAlignment="1">
      <alignment horizontal="center"/>
    </xf>
    <xf numFmtId="0" fontId="7" fillId="0" borderId="20" xfId="0" quotePrefix="1" applyFont="1" applyFill="1" applyBorder="1" applyAlignment="1">
      <alignment horizontal="center" vertical="center" wrapText="1"/>
    </xf>
    <xf numFmtId="0" fontId="7" fillId="0" borderId="21" xfId="0" quotePrefix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left" vertical="center"/>
    </xf>
    <xf numFmtId="0" fontId="7" fillId="0" borderId="10" xfId="0" quotePrefix="1" applyFont="1" applyFill="1" applyBorder="1" applyAlignment="1">
      <alignment horizontal="center" vertical="center" wrapText="1"/>
    </xf>
    <xf numFmtId="9" fontId="12" fillId="0" borderId="0" xfId="0" applyNumberFormat="1" applyFont="1" applyFill="1" applyAlignment="1">
      <alignment horizontal="center"/>
    </xf>
    <xf numFmtId="0" fontId="2" fillId="0" borderId="20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45" fillId="0" borderId="0" xfId="0" applyFont="1" applyFill="1" applyAlignment="1">
      <alignment horizontal="center"/>
    </xf>
    <xf numFmtId="0" fontId="6" fillId="0" borderId="10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/>
    </xf>
    <xf numFmtId="0" fontId="9" fillId="0" borderId="0" xfId="0" applyFont="1" applyFill="1" applyAlignment="1">
      <alignment horizontal="center" vertical="center" wrapText="1"/>
    </xf>
    <xf numFmtId="175" fontId="2" fillId="24" borderId="36" xfId="28" applyNumberFormat="1" applyFont="1" applyFill="1" applyBorder="1" applyAlignment="1">
      <alignment horizontal="center" vertical="center" wrapText="1"/>
    </xf>
    <xf numFmtId="175" fontId="2" fillId="24" borderId="0" xfId="28" applyNumberFormat="1" applyFont="1" applyFill="1" applyAlignment="1">
      <alignment horizontal="center" vertical="center" wrapText="1"/>
    </xf>
    <xf numFmtId="175" fontId="2" fillId="0" borderId="36" xfId="28" applyNumberFormat="1" applyFont="1" applyFill="1" applyBorder="1" applyAlignment="1">
      <alignment horizontal="center" vertical="center" wrapText="1"/>
    </xf>
    <xf numFmtId="175" fontId="2" fillId="0" borderId="0" xfId="28" applyNumberFormat="1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wrapText="1"/>
    </xf>
    <xf numFmtId="165" fontId="9" fillId="0" borderId="0" xfId="0" applyNumberFormat="1" applyFont="1" applyFill="1" applyAlignment="1">
      <alignment horizontal="center"/>
    </xf>
    <xf numFmtId="0" fontId="9" fillId="0" borderId="0" xfId="0" applyFont="1" applyFill="1" applyAlignment="1">
      <alignment horizontal="left"/>
    </xf>
    <xf numFmtId="0" fontId="14" fillId="0" borderId="0" xfId="0" applyFont="1" applyFill="1" applyAlignment="1">
      <alignment horizontal="center"/>
    </xf>
    <xf numFmtId="0" fontId="16" fillId="0" borderId="0" xfId="0" applyFont="1" applyFill="1" applyAlignment="1">
      <alignment horizontal="center"/>
    </xf>
    <xf numFmtId="0" fontId="7" fillId="0" borderId="10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 wrapText="1"/>
    </xf>
    <xf numFmtId="0" fontId="2" fillId="0" borderId="36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/>
    </xf>
    <xf numFmtId="0" fontId="4" fillId="0" borderId="23" xfId="0" applyFont="1" applyFill="1" applyBorder="1" applyAlignment="1">
      <alignment horizontal="center"/>
    </xf>
    <xf numFmtId="0" fontId="13" fillId="0" borderId="23" xfId="0" applyFont="1" applyFill="1" applyBorder="1" applyAlignment="1">
      <alignment horizontal="center"/>
    </xf>
    <xf numFmtId="0" fontId="13" fillId="0" borderId="17" xfId="0" applyFont="1" applyFill="1" applyBorder="1" applyAlignment="1">
      <alignment horizontal="center"/>
    </xf>
    <xf numFmtId="0" fontId="5" fillId="0" borderId="10" xfId="0" applyFont="1" applyFill="1" applyBorder="1" applyAlignment="1">
      <alignment horizontal="center"/>
    </xf>
    <xf numFmtId="0" fontId="7" fillId="0" borderId="14" xfId="0" quotePrefix="1" applyFont="1" applyFill="1" applyBorder="1" applyAlignment="1">
      <alignment horizontal="center" vertical="center" wrapText="1"/>
    </xf>
  </cellXfs>
  <cellStyles count="60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" xfId="28" builtinId="3"/>
    <cellStyle name="Comma0" xfId="29"/>
    <cellStyle name="Currency0" xfId="30"/>
    <cellStyle name="Date" xfId="31"/>
    <cellStyle name="Euro" xfId="32"/>
    <cellStyle name="Explanatory Text" xfId="33" builtinId="53" customBuiltin="1"/>
    <cellStyle name="Fixed" xfId="34"/>
    <cellStyle name="Good" xfId="35" builtinId="26" customBuiltin="1"/>
    <cellStyle name="Heading 1" xfId="36" builtinId="16" customBuiltin="1"/>
    <cellStyle name="Heading 2" xfId="37" builtinId="17" customBuiltin="1"/>
    <cellStyle name="Heading 3" xfId="38" builtinId="18" customBuiltin="1"/>
    <cellStyle name="Heading 4" xfId="39" builtinId="19" customBuiltin="1"/>
    <cellStyle name="Input" xfId="40" builtinId="20" customBuiltin="1"/>
    <cellStyle name="Linked Cell" xfId="41" builtinId="24" customBuiltin="1"/>
    <cellStyle name="Neutral" xfId="42" builtinId="28" customBuiltin="1"/>
    <cellStyle name="Normal" xfId="0" builtinId="0"/>
    <cellStyle name="Normal_Ke can Cap pho -PTTH" xfId="43"/>
    <cellStyle name="Note" xfId="44" builtinId="10" customBuiltin="1"/>
    <cellStyle name="Output" xfId="45" builtinId="21" customBuiltin="1"/>
    <cellStyle name="Title" xfId="46" builtinId="15" customBuiltin="1"/>
    <cellStyle name="Total" xfId="47" builtinId="25" customBuiltin="1"/>
    <cellStyle name="Warning Text" xfId="48" builtinId="11" customBuiltin="1"/>
    <cellStyle name="똿뗦먛귟 [0.00]_PRODUCT DETAIL Q1" xfId="49"/>
    <cellStyle name="똿뗦먛귟_PRODUCT DETAIL Q1" xfId="50"/>
    <cellStyle name="믅됞 [0.00]_PRODUCT DETAIL Q1" xfId="51"/>
    <cellStyle name="믅됞_PRODUCT DETAIL Q1" xfId="52"/>
    <cellStyle name="백분율_HOBONG" xfId="53"/>
    <cellStyle name="뷭?_BOOKSHIP" xfId="54"/>
    <cellStyle name="콤마 [0]_1202" xfId="55"/>
    <cellStyle name="콤마_1202" xfId="56"/>
    <cellStyle name="통화 [0]_1202" xfId="57"/>
    <cellStyle name="통화_1202" xfId="58"/>
    <cellStyle name="표준_(정보부문)월별인원계획" xfId="59"/>
  </cellStyles>
  <dxfs count="94"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ill>
        <patternFill>
          <bgColor rgb="FF00FF99"/>
        </patternFill>
      </fill>
    </dxf>
    <dxf>
      <fill>
        <patternFill>
          <bgColor rgb="FFCC66FF"/>
        </patternFill>
      </fill>
    </dxf>
    <dxf>
      <fill>
        <patternFill>
          <bgColor rgb="FFCCFFCC"/>
        </patternFill>
      </fill>
    </dxf>
    <dxf>
      <fill>
        <patternFill>
          <bgColor rgb="FFCC99FF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ill>
        <patternFill>
          <bgColor rgb="FF00FF99"/>
        </patternFill>
      </fill>
    </dxf>
    <dxf>
      <fill>
        <patternFill>
          <bgColor rgb="FFCC66FF"/>
        </patternFill>
      </fill>
    </dxf>
    <dxf>
      <fill>
        <patternFill>
          <bgColor rgb="FFCCFFCC"/>
        </patternFill>
      </fill>
    </dxf>
    <dxf>
      <fill>
        <patternFill>
          <bgColor rgb="FFCC99FF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0" tint="-0.14996795556505021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4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605790</xdr:colOff>
      <xdr:row>2</xdr:row>
      <xdr:rowOff>200025</xdr:rowOff>
    </xdr:from>
    <xdr:to>
      <xdr:col>1</xdr:col>
      <xdr:colOff>1447715</xdr:colOff>
      <xdr:row>2</xdr:row>
      <xdr:rowOff>200025</xdr:rowOff>
    </xdr:to>
    <xdr:cxnSp macro="">
      <xdr:nvCxnSpPr>
        <xdr:cNvPr id="3" name="Straight Connector 2"/>
        <xdr:cNvCxnSpPr/>
      </xdr:nvCxnSpPr>
      <xdr:spPr>
        <a:xfrm>
          <a:off x="981075" y="581025"/>
          <a:ext cx="8382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359473</xdr:colOff>
      <xdr:row>2</xdr:row>
      <xdr:rowOff>0</xdr:rowOff>
    </xdr:from>
    <xdr:to>
      <xdr:col>23</xdr:col>
      <xdr:colOff>208216</xdr:colOff>
      <xdr:row>2</xdr:row>
      <xdr:rowOff>1</xdr:rowOff>
    </xdr:to>
    <xdr:cxnSp macro="">
      <xdr:nvCxnSpPr>
        <xdr:cNvPr id="7" name="Straight Connector 6"/>
        <xdr:cNvCxnSpPr/>
      </xdr:nvCxnSpPr>
      <xdr:spPr>
        <a:xfrm flipV="1">
          <a:off x="7809928" y="381000"/>
          <a:ext cx="1648968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699135</xdr:colOff>
      <xdr:row>3</xdr:row>
      <xdr:rowOff>9525</xdr:rowOff>
    </xdr:from>
    <xdr:to>
      <xdr:col>9</xdr:col>
      <xdr:colOff>76158</xdr:colOff>
      <xdr:row>3</xdr:row>
      <xdr:rowOff>9525</xdr:rowOff>
    </xdr:to>
    <xdr:cxnSp macro="">
      <xdr:nvCxnSpPr>
        <xdr:cNvPr id="3" name="Straight Connector 2"/>
        <xdr:cNvCxnSpPr/>
      </xdr:nvCxnSpPr>
      <xdr:spPr>
        <a:xfrm>
          <a:off x="1028700" y="561975"/>
          <a:ext cx="6572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407670</xdr:colOff>
      <xdr:row>2</xdr:row>
      <xdr:rowOff>11430</xdr:rowOff>
    </xdr:from>
    <xdr:to>
      <xdr:col>24</xdr:col>
      <xdr:colOff>188595</xdr:colOff>
      <xdr:row>2</xdr:row>
      <xdr:rowOff>11431</xdr:rowOff>
    </xdr:to>
    <xdr:cxnSp macro="">
      <xdr:nvCxnSpPr>
        <xdr:cNvPr id="6" name="Straight Connector 5"/>
        <xdr:cNvCxnSpPr/>
      </xdr:nvCxnSpPr>
      <xdr:spPr>
        <a:xfrm flipV="1">
          <a:off x="7562850" y="390525"/>
          <a:ext cx="1704975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ULIEUMAYCU/Quynh%20chung/Quynh%20Exel/2023/ABC/Ket%20qua%20thang/Ket%20qua%20thi%20dua%20thang%2012%20gui%20don%20vi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ULIEUMAYCU/Quynh%20chung/Quynh%20Exel/2023/Com/Com%20trua%20T12-2023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ULIEUMAYCU/Quynh%20chung/Quynh%20Exel/2019/ABC/Tu%20co/ABC%20T01-2019%20TC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TVExcel/TVExcel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 vii"/>
      <sheetName val="Kangatang_185"/>
      <sheetName val="Kangatang_186"/>
      <sheetName val="Kangatang_187"/>
      <sheetName val="Kangatang_188"/>
      <sheetName val="Kangatang_189"/>
      <sheetName val="Kangatang_190"/>
      <sheetName val="Kangatang_191"/>
      <sheetName val="Kangatang_192"/>
      <sheetName val="Kangatang_193"/>
      <sheetName val="Kangatang_194"/>
      <sheetName val="Kangatang_195"/>
      <sheetName val="Kangatang_196"/>
      <sheetName val="Kangatang_197"/>
      <sheetName val="Kangatang_276"/>
      <sheetName val="Kangatang_277"/>
      <sheetName val="Kangatang_278"/>
      <sheetName val="Kangatang_279"/>
      <sheetName val="Kangatang_280"/>
      <sheetName val="Kangatang_281"/>
      <sheetName val="Kangatang_282"/>
      <sheetName val="Kangatang_283"/>
      <sheetName val="Kangatang_284"/>
      <sheetName val="Kangatang_285"/>
      <sheetName val="Kangatang_286"/>
      <sheetName val="Kangatang_287"/>
      <sheetName val="Kangatang_288"/>
      <sheetName val="Kangatang_289"/>
      <sheetName val="Kangatang_290"/>
      <sheetName val="Kangatang_291"/>
      <sheetName val="Kangatang_292"/>
      <sheetName val="Kangatang_293"/>
      <sheetName val="Kangatang_294"/>
      <sheetName val="Kangatang_295"/>
      <sheetName val="Kangatang_296"/>
      <sheetName val="Kangatang_297"/>
      <sheetName val="Kangatang_298"/>
      <sheetName val="Kangatang_299"/>
      <sheetName val="Kangatang_300"/>
      <sheetName val="Kangatang_301"/>
      <sheetName val="Kangatang_302"/>
      <sheetName val="Kangatang_303"/>
      <sheetName val="Kangatang_304"/>
      <sheetName val="Kangatang_305"/>
      <sheetName val="Kangatang_306"/>
      <sheetName val="Kangatang_307"/>
      <sheetName val="Kangatang_308"/>
      <sheetName val="Kangatang_309"/>
      <sheetName val="Kangatang_310"/>
      <sheetName val="Kangatang_311"/>
      <sheetName val="Kangatang_312"/>
      <sheetName val="Kangatang_313"/>
      <sheetName val="Kangatang_314"/>
      <sheetName val="Kangatang_315"/>
      <sheetName val="Kangatang_316"/>
      <sheetName val="Kangatang_317"/>
      <sheetName val="Kangatang_318"/>
      <sheetName val="Kangatang_319"/>
      <sheetName val="Kangatang_320"/>
      <sheetName val="Kangatang_321"/>
      <sheetName val="Kangatang_322"/>
      <sheetName val="Kangatang_323"/>
      <sheetName val="Kangatang_324"/>
      <sheetName val="Kangatang_325"/>
      <sheetName val="Kangatang_326"/>
      <sheetName val="Kangatang_327"/>
      <sheetName val="Kangatang_328"/>
      <sheetName val="Kangatang_329"/>
      <sheetName val="Kangatang_330"/>
      <sheetName val="Kangatang_331"/>
      <sheetName val="Kangatang_332"/>
      <sheetName val="Kangatang_333"/>
      <sheetName val="Kangatang_334"/>
      <sheetName val="Kangatang_335"/>
      <sheetName val="Kangatang_336"/>
      <sheetName val="Kangatang_337"/>
      <sheetName val="Kangatang_338"/>
      <sheetName val="Kangatang_339"/>
      <sheetName val="Kangatang_340"/>
      <sheetName val="Kangatang_341"/>
      <sheetName val="Kangatang_342"/>
      <sheetName val="Kangatang_343"/>
      <sheetName val="Kangatang_344"/>
      <sheetName val="Kangatang_345"/>
      <sheetName val="Kangatang_346"/>
      <sheetName val="Kangatang_347"/>
      <sheetName val="Kangatang_348"/>
      <sheetName val="Kangatang_349"/>
      <sheetName val="Kangatang_350"/>
      <sheetName val="Kangatang_351"/>
      <sheetName val="Kangatang_352"/>
      <sheetName val="Kangatang_353"/>
      <sheetName val="Kangatang_354"/>
      <sheetName val="Kangatang_355"/>
      <sheetName val="Kangatang_356"/>
      <sheetName val="Kangatang_357"/>
      <sheetName val="Kangatang_358"/>
      <sheetName val="Kangatang_359"/>
      <sheetName val="Kangatang_360"/>
      <sheetName val="Kangatang_361"/>
      <sheetName val="Kangatang_362"/>
      <sheetName val="Kangatang_363"/>
      <sheetName val="Kangatang_364"/>
      <sheetName val="Kangatang_365"/>
      <sheetName val="Kangatang_366"/>
      <sheetName val="Kangatang_367"/>
      <sheetName val="Kangatang_368"/>
      <sheetName val="Kangatang_369"/>
      <sheetName val="Kangatang_370"/>
      <sheetName val="Kangatang_371"/>
      <sheetName val="Kangatang_372"/>
      <sheetName val="Kangatang_373"/>
      <sheetName val="Kangatang_374"/>
      <sheetName val="Kangatang_375"/>
      <sheetName val="Kangatang_376"/>
      <sheetName val="Kangatang_377"/>
      <sheetName val="Kangatang_378"/>
      <sheetName val="Kangatang_379"/>
      <sheetName val="Kangatang_380"/>
      <sheetName val="Kangatang_381"/>
      <sheetName val="Kangatang_382"/>
      <sheetName val="Kangatang_383"/>
      <sheetName val="Kangatang_384"/>
      <sheetName val="Kangatang_385"/>
      <sheetName val="Kangatang_386"/>
      <sheetName val="Kangatang_387"/>
      <sheetName val="Kangatang_388"/>
      <sheetName val="Kangatang_389"/>
      <sheetName val="Kangatang_390"/>
      <sheetName val="Kangatang_391"/>
      <sheetName val="Kangatang_392"/>
      <sheetName val="Kangatang_393"/>
      <sheetName val="Kangatang_458"/>
      <sheetName val="Kangatang_459"/>
      <sheetName val="Kangatang_460"/>
      <sheetName val="Kangatang_461"/>
      <sheetName val="Kangatang_462"/>
      <sheetName val="Kangatang_463"/>
      <sheetName val="Kangatang_464"/>
      <sheetName val="Kangatang_465"/>
      <sheetName val="Kangatang_466"/>
      <sheetName val="Kangatang_467"/>
      <sheetName val="Kangatang_468"/>
      <sheetName val="Kangatang_469"/>
      <sheetName val="Kangatang_470"/>
      <sheetName val="Kangatang_471"/>
      <sheetName val="Kangatang_472"/>
      <sheetName val="Kangatang_473"/>
      <sheetName val="Kangatang_474"/>
      <sheetName val="Kangatang_475"/>
      <sheetName val="Kangatang_476"/>
      <sheetName val="Kangatang_477"/>
      <sheetName val="Kangatang_478"/>
      <sheetName val="Kangatang_479"/>
      <sheetName val="Kangatang_480"/>
      <sheetName val="Kangatang_481"/>
      <sheetName val="Kangatang_482"/>
      <sheetName val="Kangatang_483"/>
      <sheetName val="Kangatang_484"/>
      <sheetName val="Kangatang_485"/>
      <sheetName val="Kangatang_486"/>
      <sheetName val="Kangatang_487"/>
      <sheetName val="Kangatang_488"/>
      <sheetName val="Kangatang_489"/>
      <sheetName val="Kangatang_490"/>
      <sheetName val="Kangatang_491"/>
      <sheetName val="Kangatang_492"/>
      <sheetName val="Kangatang_493"/>
      <sheetName val="Kangatang_494"/>
      <sheetName val="Kangatang_495"/>
      <sheetName val="Kangatang_496"/>
      <sheetName val="Kangatang_497"/>
      <sheetName val="Kangatang_498"/>
      <sheetName val="Kangatang_499"/>
      <sheetName val="Kangatang_500"/>
      <sheetName val="Kangatang_501"/>
      <sheetName val="Kangatang_502"/>
      <sheetName val="Kangatang_503"/>
      <sheetName val="Kangatang_504"/>
      <sheetName val="Kangatang_505"/>
      <sheetName val="Kangatang_506"/>
      <sheetName val="Kangatang_507"/>
      <sheetName val="Kangatang_508"/>
      <sheetName val="Kangatang_509"/>
      <sheetName val="Kangatang_510"/>
      <sheetName val="Kangatang_511"/>
      <sheetName val="Kangatang_512"/>
      <sheetName val="Kangatang_513"/>
      <sheetName val="Kangatang_514"/>
      <sheetName val="Kangatang_515"/>
      <sheetName val="Kangatang_516"/>
      <sheetName val="Kangatang_517"/>
      <sheetName val="Kangatang_518"/>
      <sheetName val="Kangatang_519"/>
      <sheetName val="Kangatang_520"/>
      <sheetName val="Kangatang_521"/>
      <sheetName val="Kangatang_522"/>
      <sheetName val="Kangatang_523"/>
      <sheetName val="Kangatang_524"/>
      <sheetName val="Kangatang_525"/>
      <sheetName val="Kangatang_526"/>
      <sheetName val="Kangatang_527"/>
      <sheetName val="Kangatang_528"/>
      <sheetName val="Kangatang_529"/>
      <sheetName val="Kangatang_530"/>
      <sheetName val="Kangatang_531"/>
      <sheetName val="Kangatang_532"/>
      <sheetName val="Kangatang_533"/>
      <sheetName val="Kangatang_534"/>
      <sheetName val="Kangatang_535"/>
      <sheetName val="Kangatang_536"/>
      <sheetName val="Kangatang_537"/>
      <sheetName val="Kangatang_538"/>
      <sheetName val="Kangatang_539"/>
      <sheetName val="Kangatang_540"/>
      <sheetName val="Kangatang_541"/>
      <sheetName val="Kangatang_542"/>
      <sheetName val="Kangatang_543"/>
      <sheetName val="Kangatang_544"/>
      <sheetName val="Kangatang_545"/>
      <sheetName val="Kangatang_546"/>
      <sheetName val="Kangatang_547"/>
      <sheetName val="Kangatang_548"/>
      <sheetName val="Kangatang_549"/>
      <sheetName val="Kangatang_550"/>
      <sheetName val="Kangatang_551"/>
      <sheetName val="Kangatang_552"/>
      <sheetName val="Kangatang_553"/>
      <sheetName val="Kangatang_554"/>
      <sheetName val="Kangatang_555"/>
      <sheetName val="Kangatang_556"/>
      <sheetName val="Kangatang_557"/>
      <sheetName val="Kangatang_558"/>
      <sheetName val="Kangatang_559"/>
      <sheetName val="Kangatang_560"/>
      <sheetName val="Kangatang_561"/>
      <sheetName val="Kangatang_562"/>
      <sheetName val="Kangatang_563"/>
      <sheetName val="Kangatang_564"/>
      <sheetName val="Kangatang_565"/>
      <sheetName val="Kangatang_566"/>
      <sheetName val="Kangatang_567"/>
      <sheetName val="Kangatang_568"/>
      <sheetName val="Kangatang_569"/>
      <sheetName val="Kangatang_570"/>
      <sheetName val="Kangatang_571"/>
      <sheetName val="Kangatang_572"/>
      <sheetName val="Kangatang_573"/>
      <sheetName val="Kangatang_574"/>
      <sheetName val="Kangatang_575"/>
      <sheetName val="Kangatang_576"/>
      <sheetName val="Kangatang_577"/>
      <sheetName val="Kangatang_578"/>
      <sheetName val="Kangatang_579"/>
      <sheetName val="Kangatang_580"/>
      <sheetName val="Kangatang_581"/>
      <sheetName val="Kangatang_582"/>
      <sheetName val="Kangatang_583"/>
      <sheetName val="Kangatang_584"/>
      <sheetName val="Kangatang_585"/>
      <sheetName val="Kangatang_586"/>
      <sheetName val="Kangatang_587"/>
      <sheetName val="Kangatang_588"/>
      <sheetName val="Kangatang_589"/>
      <sheetName val="Thong bao"/>
      <sheetName val="Kangatang"/>
      <sheetName val="Kangatang_2"/>
      <sheetName val="Kangatang_3"/>
      <sheetName val="Kangatang_4"/>
      <sheetName val="Kangatang_5"/>
      <sheetName val="Kangatang_6"/>
      <sheetName val="Kangatang_7"/>
      <sheetName val="Kangatang_8"/>
      <sheetName val="Kangatang_9"/>
      <sheetName val="Kangatang_10"/>
      <sheetName val="Kangatang_11"/>
      <sheetName val="Kangatang_12"/>
      <sheetName val="Kangatang_13"/>
      <sheetName val="Kangatang_14"/>
      <sheetName val="Kangatang_15"/>
      <sheetName val="Kangatang_16"/>
      <sheetName val="Kangatang_17"/>
      <sheetName val="Kangatang_18"/>
      <sheetName val="Kangatang_19"/>
      <sheetName val="Kangatang_20"/>
      <sheetName val="Kangatang_21"/>
      <sheetName val="Kangatang_22"/>
      <sheetName val="Kangatang_23"/>
      <sheetName val="Kangatang_24"/>
      <sheetName val="Kangatang_25"/>
      <sheetName val="Kangatang_26"/>
      <sheetName val="Kangatang_27"/>
      <sheetName val="Kangatang_28"/>
      <sheetName val="Kangatang_29"/>
      <sheetName val="Kangatang_30"/>
      <sheetName val="Kangatang_31"/>
      <sheetName val="Kangatang_32"/>
      <sheetName val="Kangatang_33"/>
      <sheetName val="Kangatang_34"/>
      <sheetName val="Kangatang_35"/>
      <sheetName val="Kangatang_36"/>
      <sheetName val="Kangatang_37"/>
      <sheetName val="Kangatang_38"/>
      <sheetName val="Kangatang_39"/>
      <sheetName val="Kangatang_40"/>
      <sheetName val="Kangatang_41"/>
      <sheetName val="Kangatang_42"/>
      <sheetName val="Kangatang_43"/>
      <sheetName val="Kangatang_44"/>
      <sheetName val="Kangatang_45"/>
      <sheetName val="Kangatang_46"/>
      <sheetName val="Kangatang_47"/>
      <sheetName val="Kangatang_48"/>
      <sheetName val="Kangatang_49"/>
      <sheetName val="Kangatang_50"/>
      <sheetName val="Kangatang_51"/>
      <sheetName val="Kangatang_52"/>
      <sheetName val="Kangatang_53"/>
      <sheetName val="Kangatang_54"/>
      <sheetName val="Kangatang_55"/>
      <sheetName val="Kangatang_56"/>
      <sheetName val="Kangatang_57"/>
      <sheetName val="Kangatang_58"/>
      <sheetName val="Kangatang_59"/>
      <sheetName val="Kangatang_60"/>
      <sheetName val="Kangatang_61"/>
      <sheetName val="Kangatang_62"/>
      <sheetName val="Kangatang_63"/>
      <sheetName val="Kangatang_64"/>
      <sheetName val="Kangatang_65"/>
      <sheetName val="Kangatang_66"/>
      <sheetName val="Kangatang_67"/>
      <sheetName val="Kangatang_68"/>
      <sheetName val="Kangatang_69"/>
      <sheetName val="Kangatang_70"/>
      <sheetName val="Kangatang_71"/>
      <sheetName val="Kangatang_72"/>
      <sheetName val="Kangatang_73"/>
      <sheetName val="Kangatang_74"/>
      <sheetName val="Kangatang_75"/>
      <sheetName val="Kangatang_76"/>
      <sheetName val="Kangatang_77"/>
      <sheetName val="Kangatang_78"/>
      <sheetName val="Kangatang_79"/>
      <sheetName val="Kangatang_80"/>
      <sheetName val="Kangatang_81"/>
      <sheetName val="Kangatang_82"/>
      <sheetName val="Kangatang_83"/>
      <sheetName val="Kangatang_84"/>
      <sheetName val="Kangatang_85"/>
      <sheetName val="Kangatang_86"/>
      <sheetName val="Kangatang_87"/>
      <sheetName val="Kangatang_88"/>
      <sheetName val="Kangatang_89"/>
      <sheetName val="Kangatang_90"/>
      <sheetName val="Kangatang_91"/>
      <sheetName val="Kangatang_92"/>
      <sheetName val="Kangatang_93"/>
      <sheetName val="Kangatang_94"/>
      <sheetName val="Kangatang_95"/>
      <sheetName val="Kangatang_96"/>
      <sheetName val="Kangatang_97"/>
      <sheetName val="Kangatang_98"/>
      <sheetName val="Kangatang_99"/>
      <sheetName val="Kangatang_100"/>
      <sheetName val="Kangatang_101"/>
      <sheetName val="Kangatang_102"/>
      <sheetName val="Kangatang_103"/>
      <sheetName val="Kangatang_104"/>
      <sheetName val="Kangatang_105"/>
      <sheetName val="Kangatang_106"/>
      <sheetName val="Kangatang_107"/>
      <sheetName val="Kangatang_108"/>
      <sheetName val="Kangatang_109"/>
      <sheetName val="Kangatang_110"/>
      <sheetName val="Kangatang_111"/>
      <sheetName val="Kangatang_112"/>
      <sheetName val="Kangatang_113"/>
      <sheetName val="Kangatang_114"/>
      <sheetName val="Kangatang_115"/>
      <sheetName val="Kangatang_116"/>
      <sheetName val="Kangatang_117"/>
      <sheetName val="Chuyensheet"/>
      <sheetName val="Kangatang_118"/>
      <sheetName val="Kangatang_119"/>
      <sheetName val="Kangatang_120"/>
      <sheetName val="Kangatang_121"/>
      <sheetName val="Kangatang_122"/>
      <sheetName val="Kangatang_123"/>
      <sheetName val="Kangatang_124"/>
      <sheetName val="Kangatang_125"/>
      <sheetName val="Kangatang_126"/>
      <sheetName val="Kangatang_127"/>
      <sheetName val="Kangatang_128"/>
      <sheetName val="Kangatang_129"/>
      <sheetName val="Kangatang_130"/>
      <sheetName val="Kangatang_131"/>
      <sheetName val="Kangatang_132"/>
      <sheetName val="Kangatang_133"/>
      <sheetName val="Kangatang_134"/>
      <sheetName val="Kangatang_135"/>
      <sheetName val="Kangatang_136"/>
      <sheetName val="Kangatang_137"/>
      <sheetName val="Kangatang_138"/>
      <sheetName val="Kangatang_139"/>
      <sheetName val="Kangatang_140"/>
      <sheetName val="Kangatang_141"/>
      <sheetName val="Kangatang_142"/>
      <sheetName val="Kangatang_143"/>
      <sheetName val="Kangatang_144"/>
      <sheetName val="Kangatang_145"/>
      <sheetName val="Kangatang_146"/>
      <sheetName val="Kangatang_147"/>
      <sheetName val="Kangatang_148"/>
      <sheetName val="Kangatang_149"/>
      <sheetName val="Kangatang_150"/>
      <sheetName val="Kangatang_151"/>
      <sheetName val="Kangatang_152"/>
      <sheetName val="Kangatang_153"/>
      <sheetName val="Kangatang_154"/>
      <sheetName val="Kangatang_155"/>
      <sheetName val="Kangatang_156"/>
      <sheetName val="Kangatang_157"/>
      <sheetName val="Kangatang_158"/>
      <sheetName val="Kangatang_159"/>
      <sheetName val="Kangatang_160"/>
      <sheetName val="Kangatang_161"/>
      <sheetName val="Kangatang_162"/>
      <sheetName val="Kangatang_163"/>
      <sheetName val="Kangatang_164"/>
      <sheetName val="Kangatang_165"/>
      <sheetName val="Kangatang_166"/>
      <sheetName val="Kangatang_167"/>
      <sheetName val="Kangatang_168"/>
      <sheetName val="Kangatang_169"/>
      <sheetName val="Kangatang_170"/>
      <sheetName val="Kangatang_171"/>
      <sheetName val="Kangatang_172"/>
      <sheetName val="Kangatang_173"/>
      <sheetName val="Kangatang_174"/>
      <sheetName val="Kangatang_175"/>
      <sheetName val="Kangatang_176"/>
      <sheetName val="Kangatang_177"/>
      <sheetName val="Kangatang_178"/>
      <sheetName val="Kangatang_179"/>
      <sheetName val="Kangatang_180"/>
      <sheetName val="Kangatang_181"/>
      <sheetName val="Kangatang_182"/>
      <sheetName val="Kangatang_183"/>
      <sheetName val="Kangatang_184"/>
      <sheetName val="Kangatang_198"/>
      <sheetName val="Kangatang_199"/>
      <sheetName val="Kangatang_200"/>
      <sheetName val="Kangatang_201"/>
      <sheetName val="Kangatang_202"/>
      <sheetName val="Kangatang_203"/>
      <sheetName val="Kangatang_204"/>
      <sheetName val="Kangatang_205"/>
      <sheetName val="Kangatang_206"/>
      <sheetName val="Kangatang_207"/>
      <sheetName val="Kangatang_208"/>
      <sheetName val="Kangatang_209"/>
      <sheetName val="Kangatang_210"/>
      <sheetName val="Kangatang_211"/>
      <sheetName val="Kangatang_212"/>
      <sheetName val="Kangatang_213"/>
      <sheetName val="Kangatang_214"/>
      <sheetName val="Kangatang_215"/>
      <sheetName val="Kangatang_216"/>
      <sheetName val="Kangatang_217"/>
      <sheetName val="Kangatang_218"/>
      <sheetName val="Kangatang_219"/>
      <sheetName val="Kangatang_220"/>
      <sheetName val="Kangatang_221"/>
      <sheetName val="Kangatang_222"/>
      <sheetName val="Kangatang_223"/>
      <sheetName val="Kangatang_224"/>
      <sheetName val="Kangatang_225"/>
      <sheetName val="Kangatang_226"/>
      <sheetName val="Kangatang_227"/>
      <sheetName val="Kangatang_228"/>
      <sheetName val="Kangatang_229"/>
      <sheetName val="Kangatang_230"/>
      <sheetName val="Kangatang_231"/>
      <sheetName val="Kangatang_232"/>
      <sheetName val="Kangatang_233"/>
      <sheetName val="Kangatang_234"/>
      <sheetName val="Kangatang_235"/>
      <sheetName val="Kangatang_236"/>
      <sheetName val="Kangatang_237"/>
      <sheetName val="Kangatang_238"/>
      <sheetName val="Kangatang_239"/>
      <sheetName val="Kangatang_240"/>
      <sheetName val="Kangatang_241"/>
      <sheetName val="Kangatang_242"/>
      <sheetName val="Kangatang_243"/>
      <sheetName val="Kangatang_244"/>
      <sheetName val="Kangatang_245"/>
      <sheetName val="Kangatang_246"/>
      <sheetName val="Kangatang_247"/>
      <sheetName val="Kangatang_248"/>
      <sheetName val="Kangatang_249"/>
      <sheetName val="Kangatang_250"/>
      <sheetName val="Kangatang_251"/>
      <sheetName val="Kangatang_252"/>
      <sheetName val="Kangatang_253"/>
      <sheetName val="Kangatang_254"/>
      <sheetName val="Kangatang_255"/>
      <sheetName val="Kangatang_256"/>
      <sheetName val="Kangatang_257"/>
      <sheetName val="Kangatang_258"/>
      <sheetName val="Kangatang_259"/>
      <sheetName val="Kangatang_260"/>
      <sheetName val="Kangatang_261"/>
      <sheetName val="Kangatang_262"/>
      <sheetName val="Kangatang_263"/>
      <sheetName val="Kangatang_264"/>
      <sheetName val="Kangatang_265"/>
      <sheetName val="Kangatang_266"/>
      <sheetName val="Kangatang_267"/>
      <sheetName val="Kangatang_268"/>
      <sheetName val="Kangatang_269"/>
      <sheetName val="Kangatang_270"/>
      <sheetName val="Kangatang_271"/>
      <sheetName val="Kangatang_272"/>
      <sheetName val="Kangatang_273"/>
      <sheetName val="Kangatang_274"/>
      <sheetName val="Kangatang_275"/>
      <sheetName val="Kangatang_394"/>
      <sheetName val="Kangatang_395"/>
      <sheetName val="Kangatang_396"/>
      <sheetName val="Kangatang_397"/>
      <sheetName val="Kangatang_398"/>
      <sheetName val="Kangatang_399"/>
      <sheetName val="Kangatang_400"/>
      <sheetName val="Kangatang_401"/>
      <sheetName val="Kangatang_402"/>
      <sheetName val="Kangatang_403"/>
      <sheetName val="Kangatang_404"/>
      <sheetName val="Kangatang_405"/>
      <sheetName val="Kangatang_406"/>
      <sheetName val="Kangatang_407"/>
      <sheetName val="Kangatang_408"/>
      <sheetName val="Kangatang_409"/>
      <sheetName val="Kangatang_410"/>
      <sheetName val="Kangatang_411"/>
      <sheetName val="Kangatang_412"/>
      <sheetName val="Kangatang_413"/>
      <sheetName val="Kangatang_414"/>
      <sheetName val="Kangatang_415"/>
      <sheetName val="Kangatang_416"/>
      <sheetName val="Kangatang_417"/>
      <sheetName val="Kangatang_418"/>
      <sheetName val="Kangatang_419"/>
      <sheetName val="Kangatang_420"/>
      <sheetName val="Kangatang_421"/>
      <sheetName val="Kangatang_422"/>
      <sheetName val="Kangatang_423"/>
      <sheetName val="Kangatang_424"/>
      <sheetName val="Kangatang_425"/>
      <sheetName val="Kangatang_426"/>
      <sheetName val="Kangatang_427"/>
      <sheetName val="Kangatang_428"/>
      <sheetName val="Kangatang_429"/>
      <sheetName val="Kangatang_430"/>
      <sheetName val="Kangatang_431"/>
      <sheetName val="Kangatang_432"/>
      <sheetName val="Kangatang_433"/>
      <sheetName val="Kangatang_434"/>
      <sheetName val="Kangatang_435"/>
      <sheetName val="Kangatang_436"/>
      <sheetName val="Kangatang_437"/>
      <sheetName val="Kangatang_438"/>
      <sheetName val="Kangatang_439"/>
      <sheetName val="Kangatang_440"/>
      <sheetName val="Kangatang_441"/>
      <sheetName val="Kangatang_442"/>
      <sheetName val="Kangatang_443"/>
      <sheetName val="Kangatang_444"/>
      <sheetName val="Kangatang_445"/>
      <sheetName val="Kangatang_446"/>
      <sheetName val="Kangatang_447"/>
      <sheetName val="Kangatang_448"/>
      <sheetName val="Kangatang_449"/>
      <sheetName val="Kangatang_450"/>
      <sheetName val="Kangatang_451"/>
      <sheetName val="Kangatang_452"/>
      <sheetName val="Kangatang_453"/>
      <sheetName val="Kangatang_454"/>
      <sheetName val="Kangatang_455"/>
      <sheetName val="Kangatang_456"/>
      <sheetName val="Kangatang_457"/>
      <sheetName val="Kangatang_590"/>
      <sheetName val="Kangatang_591"/>
      <sheetName val="Kangatang_592"/>
      <sheetName val="Kangatang_593"/>
      <sheetName val="Kangatang_594"/>
      <sheetName val="Kangatang_595"/>
      <sheetName val="Kangatang_596"/>
      <sheetName val="Kangatang_597"/>
      <sheetName val="Kangatang_598"/>
      <sheetName val="Kangatang_599"/>
      <sheetName val="Kangatang_600"/>
      <sheetName val="Kangatang_601"/>
      <sheetName val="Kangatang_602"/>
      <sheetName val="Kangatang_603"/>
      <sheetName val="Kangatang_604"/>
      <sheetName val="Kangatang_605"/>
      <sheetName val="Tong hop"/>
      <sheetName val="Gui chi Quynh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>
        <row r="7">
          <cell r="B7" t="str">
            <v>Họ và tên</v>
          </cell>
          <cell r="C7" t="str">
            <v>Mã E-office</v>
          </cell>
          <cell r="D7" t="str">
            <v>Mức XL thi đua tối đa năm 2023</v>
          </cell>
          <cell r="E7" t="str">
            <v>Đơn vị xếp loại thi đua</v>
          </cell>
          <cell r="F7" t="str">
            <v>Kết quả xếp loại thi đua</v>
          </cell>
        </row>
        <row r="8">
          <cell r="F8" t="str">
            <v>Xếp loại</v>
          </cell>
        </row>
        <row r="9">
          <cell r="B9" t="str">
            <v>Column2</v>
          </cell>
          <cell r="C9" t="str">
            <v>Column3</v>
          </cell>
          <cell r="D9" t="str">
            <v>Column4</v>
          </cell>
          <cell r="E9" t="str">
            <v>Column5</v>
          </cell>
          <cell r="F9" t="str">
            <v>Column6</v>
          </cell>
        </row>
        <row r="10">
          <cell r="B10" t="str">
            <v>BAN GIÁM HIỆU</v>
          </cell>
          <cell r="D10">
            <v>4</v>
          </cell>
          <cell r="F10">
            <v>4</v>
          </cell>
        </row>
        <row r="11">
          <cell r="B11" t="str">
            <v>Phạm Hữu Lộc</v>
          </cell>
          <cell r="C11" t="str">
            <v>01001001</v>
          </cell>
          <cell r="D11" t="str">
            <v>A1</v>
          </cell>
          <cell r="E11" t="str">
            <v>A1</v>
          </cell>
          <cell r="F11" t="str">
            <v>A1</v>
          </cell>
        </row>
        <row r="12">
          <cell r="B12" t="str">
            <v>Đinh Hồng Minh</v>
          </cell>
          <cell r="C12" t="str">
            <v>01002001</v>
          </cell>
          <cell r="D12" t="str">
            <v>A1</v>
          </cell>
          <cell r="E12" t="str">
            <v>A1</v>
          </cell>
          <cell r="F12" t="str">
            <v>A1</v>
          </cell>
        </row>
        <row r="13">
          <cell r="B13" t="str">
            <v>Đinh Văn Đệ</v>
          </cell>
          <cell r="C13" t="str">
            <v>01001006</v>
          </cell>
          <cell r="D13" t="str">
            <v>A1</v>
          </cell>
          <cell r="E13" t="str">
            <v>A1</v>
          </cell>
          <cell r="F13" t="str">
            <v>A1</v>
          </cell>
        </row>
        <row r="14">
          <cell r="B14" t="str">
            <v>Châu Văn Bảo</v>
          </cell>
          <cell r="C14" t="str">
            <v>01014037</v>
          </cell>
          <cell r="D14" t="str">
            <v>A1</v>
          </cell>
          <cell r="E14" t="str">
            <v>A1</v>
          </cell>
          <cell r="F14" t="str">
            <v>A1</v>
          </cell>
        </row>
        <row r="15">
          <cell r="B15" t="str">
            <v>PHÒNG KẾ HOẠCH - TÀI CHÍNH</v>
          </cell>
          <cell r="D15">
            <v>9</v>
          </cell>
          <cell r="F15">
            <v>9</v>
          </cell>
        </row>
        <row r="16">
          <cell r="B16" t="str">
            <v>Viên chức</v>
          </cell>
          <cell r="F16">
            <v>5</v>
          </cell>
        </row>
        <row r="17">
          <cell r="B17" t="str">
            <v>Nguyễn Kính</v>
          </cell>
          <cell r="C17" t="str">
            <v>01002024</v>
          </cell>
          <cell r="D17" t="str">
            <v>A1</v>
          </cell>
          <cell r="E17" t="str">
            <v>A1</v>
          </cell>
          <cell r="F17" t="str">
            <v>A1</v>
          </cell>
        </row>
        <row r="18">
          <cell r="B18" t="str">
            <v>Hồng Mộng Tuyết Dung</v>
          </cell>
          <cell r="C18" t="str">
            <v>01003009</v>
          </cell>
          <cell r="D18" t="str">
            <v>A2</v>
          </cell>
          <cell r="E18" t="str">
            <v>A2</v>
          </cell>
          <cell r="F18" t="str">
            <v>A1</v>
          </cell>
        </row>
        <row r="19">
          <cell r="B19" t="str">
            <v>Trần Thị Minh Thoa</v>
          </cell>
          <cell r="C19" t="str">
            <v>01003005</v>
          </cell>
          <cell r="D19" t="str">
            <v>A2</v>
          </cell>
          <cell r="E19" t="str">
            <v>A2</v>
          </cell>
          <cell r="F19" t="str">
            <v>A1</v>
          </cell>
        </row>
        <row r="20">
          <cell r="B20" t="str">
            <v>Võ Thị Lệ Trân</v>
          </cell>
          <cell r="C20" t="str">
            <v>01023004</v>
          </cell>
          <cell r="D20" t="str">
            <v>A2</v>
          </cell>
          <cell r="E20" t="str">
            <v>A2</v>
          </cell>
          <cell r="F20" t="str">
            <v>A1</v>
          </cell>
        </row>
        <row r="21">
          <cell r="B21" t="str">
            <v>Nguyễn Thị Hồng Thắm</v>
          </cell>
          <cell r="C21" t="str">
            <v>01003007</v>
          </cell>
          <cell r="D21" t="str">
            <v>A2</v>
          </cell>
          <cell r="E21" t="str">
            <v>A2</v>
          </cell>
          <cell r="F21" t="str">
            <v>A1</v>
          </cell>
        </row>
        <row r="22">
          <cell r="B22" t="str">
            <v>Hợp đồng trường</v>
          </cell>
          <cell r="F22">
            <v>4</v>
          </cell>
        </row>
        <row r="23">
          <cell r="B23" t="str">
            <v>Trần Thị Thảo Vân</v>
          </cell>
          <cell r="C23" t="str">
            <v>01003008</v>
          </cell>
          <cell r="D23" t="str">
            <v>A2</v>
          </cell>
          <cell r="E23" t="str">
            <v>A1</v>
          </cell>
          <cell r="F23" t="str">
            <v>A1</v>
          </cell>
        </row>
        <row r="24">
          <cell r="B24" t="str">
            <v>Nguyễn Thụy Nghiêm</v>
          </cell>
          <cell r="C24" t="str">
            <v>01003014</v>
          </cell>
          <cell r="D24" t="str">
            <v>A2</v>
          </cell>
          <cell r="E24" t="str">
            <v>A1</v>
          </cell>
          <cell r="F24" t="str">
            <v>A1</v>
          </cell>
        </row>
        <row r="25">
          <cell r="B25" t="str">
            <v>Huỳnh Như Ý</v>
          </cell>
          <cell r="C25" t="str">
            <v>01003015</v>
          </cell>
          <cell r="D25" t="str">
            <v>A2</v>
          </cell>
          <cell r="E25" t="str">
            <v>A1</v>
          </cell>
          <cell r="F25" t="str">
            <v>A1</v>
          </cell>
        </row>
        <row r="26">
          <cell r="B26" t="str">
            <v>Nguyễn Chiến Thắng</v>
          </cell>
          <cell r="C26" t="str">
            <v>01003016</v>
          </cell>
          <cell r="D26" t="str">
            <v>A4</v>
          </cell>
          <cell r="E26" t="str">
            <v>A1</v>
          </cell>
          <cell r="F26" t="str">
            <v>A1</v>
          </cell>
        </row>
        <row r="27">
          <cell r="B27" t="str">
            <v>PHÒNG TUYỂN SINH - ĐÀO TẠO</v>
          </cell>
          <cell r="D27">
            <v>16</v>
          </cell>
          <cell r="F27">
            <v>16</v>
          </cell>
        </row>
        <row r="28">
          <cell r="B28" t="str">
            <v>Viên chức</v>
          </cell>
          <cell r="F28">
            <v>11</v>
          </cell>
        </row>
        <row r="29">
          <cell r="B29" t="str">
            <v>Nguyễn Thành Nam</v>
          </cell>
          <cell r="C29" t="str">
            <v>01005007</v>
          </cell>
          <cell r="D29" t="str">
            <v>A1</v>
          </cell>
          <cell r="E29" t="str">
            <v>A1</v>
          </cell>
          <cell r="F29" t="str">
            <v>A2</v>
          </cell>
        </row>
        <row r="30">
          <cell r="B30" t="str">
            <v>Quách Minh Thử</v>
          </cell>
          <cell r="C30" t="str">
            <v>01014007</v>
          </cell>
          <cell r="D30" t="str">
            <v>A1</v>
          </cell>
          <cell r="E30" t="str">
            <v>A1</v>
          </cell>
          <cell r="F30" t="str">
            <v>A2</v>
          </cell>
        </row>
        <row r="31">
          <cell r="B31" t="str">
            <v>Nguyễn Thị Thùy</v>
          </cell>
          <cell r="C31" t="str">
            <v>01022013</v>
          </cell>
          <cell r="D31" t="str">
            <v>A2</v>
          </cell>
          <cell r="E31" t="str">
            <v>A2</v>
          </cell>
          <cell r="F31" t="str">
            <v>A1</v>
          </cell>
        </row>
        <row r="32">
          <cell r="B32" t="str">
            <v>Võ Thị Xuân Thơ</v>
          </cell>
          <cell r="C32" t="str">
            <v>01004003</v>
          </cell>
          <cell r="D32" t="str">
            <v>A2</v>
          </cell>
          <cell r="E32" t="str">
            <v>A2</v>
          </cell>
          <cell r="F32" t="str">
            <v>A1</v>
          </cell>
        </row>
        <row r="33">
          <cell r="B33" t="str">
            <v>Nguyễn Thị Thanh Thảo</v>
          </cell>
          <cell r="C33" t="str">
            <v>01004008</v>
          </cell>
          <cell r="D33" t="str">
            <v>A3</v>
          </cell>
          <cell r="E33" t="str">
            <v>A3</v>
          </cell>
          <cell r="F33" t="str">
            <v>A3</v>
          </cell>
        </row>
        <row r="34">
          <cell r="B34" t="str">
            <v>Huỳnh Thị Cẩm Hoa</v>
          </cell>
          <cell r="C34" t="str">
            <v>01005009</v>
          </cell>
          <cell r="D34" t="str">
            <v>A3</v>
          </cell>
          <cell r="E34" t="str">
            <v>A3</v>
          </cell>
          <cell r="F34" t="str">
            <v>A3</v>
          </cell>
        </row>
        <row r="35">
          <cell r="B35" t="str">
            <v>Giáp Thị Vượng</v>
          </cell>
          <cell r="C35" t="str">
            <v>01004009</v>
          </cell>
          <cell r="D35" t="str">
            <v>A2</v>
          </cell>
          <cell r="E35" t="str">
            <v>A2</v>
          </cell>
          <cell r="F35" t="str">
            <v>A2</v>
          </cell>
        </row>
        <row r="36">
          <cell r="B36" t="str">
            <v>Thái Thị My Sa</v>
          </cell>
          <cell r="C36" t="str">
            <v>01002020</v>
          </cell>
          <cell r="D36" t="str">
            <v>A2</v>
          </cell>
          <cell r="E36" t="str">
            <v>A3</v>
          </cell>
          <cell r="F36" t="str">
            <v>A2</v>
          </cell>
        </row>
        <row r="37">
          <cell r="B37" t="str">
            <v>Mai Nguyễn Hoàng Yến</v>
          </cell>
          <cell r="C37" t="str">
            <v>01010038</v>
          </cell>
          <cell r="D37" t="str">
            <v>A2</v>
          </cell>
          <cell r="E37" t="str">
            <v>A2</v>
          </cell>
          <cell r="F37" t="str">
            <v>A2</v>
          </cell>
        </row>
        <row r="38">
          <cell r="B38" t="str">
            <v>Nguyễn Thị Hải Hà</v>
          </cell>
          <cell r="C38" t="str">
            <v>01012026</v>
          </cell>
          <cell r="D38" t="str">
            <v>A2</v>
          </cell>
          <cell r="E38" t="str">
            <v>A2</v>
          </cell>
          <cell r="F38" t="str">
            <v>A2</v>
          </cell>
        </row>
        <row r="39">
          <cell r="B39" t="str">
            <v>Nguyễn Thị Ngọc Anh</v>
          </cell>
          <cell r="C39" t="str">
            <v>01022058</v>
          </cell>
          <cell r="D39" t="str">
            <v>A2</v>
          </cell>
          <cell r="E39" t="str">
            <v>A3</v>
          </cell>
          <cell r="F39" t="str">
            <v>A3</v>
          </cell>
        </row>
        <row r="40">
          <cell r="B40" t="str">
            <v>Hợp đồng trường</v>
          </cell>
          <cell r="F40">
            <v>5</v>
          </cell>
        </row>
        <row r="41">
          <cell r="B41" t="str">
            <v>Trần Nhật Thịnh</v>
          </cell>
          <cell r="C41" t="str">
            <v>01004020</v>
          </cell>
          <cell r="D41" t="str">
            <v>A4</v>
          </cell>
          <cell r="E41" t="str">
            <v>A4</v>
          </cell>
          <cell r="F41" t="str">
            <v>A3</v>
          </cell>
        </row>
        <row r="42">
          <cell r="B42" t="str">
            <v>Sỹ Thị Chung</v>
          </cell>
          <cell r="C42" t="str">
            <v>01011017</v>
          </cell>
          <cell r="D42" t="str">
            <v>A2</v>
          </cell>
          <cell r="E42" t="str">
            <v>A2</v>
          </cell>
          <cell r="F42" t="str">
            <v>A1</v>
          </cell>
        </row>
        <row r="43">
          <cell r="B43" t="str">
            <v>Nguyễn Thị Tất</v>
          </cell>
          <cell r="C43" t="str">
            <v>01022059</v>
          </cell>
          <cell r="D43" t="str">
            <v>A2</v>
          </cell>
          <cell r="E43" t="str">
            <v>A2</v>
          </cell>
          <cell r="F43" t="str">
            <v>A1</v>
          </cell>
        </row>
        <row r="44">
          <cell r="B44" t="str">
            <v>Nguyễn Thị Nhung</v>
          </cell>
          <cell r="C44" t="str">
            <v>01018006</v>
          </cell>
          <cell r="D44" t="str">
            <v>A3</v>
          </cell>
          <cell r="E44" t="str">
            <v>A3</v>
          </cell>
          <cell r="F44" t="str">
            <v>A2</v>
          </cell>
        </row>
        <row r="45">
          <cell r="B45" t="str">
            <v>Nguyễn Việt Tiến</v>
          </cell>
          <cell r="C45" t="str">
            <v>01004013</v>
          </cell>
          <cell r="D45" t="str">
            <v>A2</v>
          </cell>
          <cell r="E45" t="str">
            <v>A3</v>
          </cell>
          <cell r="F45" t="str">
            <v>A3</v>
          </cell>
        </row>
        <row r="46">
          <cell r="B46" t="str">
            <v>P. TỔ CHỨC - HÀNH CHÍNH - TỔNG HỢP</v>
          </cell>
          <cell r="D46">
            <v>27</v>
          </cell>
          <cell r="F46">
            <v>27</v>
          </cell>
        </row>
        <row r="47">
          <cell r="B47" t="str">
            <v xml:space="preserve">Viên chức </v>
          </cell>
          <cell r="F47">
            <v>12</v>
          </cell>
        </row>
        <row r="48">
          <cell r="B48" t="str">
            <v>Lâm Viết Dũng</v>
          </cell>
          <cell r="C48" t="str">
            <v>01007009</v>
          </cell>
          <cell r="D48" t="str">
            <v>A1</v>
          </cell>
          <cell r="E48" t="str">
            <v>A1</v>
          </cell>
          <cell r="F48" t="str">
            <v>A1</v>
          </cell>
        </row>
        <row r="49">
          <cell r="B49" t="str">
            <v>Lưu Hoàng Hải Yến</v>
          </cell>
          <cell r="C49" t="str">
            <v>01002019</v>
          </cell>
          <cell r="D49" t="str">
            <v>A1</v>
          </cell>
          <cell r="E49" t="str">
            <v>A3</v>
          </cell>
          <cell r="F49" t="str">
            <v>A2</v>
          </cell>
        </row>
        <row r="50">
          <cell r="B50" t="str">
            <v>Huỳnh Thị Minh Ly</v>
          </cell>
          <cell r="C50" t="str">
            <v>01004007</v>
          </cell>
          <cell r="D50" t="str">
            <v>A1</v>
          </cell>
          <cell r="E50" t="str">
            <v>A1</v>
          </cell>
          <cell r="F50" t="str">
            <v>A1</v>
          </cell>
        </row>
        <row r="51">
          <cell r="B51" t="str">
            <v>Vũ Như Quỳnh</v>
          </cell>
          <cell r="C51" t="str">
            <v>01002017</v>
          </cell>
          <cell r="D51" t="str">
            <v>A2</v>
          </cell>
          <cell r="E51" t="str">
            <v>A2</v>
          </cell>
          <cell r="F51" t="str">
            <v>A1</v>
          </cell>
        </row>
        <row r="52">
          <cell r="B52" t="str">
            <v>Phan Thị Ngọc Phượng</v>
          </cell>
          <cell r="C52" t="str">
            <v>01002018</v>
          </cell>
          <cell r="D52" t="str">
            <v>A2</v>
          </cell>
          <cell r="E52" t="str">
            <v>A2</v>
          </cell>
          <cell r="F52" t="str">
            <v>A1</v>
          </cell>
        </row>
        <row r="53">
          <cell r="B53" t="str">
            <v>Nguyễn Thị Bích Liễu</v>
          </cell>
          <cell r="C53" t="str">
            <v>01002005</v>
          </cell>
          <cell r="D53" t="str">
            <v>A2</v>
          </cell>
          <cell r="E53" t="str">
            <v>A2</v>
          </cell>
          <cell r="F53" t="str">
            <v>A2</v>
          </cell>
        </row>
        <row r="54">
          <cell r="B54" t="str">
            <v>Nguyễn Văn Chì</v>
          </cell>
          <cell r="C54" t="str">
            <v>01023001</v>
          </cell>
          <cell r="D54" t="str">
            <v>A2</v>
          </cell>
          <cell r="E54" t="str">
            <v>A2</v>
          </cell>
          <cell r="F54" t="str">
            <v>A2</v>
          </cell>
        </row>
        <row r="55">
          <cell r="B55" t="str">
            <v>Trần Thị Ánh Phượng</v>
          </cell>
          <cell r="C55" t="str">
            <v>01017006</v>
          </cell>
          <cell r="D55" t="str">
            <v>A1</v>
          </cell>
          <cell r="E55" t="str">
            <v>A1</v>
          </cell>
          <cell r="F55" t="str">
            <v>A1</v>
          </cell>
        </row>
        <row r="56">
          <cell r="B56" t="str">
            <v>Nguyễn Thị Vân</v>
          </cell>
          <cell r="C56" t="str">
            <v>01002032</v>
          </cell>
          <cell r="D56" t="str">
            <v>A2</v>
          </cell>
          <cell r="E56" t="str">
            <v>A2</v>
          </cell>
          <cell r="F56" t="str">
            <v>A2</v>
          </cell>
        </row>
        <row r="57">
          <cell r="B57" t="str">
            <v>Trần Thị Phương Oanh</v>
          </cell>
          <cell r="C57" t="str">
            <v>01007007</v>
          </cell>
          <cell r="D57" t="str">
            <v>A2</v>
          </cell>
          <cell r="E57" t="str">
            <v>A2</v>
          </cell>
          <cell r="F57" t="str">
            <v>A2</v>
          </cell>
        </row>
        <row r="58">
          <cell r="B58" t="str">
            <v>Thân Thị Nhung</v>
          </cell>
          <cell r="C58" t="str">
            <v>01007005</v>
          </cell>
          <cell r="D58" t="str">
            <v>A2</v>
          </cell>
          <cell r="E58" t="str">
            <v>A2</v>
          </cell>
          <cell r="F58" t="str">
            <v>A1</v>
          </cell>
        </row>
        <row r="59">
          <cell r="B59" t="str">
            <v>Lê Thị Hải Đăng</v>
          </cell>
          <cell r="C59" t="str">
            <v>01002039</v>
          </cell>
          <cell r="D59" t="str">
            <v>A4</v>
          </cell>
          <cell r="E59" t="str">
            <v>A4</v>
          </cell>
          <cell r="F59" t="str">
            <v>A2</v>
          </cell>
        </row>
        <row r="60">
          <cell r="B60" t="str">
            <v>Hợp đồng trường</v>
          </cell>
          <cell r="F60">
            <v>15</v>
          </cell>
        </row>
        <row r="61">
          <cell r="B61" t="str">
            <v>Huỳnh Thị Xuân Mai</v>
          </cell>
          <cell r="C61" t="str">
            <v>01007006</v>
          </cell>
          <cell r="D61" t="str">
            <v>A2</v>
          </cell>
          <cell r="E61" t="str">
            <v>A2</v>
          </cell>
          <cell r="F61" t="str">
            <v>A2</v>
          </cell>
        </row>
        <row r="62">
          <cell r="B62" t="str">
            <v>Phạm Hữu Tấn</v>
          </cell>
          <cell r="C62" t="str">
            <v>01002023</v>
          </cell>
          <cell r="D62" t="str">
            <v>A4</v>
          </cell>
          <cell r="E62" t="str">
            <v>A4</v>
          </cell>
          <cell r="F62" t="str">
            <v>A3</v>
          </cell>
        </row>
        <row r="63">
          <cell r="B63" t="str">
            <v>Trần Văn Cu Anh</v>
          </cell>
          <cell r="C63" t="str">
            <v>01002007</v>
          </cell>
          <cell r="D63" t="str">
            <v>A4</v>
          </cell>
          <cell r="E63" t="str">
            <v>A4</v>
          </cell>
          <cell r="F63" t="str">
            <v>A4</v>
          </cell>
        </row>
        <row r="64">
          <cell r="B64" t="str">
            <v>Nguyễn Hữu Xuân Vũ</v>
          </cell>
          <cell r="C64" t="str">
            <v>01002010</v>
          </cell>
          <cell r="D64" t="str">
            <v>A4</v>
          </cell>
          <cell r="E64" t="str">
            <v>A4</v>
          </cell>
          <cell r="F64" t="str">
            <v>A3</v>
          </cell>
        </row>
        <row r="65">
          <cell r="B65" t="str">
            <v>Lê Hồng Phúc</v>
          </cell>
          <cell r="C65" t="str">
            <v>01002012</v>
          </cell>
          <cell r="D65" t="str">
            <v>A4</v>
          </cell>
          <cell r="E65" t="str">
            <v>A4</v>
          </cell>
          <cell r="F65" t="str">
            <v>A4</v>
          </cell>
        </row>
        <row r="66">
          <cell r="B66" t="str">
            <v>Phạm Hữu Thành Phú</v>
          </cell>
          <cell r="C66" t="str">
            <v>01002028</v>
          </cell>
          <cell r="D66" t="str">
            <v>A2</v>
          </cell>
          <cell r="E66" t="str">
            <v>A3</v>
          </cell>
          <cell r="F66" t="str">
            <v>A3</v>
          </cell>
        </row>
        <row r="67">
          <cell r="B67" t="str">
            <v>Huỳnh Thanh Nhàn</v>
          </cell>
          <cell r="C67" t="str">
            <v>01002027</v>
          </cell>
          <cell r="D67" t="str">
            <v>A3</v>
          </cell>
          <cell r="E67" t="str">
            <v>A3</v>
          </cell>
          <cell r="F67" t="str">
            <v>A3</v>
          </cell>
        </row>
        <row r="68">
          <cell r="B68" t="str">
            <v>Đồng Anh Tuấn</v>
          </cell>
          <cell r="C68" t="str">
            <v>01002013</v>
          </cell>
          <cell r="D68" t="str">
            <v>A4</v>
          </cell>
          <cell r="E68" t="str">
            <v>A4</v>
          </cell>
          <cell r="F68" t="str">
            <v>A4</v>
          </cell>
        </row>
        <row r="69">
          <cell r="B69" t="str">
            <v>Lê Hồng Sơn</v>
          </cell>
          <cell r="C69" t="str">
            <v>01002031</v>
          </cell>
          <cell r="D69" t="str">
            <v>A4</v>
          </cell>
          <cell r="E69" t="str">
            <v>A4</v>
          </cell>
          <cell r="F69" t="str">
            <v>A4</v>
          </cell>
        </row>
        <row r="70">
          <cell r="B70" t="str">
            <v>Nguyễn Thanh Hiền</v>
          </cell>
          <cell r="C70" t="str">
            <v>01002033</v>
          </cell>
          <cell r="D70" t="str">
            <v>A4</v>
          </cell>
          <cell r="E70" t="str">
            <v>A4</v>
          </cell>
          <cell r="F70" t="str">
            <v>A4</v>
          </cell>
        </row>
        <row r="71">
          <cell r="B71" t="str">
            <v>Phạm Quang Tùng</v>
          </cell>
          <cell r="C71" t="str">
            <v>01010068</v>
          </cell>
          <cell r="D71" t="str">
            <v>A4</v>
          </cell>
          <cell r="E71" t="str">
            <v>A4</v>
          </cell>
          <cell r="F71" t="str">
            <v>A4</v>
          </cell>
        </row>
        <row r="72">
          <cell r="B72" t="str">
            <v>Trần Thanh Cường</v>
          </cell>
          <cell r="C72" t="str">
            <v>01002040</v>
          </cell>
          <cell r="D72" t="str">
            <v>A4</v>
          </cell>
          <cell r="E72" t="str">
            <v>A4</v>
          </cell>
          <cell r="F72" t="str">
            <v>A3</v>
          </cell>
        </row>
        <row r="73">
          <cell r="B73" t="str">
            <v>Vũ Anh Hiếu</v>
          </cell>
          <cell r="C73" t="str">
            <v>01002041</v>
          </cell>
          <cell r="D73" t="str">
            <v>A4</v>
          </cell>
          <cell r="E73" t="str">
            <v>A4</v>
          </cell>
          <cell r="F73" t="str">
            <v>A3</v>
          </cell>
        </row>
        <row r="74">
          <cell r="B74" t="str">
            <v>Dương Văn Tâm</v>
          </cell>
          <cell r="C74" t="str">
            <v>01002035</v>
          </cell>
          <cell r="D74" t="str">
            <v>A4</v>
          </cell>
          <cell r="E74" t="str">
            <v>A4</v>
          </cell>
          <cell r="F74" t="str">
            <v>A2</v>
          </cell>
        </row>
        <row r="75">
          <cell r="B75" t="str">
            <v>Huỳnh Ngọc Liên</v>
          </cell>
          <cell r="C75" t="str">
            <v>01002036</v>
          </cell>
          <cell r="D75" t="str">
            <v>A4</v>
          </cell>
          <cell r="E75" t="str">
            <v>A4</v>
          </cell>
          <cell r="F75" t="str">
            <v>A2</v>
          </cell>
        </row>
        <row r="76">
          <cell r="B76" t="str">
            <v>PHÒNG TTGD-CTSV</v>
          </cell>
          <cell r="D76">
            <v>15</v>
          </cell>
          <cell r="F76">
            <v>15</v>
          </cell>
        </row>
        <row r="77">
          <cell r="B77" t="str">
            <v>Viên chức</v>
          </cell>
          <cell r="F77">
            <v>7</v>
          </cell>
        </row>
        <row r="78">
          <cell r="B78" t="str">
            <v>Lê Xuân Thiện</v>
          </cell>
          <cell r="C78" t="str">
            <v>01002002</v>
          </cell>
          <cell r="D78" t="str">
            <v>A2</v>
          </cell>
          <cell r="E78" t="str">
            <v>A4</v>
          </cell>
          <cell r="F78" t="str">
            <v>A4</v>
          </cell>
        </row>
        <row r="79">
          <cell r="B79" t="str">
            <v>Nguyễn Ngọc Hiệp</v>
          </cell>
          <cell r="C79" t="str">
            <v>01009006</v>
          </cell>
          <cell r="D79" t="str">
            <v>A2</v>
          </cell>
          <cell r="E79" t="str">
            <v>A4</v>
          </cell>
          <cell r="F79" t="str">
            <v>A4</v>
          </cell>
        </row>
        <row r="80">
          <cell r="B80" t="str">
            <v>Nguyễn Thị Kim Anh</v>
          </cell>
          <cell r="C80" t="str">
            <v>01009018</v>
          </cell>
          <cell r="D80" t="str">
            <v>A2</v>
          </cell>
          <cell r="E80" t="str">
            <v>A3</v>
          </cell>
          <cell r="F80" t="str">
            <v>A2</v>
          </cell>
        </row>
        <row r="81">
          <cell r="B81" t="str">
            <v>Phạm Thị Lê Chi</v>
          </cell>
          <cell r="C81" t="str">
            <v>01009010</v>
          </cell>
          <cell r="D81" t="str">
            <v>A3</v>
          </cell>
          <cell r="E81" t="str">
            <v>A3</v>
          </cell>
          <cell r="F81" t="str">
            <v>A3</v>
          </cell>
        </row>
        <row r="82">
          <cell r="B82" t="str">
            <v>Trần Thị Thu Hà</v>
          </cell>
          <cell r="C82" t="str">
            <v>01002004</v>
          </cell>
          <cell r="D82" t="str">
            <v>A2</v>
          </cell>
          <cell r="E82" t="str">
            <v>A2</v>
          </cell>
          <cell r="F82" t="str">
            <v>A2</v>
          </cell>
        </row>
        <row r="83">
          <cell r="B83" t="str">
            <v>Nguyễn Tất Thắng</v>
          </cell>
          <cell r="C83" t="str">
            <v>01009008</v>
          </cell>
          <cell r="D83" t="str">
            <v>A2</v>
          </cell>
          <cell r="E83" t="str">
            <v>A4</v>
          </cell>
          <cell r="F83" t="str">
            <v>A4</v>
          </cell>
        </row>
        <row r="84">
          <cell r="B84" t="str">
            <v>Mai Thu Hương</v>
          </cell>
          <cell r="C84" t="str">
            <v>01007004</v>
          </cell>
          <cell r="D84" t="str">
            <v>A3</v>
          </cell>
          <cell r="E84" t="str">
            <v>A4</v>
          </cell>
          <cell r="F84" t="str">
            <v>A4</v>
          </cell>
        </row>
        <row r="85">
          <cell r="B85" t="str">
            <v>Hợp đồng trường</v>
          </cell>
          <cell r="F85">
            <v>8</v>
          </cell>
        </row>
        <row r="86">
          <cell r="B86" t="str">
            <v>Nguyễn Trung Dũng</v>
          </cell>
          <cell r="C86" t="str">
            <v>01002008</v>
          </cell>
          <cell r="D86" t="str">
            <v>A2</v>
          </cell>
          <cell r="E86" t="str">
            <v>A4</v>
          </cell>
          <cell r="F86" t="str">
            <v>A4</v>
          </cell>
        </row>
        <row r="87">
          <cell r="B87" t="str">
            <v>Huỳnh Văn Hiếu</v>
          </cell>
          <cell r="C87" t="str">
            <v>01009019</v>
          </cell>
          <cell r="D87" t="str">
            <v>A2</v>
          </cell>
          <cell r="E87" t="str">
            <v>A3</v>
          </cell>
          <cell r="F87" t="str">
            <v>A3</v>
          </cell>
        </row>
        <row r="88">
          <cell r="B88" t="str">
            <v>Phạm Huy Hoàng</v>
          </cell>
          <cell r="C88" t="str">
            <v>01009011</v>
          </cell>
          <cell r="D88" t="str">
            <v>A3</v>
          </cell>
          <cell r="E88" t="str">
            <v>A4</v>
          </cell>
          <cell r="F88" t="str">
            <v>A4</v>
          </cell>
        </row>
        <row r="89">
          <cell r="B89" t="str">
            <v>Trần Anh Mỹ</v>
          </cell>
          <cell r="C89" t="str">
            <v>01009028</v>
          </cell>
          <cell r="D89" t="str">
            <v>A3</v>
          </cell>
          <cell r="E89" t="str">
            <v>A4</v>
          </cell>
          <cell r="F89" t="str">
            <v>A4</v>
          </cell>
        </row>
        <row r="90">
          <cell r="B90" t="str">
            <v>Bùi Đức Phước</v>
          </cell>
          <cell r="C90" t="str">
            <v>01009026</v>
          </cell>
          <cell r="D90" t="str">
            <v>A2</v>
          </cell>
          <cell r="E90" t="str">
            <v>A3</v>
          </cell>
          <cell r="F90" t="str">
            <v>A2</v>
          </cell>
        </row>
        <row r="91">
          <cell r="B91" t="str">
            <v>Nguyễn Thị Thảo</v>
          </cell>
          <cell r="C91" t="str">
            <v>01007003</v>
          </cell>
          <cell r="D91" t="str">
            <v>A4</v>
          </cell>
          <cell r="E91" t="str">
            <v>A4</v>
          </cell>
          <cell r="F91" t="str">
            <v>A4</v>
          </cell>
        </row>
        <row r="92">
          <cell r="B92" t="str">
            <v>Lưu Hoàng Bảo Châu</v>
          </cell>
          <cell r="C92" t="str">
            <v>01009029</v>
          </cell>
          <cell r="D92" t="str">
            <v>A4</v>
          </cell>
          <cell r="E92" t="str">
            <v>A4</v>
          </cell>
          <cell r="F92" t="str">
            <v>A4</v>
          </cell>
        </row>
        <row r="93">
          <cell r="B93" t="str">
            <v>Trần Việt Anh</v>
          </cell>
          <cell r="C93" t="str">
            <v>01002038</v>
          </cell>
          <cell r="D93" t="str">
            <v>A4</v>
          </cell>
          <cell r="E93" t="str">
            <v>A4</v>
          </cell>
          <cell r="F93" t="str">
            <v>A4</v>
          </cell>
        </row>
        <row r="94">
          <cell r="B94" t="str">
            <v>PHÒNG KHẢO THÍ VÀ ĐBCL</v>
          </cell>
          <cell r="D94">
            <v>7</v>
          </cell>
          <cell r="F94">
            <v>7</v>
          </cell>
        </row>
        <row r="95">
          <cell r="B95" t="str">
            <v>Viên chức</v>
          </cell>
          <cell r="F95">
            <v>6</v>
          </cell>
        </row>
        <row r="96">
          <cell r="B96" t="str">
            <v>Nguyễn Chí Nhân</v>
          </cell>
          <cell r="C96" t="str">
            <v>01009009</v>
          </cell>
          <cell r="D96" t="str">
            <v>A2</v>
          </cell>
          <cell r="E96" t="str">
            <v>A3</v>
          </cell>
          <cell r="F96" t="str">
            <v>A2</v>
          </cell>
        </row>
        <row r="97">
          <cell r="B97" t="str">
            <v>Nguyễn Thị Kim Dung</v>
          </cell>
          <cell r="C97" t="str">
            <v>01003002</v>
          </cell>
          <cell r="D97" t="str">
            <v>A2</v>
          </cell>
          <cell r="E97" t="str">
            <v>A3</v>
          </cell>
          <cell r="F97" t="str">
            <v>A3</v>
          </cell>
        </row>
        <row r="98">
          <cell r="B98" t="str">
            <v>Nguyễn Thanh Sơn</v>
          </cell>
          <cell r="C98" t="str">
            <v>01006003</v>
          </cell>
          <cell r="D98" t="str">
            <v>A2</v>
          </cell>
          <cell r="E98" t="str">
            <v>A3</v>
          </cell>
          <cell r="F98" t="str">
            <v>A3</v>
          </cell>
        </row>
        <row r="99">
          <cell r="B99" t="str">
            <v>Vũ Thị Thu Thủy</v>
          </cell>
          <cell r="C99" t="str">
            <v>01013032</v>
          </cell>
          <cell r="D99" t="str">
            <v>A2</v>
          </cell>
          <cell r="E99" t="str">
            <v>A3</v>
          </cell>
          <cell r="F99" t="str">
            <v>A3</v>
          </cell>
        </row>
        <row r="100">
          <cell r="B100" t="str">
            <v>Nguyễn Thị Tuyết</v>
          </cell>
          <cell r="C100" t="str">
            <v>01022061</v>
          </cell>
          <cell r="D100" t="str">
            <v>A2</v>
          </cell>
          <cell r="E100" t="str">
            <v>A2</v>
          </cell>
          <cell r="F100" t="str">
            <v>A2</v>
          </cell>
        </row>
        <row r="101">
          <cell r="B101" t="str">
            <v>Lương Minh Dũng</v>
          </cell>
          <cell r="C101" t="str">
            <v>01015027</v>
          </cell>
          <cell r="D101" t="str">
            <v>A2</v>
          </cell>
          <cell r="E101" t="str">
            <v>A2</v>
          </cell>
          <cell r="F101" t="str">
            <v>A2</v>
          </cell>
        </row>
        <row r="102">
          <cell r="B102" t="str">
            <v>Hợp đồng trường</v>
          </cell>
          <cell r="F102">
            <v>1</v>
          </cell>
        </row>
        <row r="103">
          <cell r="B103" t="str">
            <v>Nguyễn Yến Nhi</v>
          </cell>
          <cell r="C103" t="str">
            <v>01006006</v>
          </cell>
          <cell r="D103" t="str">
            <v>A2</v>
          </cell>
          <cell r="E103" t="str">
            <v>A4</v>
          </cell>
          <cell r="F103" t="str">
            <v>A3</v>
          </cell>
        </row>
        <row r="104">
          <cell r="B104" t="str">
            <v>PHÒNG QLKH-HTQT</v>
          </cell>
          <cell r="D104">
            <v>3</v>
          </cell>
          <cell r="F104">
            <v>3</v>
          </cell>
        </row>
        <row r="105">
          <cell r="B105" t="str">
            <v>Viên chức</v>
          </cell>
          <cell r="F105">
            <v>1</v>
          </cell>
        </row>
        <row r="106">
          <cell r="B106" t="str">
            <v>Nguyễn Trọng Nghĩa</v>
          </cell>
          <cell r="C106" t="str">
            <v>01025001</v>
          </cell>
          <cell r="D106" t="str">
            <v>A2</v>
          </cell>
          <cell r="E106" t="str">
            <v>A1</v>
          </cell>
          <cell r="F106" t="str">
            <v>A1</v>
          </cell>
        </row>
        <row r="107">
          <cell r="B107" t="str">
            <v>Hợp đồng trường</v>
          </cell>
          <cell r="F107">
            <v>2</v>
          </cell>
        </row>
        <row r="108">
          <cell r="B108" t="str">
            <v>Lê Tiến Dũng</v>
          </cell>
          <cell r="C108" t="str">
            <v>01005003</v>
          </cell>
          <cell r="D108" t="str">
            <v>A1</v>
          </cell>
          <cell r="E108" t="str">
            <v>A3</v>
          </cell>
          <cell r="F108" t="str">
            <v>A3</v>
          </cell>
        </row>
        <row r="109">
          <cell r="B109" t="str">
            <v>Lê Trần Thanh Nga</v>
          </cell>
          <cell r="C109" t="str">
            <v>01005011</v>
          </cell>
          <cell r="D109" t="str">
            <v>A4</v>
          </cell>
          <cell r="E109" t="str">
            <v>A4</v>
          </cell>
          <cell r="F109" t="str">
            <v>A4</v>
          </cell>
        </row>
        <row r="110">
          <cell r="B110" t="str">
            <v>PHÒNG QUẢN TRỊ - DỊCH VỤ</v>
          </cell>
          <cell r="D110">
            <v>26</v>
          </cell>
          <cell r="F110">
            <v>26</v>
          </cell>
        </row>
        <row r="111">
          <cell r="B111" t="str">
            <v>Viên chức</v>
          </cell>
          <cell r="F111">
            <v>10</v>
          </cell>
        </row>
        <row r="112">
          <cell r="B112" t="str">
            <v>Lê Quang Liêm</v>
          </cell>
          <cell r="C112" t="str">
            <v>01008028</v>
          </cell>
          <cell r="D112" t="str">
            <v>A1</v>
          </cell>
          <cell r="E112" t="str">
            <v>A1</v>
          </cell>
          <cell r="F112" t="str">
            <v>A2</v>
          </cell>
        </row>
        <row r="113">
          <cell r="B113" t="str">
            <v>Nguyễn Văn Thành</v>
          </cell>
          <cell r="C113" t="str">
            <v>01008002</v>
          </cell>
          <cell r="D113" t="str">
            <v>A1</v>
          </cell>
          <cell r="E113" t="str">
            <v>A1</v>
          </cell>
          <cell r="F113" t="str">
            <v>A2</v>
          </cell>
        </row>
        <row r="114">
          <cell r="B114" t="str">
            <v>Phan Hữu Tước</v>
          </cell>
          <cell r="C114" t="str">
            <v>01008049</v>
          </cell>
          <cell r="D114" t="str">
            <v>A4</v>
          </cell>
          <cell r="E114" t="str">
            <v>A4</v>
          </cell>
          <cell r="F114" t="str">
            <v>A3</v>
          </cell>
        </row>
        <row r="115">
          <cell r="B115" t="str">
            <v>Nguyễn Trọng Phú</v>
          </cell>
          <cell r="C115" t="str">
            <v>01008004</v>
          </cell>
          <cell r="D115" t="str">
            <v>A2</v>
          </cell>
          <cell r="E115" t="str">
            <v>A2</v>
          </cell>
          <cell r="F115" t="str">
            <v>A1</v>
          </cell>
        </row>
        <row r="116">
          <cell r="B116" t="str">
            <v>Phan Đức Long</v>
          </cell>
          <cell r="C116" t="str">
            <v>01009007</v>
          </cell>
          <cell r="D116" t="str">
            <v>A2</v>
          </cell>
          <cell r="E116" t="str">
            <v>A3</v>
          </cell>
          <cell r="F116" t="str">
            <v>A3</v>
          </cell>
        </row>
        <row r="117">
          <cell r="B117" t="str">
            <v>Giáp Văn Thịnh</v>
          </cell>
          <cell r="C117" t="str">
            <v>01008008</v>
          </cell>
          <cell r="D117" t="str">
            <v>A2</v>
          </cell>
          <cell r="E117" t="str">
            <v>A2</v>
          </cell>
          <cell r="F117" t="str">
            <v>A1</v>
          </cell>
        </row>
        <row r="118">
          <cell r="B118" t="str">
            <v>Vũ Ngọc Quang</v>
          </cell>
          <cell r="C118" t="str">
            <v>01008006</v>
          </cell>
          <cell r="D118" t="str">
            <v>A3</v>
          </cell>
          <cell r="E118" t="str">
            <v>A3</v>
          </cell>
          <cell r="F118" t="str">
            <v>A3</v>
          </cell>
        </row>
        <row r="119">
          <cell r="B119" t="str">
            <v>Ninh Đỗ Hiệp</v>
          </cell>
          <cell r="C119" t="str">
            <v>01017009</v>
          </cell>
          <cell r="D119" t="str">
            <v>A3</v>
          </cell>
          <cell r="E119" t="str">
            <v>A3</v>
          </cell>
          <cell r="F119" t="str">
            <v>A3</v>
          </cell>
        </row>
        <row r="120">
          <cell r="B120" t="str">
            <v>Lê Hồng Anh Tuấn</v>
          </cell>
          <cell r="C120" t="str">
            <v>01008005</v>
          </cell>
          <cell r="D120" t="str">
            <v>A3</v>
          </cell>
          <cell r="E120" t="str">
            <v>A3</v>
          </cell>
          <cell r="F120" t="str">
            <v>A2</v>
          </cell>
        </row>
        <row r="121">
          <cell r="B121" t="str">
            <v>Bùi Thị Dương</v>
          </cell>
          <cell r="C121" t="str">
            <v>01009014</v>
          </cell>
          <cell r="D121" t="str">
            <v>A4</v>
          </cell>
          <cell r="E121" t="str">
            <v>A4</v>
          </cell>
          <cell r="F121" t="str">
            <v>A4</v>
          </cell>
        </row>
        <row r="122">
          <cell r="B122" t="str">
            <v>Hợp đồng trường</v>
          </cell>
          <cell r="F122">
            <v>16</v>
          </cell>
        </row>
        <row r="123">
          <cell r="B123" t="str">
            <v>Trần Thị Thu</v>
          </cell>
          <cell r="C123" t="str">
            <v>01008021</v>
          </cell>
          <cell r="D123" t="str">
            <v>A2</v>
          </cell>
          <cell r="E123" t="str">
            <v>A3</v>
          </cell>
          <cell r="F123" t="str">
            <v>A3</v>
          </cell>
        </row>
        <row r="124">
          <cell r="B124" t="str">
            <v>Dương Thị Thủy</v>
          </cell>
          <cell r="C124" t="str">
            <v>01008009</v>
          </cell>
          <cell r="D124" t="str">
            <v>A2</v>
          </cell>
          <cell r="E124" t="str">
            <v>A2</v>
          </cell>
          <cell r="F124" t="str">
            <v>A1</v>
          </cell>
        </row>
        <row r="125">
          <cell r="B125" t="str">
            <v>Đỗ Thị Bích Thủy</v>
          </cell>
          <cell r="C125" t="str">
            <v>01008031</v>
          </cell>
          <cell r="D125" t="str">
            <v>A4</v>
          </cell>
          <cell r="E125" t="str">
            <v>A4</v>
          </cell>
          <cell r="F125" t="str">
            <v>A4</v>
          </cell>
        </row>
        <row r="126">
          <cell r="B126" t="str">
            <v>Trần Kim Tươi</v>
          </cell>
          <cell r="C126" t="str">
            <v>01008039</v>
          </cell>
          <cell r="D126" t="str">
            <v>A4</v>
          </cell>
          <cell r="E126" t="str">
            <v>A4</v>
          </cell>
          <cell r="F126" t="str">
            <v>A4</v>
          </cell>
        </row>
        <row r="127">
          <cell r="B127" t="str">
            <v>Trương Thị Bắc</v>
          </cell>
          <cell r="C127" t="str">
            <v>01008040</v>
          </cell>
          <cell r="D127" t="str">
            <v>A4</v>
          </cell>
          <cell r="E127" t="str">
            <v>A4</v>
          </cell>
          <cell r="F127" t="str">
            <v>A4</v>
          </cell>
        </row>
        <row r="128">
          <cell r="B128" t="str">
            <v>Trương Thị Định</v>
          </cell>
          <cell r="C128" t="str">
            <v>01008041</v>
          </cell>
          <cell r="D128" t="str">
            <v>A4</v>
          </cell>
          <cell r="E128" t="str">
            <v>A4</v>
          </cell>
          <cell r="F128" t="str">
            <v>A4</v>
          </cell>
        </row>
        <row r="129">
          <cell r="B129" t="str">
            <v>Giáp Đức Nhận</v>
          </cell>
          <cell r="C129" t="str">
            <v>01012027</v>
          </cell>
          <cell r="D129" t="str">
            <v>A3</v>
          </cell>
          <cell r="E129" t="str">
            <v>A3</v>
          </cell>
          <cell r="F129" t="str">
            <v>A3</v>
          </cell>
        </row>
        <row r="130">
          <cell r="B130" t="str">
            <v>Tạ Quốc Tấn</v>
          </cell>
          <cell r="C130" t="str">
            <v>01008012</v>
          </cell>
          <cell r="D130" t="str">
            <v>A3</v>
          </cell>
          <cell r="E130" t="str">
            <v>A3</v>
          </cell>
          <cell r="F130" t="str">
            <v>A3</v>
          </cell>
        </row>
        <row r="131">
          <cell r="B131" t="str">
            <v>Huỳnh Bá Triết</v>
          </cell>
          <cell r="C131" t="str">
            <v>01008033</v>
          </cell>
          <cell r="D131" t="str">
            <v>A4</v>
          </cell>
          <cell r="E131" t="str">
            <v>A4</v>
          </cell>
          <cell r="F131" t="str">
            <v>A3</v>
          </cell>
        </row>
        <row r="132">
          <cell r="B132" t="str">
            <v>Võ Thị Tuyết</v>
          </cell>
          <cell r="C132" t="str">
            <v>01013033</v>
          </cell>
          <cell r="D132" t="str">
            <v>A4</v>
          </cell>
          <cell r="E132" t="str">
            <v>A4</v>
          </cell>
          <cell r="F132" t="str">
            <v>A4</v>
          </cell>
        </row>
        <row r="133">
          <cell r="B133" t="str">
            <v>Trịnh Tuấn Vũ</v>
          </cell>
          <cell r="C133" t="str">
            <v>01009015</v>
          </cell>
          <cell r="D133" t="str">
            <v>A4</v>
          </cell>
          <cell r="E133" t="str">
            <v>A4</v>
          </cell>
          <cell r="F133" t="str">
            <v>A4</v>
          </cell>
        </row>
        <row r="134">
          <cell r="B134" t="str">
            <v>Võ Tấn Đức</v>
          </cell>
          <cell r="C134" t="str">
            <v>01008042</v>
          </cell>
          <cell r="D134" t="str">
            <v>A4</v>
          </cell>
          <cell r="E134" t="str">
            <v>A4</v>
          </cell>
          <cell r="F134" t="str">
            <v>A3</v>
          </cell>
        </row>
        <row r="135">
          <cell r="B135" t="str">
            <v>Ngô Ngọc Của</v>
          </cell>
          <cell r="C135" t="str">
            <v>01008044</v>
          </cell>
          <cell r="D135" t="str">
            <v>A4</v>
          </cell>
          <cell r="E135" t="str">
            <v>A4</v>
          </cell>
          <cell r="F135" t="str">
            <v>A4</v>
          </cell>
        </row>
        <row r="136">
          <cell r="B136" t="str">
            <v>Phạm Thị Hoàng Diễm</v>
          </cell>
          <cell r="C136" t="str">
            <v>01008045</v>
          </cell>
          <cell r="D136" t="str">
            <v>A4</v>
          </cell>
          <cell r="E136" t="str">
            <v>A4</v>
          </cell>
          <cell r="F136" t="str">
            <v>A4</v>
          </cell>
        </row>
        <row r="137">
          <cell r="B137" t="str">
            <v>Nguyễn Văn Hiển</v>
          </cell>
          <cell r="C137" t="str">
            <v>01008048</v>
          </cell>
          <cell r="D137" t="str">
            <v>A4</v>
          </cell>
          <cell r="E137" t="str">
            <v>A4</v>
          </cell>
          <cell r="F137" t="str">
            <v>A3</v>
          </cell>
        </row>
        <row r="138">
          <cell r="B138" t="str">
            <v>Trần Thanh Phương</v>
          </cell>
          <cell r="C138" t="str">
            <v>01002034</v>
          </cell>
          <cell r="D138" t="str">
            <v>A4</v>
          </cell>
          <cell r="E138" t="str">
            <v>A4</v>
          </cell>
          <cell r="F138" t="str">
            <v>A3</v>
          </cell>
        </row>
        <row r="139">
          <cell r="B139" t="str">
            <v>KHOA KHOA HỌC CƠ BẢN</v>
          </cell>
          <cell r="D139">
            <v>21</v>
          </cell>
          <cell r="F139">
            <v>21</v>
          </cell>
        </row>
        <row r="140">
          <cell r="B140" t="str">
            <v>Viên chức</v>
          </cell>
          <cell r="F140">
            <v>21</v>
          </cell>
        </row>
        <row r="141">
          <cell r="B141" t="str">
            <v>Nguyễn Thị Nhuận</v>
          </cell>
          <cell r="C141" t="str">
            <v>01022003</v>
          </cell>
          <cell r="D141" t="str">
            <v>A2</v>
          </cell>
          <cell r="E141" t="str">
            <v>A4</v>
          </cell>
          <cell r="F141" t="str">
            <v>A4</v>
          </cell>
        </row>
        <row r="142">
          <cell r="B142" t="str">
            <v>Phạm Thị Thu Nga</v>
          </cell>
          <cell r="C142" t="str">
            <v>01010007</v>
          </cell>
          <cell r="D142" t="str">
            <v>A2</v>
          </cell>
          <cell r="E142" t="str">
            <v>A4</v>
          </cell>
          <cell r="F142" t="str">
            <v>A4</v>
          </cell>
        </row>
        <row r="143">
          <cell r="B143" t="str">
            <v>Nguyễn Văn Hậu</v>
          </cell>
          <cell r="C143" t="str">
            <v>01010033</v>
          </cell>
          <cell r="D143" t="str">
            <v>A3</v>
          </cell>
          <cell r="E143" t="str">
            <v>A4</v>
          </cell>
          <cell r="F143" t="str">
            <v>A4</v>
          </cell>
        </row>
        <row r="144">
          <cell r="B144" t="str">
            <v>Dương Đức Kiên</v>
          </cell>
          <cell r="C144" t="str">
            <v>01010037</v>
          </cell>
          <cell r="D144" t="str">
            <v>A3</v>
          </cell>
          <cell r="E144" t="str">
            <v>A4</v>
          </cell>
          <cell r="F144" t="str">
            <v>A4</v>
          </cell>
        </row>
        <row r="145">
          <cell r="B145" t="str">
            <v>Hà Như Mai</v>
          </cell>
          <cell r="C145" t="str">
            <v>01010031</v>
          </cell>
          <cell r="D145" t="str">
            <v>A2</v>
          </cell>
          <cell r="E145" t="str">
            <v>A4</v>
          </cell>
          <cell r="F145" t="str">
            <v>A4</v>
          </cell>
        </row>
        <row r="146">
          <cell r="B146" t="str">
            <v>Nguyễn Thị Cẩm Thạch</v>
          </cell>
          <cell r="C146" t="str">
            <v>01010016</v>
          </cell>
          <cell r="D146" t="str">
            <v>A4</v>
          </cell>
          <cell r="E146" t="str">
            <v>A4</v>
          </cell>
          <cell r="F146" t="str">
            <v>A4</v>
          </cell>
        </row>
        <row r="147">
          <cell r="B147" t="str">
            <v>Nguyễn Thị Thủy</v>
          </cell>
          <cell r="C147" t="str">
            <v>01010028</v>
          </cell>
          <cell r="D147" t="str">
            <v>A2</v>
          </cell>
          <cell r="E147" t="str">
            <v>A4</v>
          </cell>
          <cell r="F147" t="str">
            <v>A4</v>
          </cell>
        </row>
        <row r="148">
          <cell r="B148" t="str">
            <v>Nguyễn Văn Đông</v>
          </cell>
          <cell r="C148" t="str">
            <v>01010017</v>
          </cell>
          <cell r="D148" t="str">
            <v>A3</v>
          </cell>
          <cell r="E148" t="str">
            <v>A4</v>
          </cell>
          <cell r="F148" t="str">
            <v>A4</v>
          </cell>
        </row>
        <row r="149">
          <cell r="B149" t="str">
            <v>Nguyễn Thanh Tú</v>
          </cell>
          <cell r="C149" t="str">
            <v>01010012</v>
          </cell>
          <cell r="D149" t="str">
            <v>A2</v>
          </cell>
          <cell r="E149" t="str">
            <v>A3</v>
          </cell>
          <cell r="F149" t="str">
            <v>A3</v>
          </cell>
        </row>
        <row r="150">
          <cell r="B150" t="str">
            <v>Trần Thị Ánh Tuyết</v>
          </cell>
          <cell r="C150" t="str">
            <v>01010029</v>
          </cell>
          <cell r="D150" t="str">
            <v>A3</v>
          </cell>
          <cell r="E150" t="str">
            <v>A4</v>
          </cell>
          <cell r="F150" t="str">
            <v>B2</v>
          </cell>
        </row>
        <row r="151">
          <cell r="B151" t="str">
            <v>Đặng Thị Kiến Trúc</v>
          </cell>
          <cell r="C151" t="str">
            <v>01010024</v>
          </cell>
          <cell r="D151" t="str">
            <v>A2</v>
          </cell>
          <cell r="E151" t="str">
            <v>A4</v>
          </cell>
          <cell r="F151" t="str">
            <v>A4</v>
          </cell>
        </row>
        <row r="152">
          <cell r="B152" t="str">
            <v>Lê Văn Bình</v>
          </cell>
          <cell r="C152" t="str">
            <v>01004012</v>
          </cell>
          <cell r="D152" t="str">
            <v>A3</v>
          </cell>
          <cell r="E152" t="str">
            <v>A4</v>
          </cell>
          <cell r="F152" t="str">
            <v>A4</v>
          </cell>
        </row>
        <row r="153">
          <cell r="B153" t="str">
            <v>Nguyễn Phương Hà</v>
          </cell>
          <cell r="C153" t="str">
            <v>01010023</v>
          </cell>
          <cell r="D153" t="str">
            <v>A3</v>
          </cell>
          <cell r="E153" t="str">
            <v>A4</v>
          </cell>
          <cell r="F153" t="str">
            <v>A4</v>
          </cell>
        </row>
        <row r="154">
          <cell r="B154" t="str">
            <v>Lê Minh Phong</v>
          </cell>
          <cell r="C154" t="str">
            <v>01022048</v>
          </cell>
          <cell r="D154" t="str">
            <v>A4</v>
          </cell>
          <cell r="E154" t="str">
            <v>A4</v>
          </cell>
          <cell r="F154" t="str">
            <v>A4</v>
          </cell>
        </row>
        <row r="155">
          <cell r="B155" t="str">
            <v>Nguyễn Thị Huyền Nga</v>
          </cell>
          <cell r="C155" t="str">
            <v>01010006</v>
          </cell>
          <cell r="D155" t="str">
            <v>A3</v>
          </cell>
          <cell r="E155" t="str">
            <v>A4</v>
          </cell>
          <cell r="F155" t="str">
            <v>A4</v>
          </cell>
        </row>
        <row r="156">
          <cell r="B156" t="str">
            <v>Trịnh Khắc Vũ</v>
          </cell>
          <cell r="C156" t="str">
            <v>01010026</v>
          </cell>
          <cell r="D156" t="str">
            <v>A3</v>
          </cell>
          <cell r="E156" t="str">
            <v>A4</v>
          </cell>
          <cell r="F156" t="str">
            <v>A4</v>
          </cell>
        </row>
        <row r="157">
          <cell r="B157" t="str">
            <v>Lê Thái Hùng</v>
          </cell>
          <cell r="C157" t="str">
            <v>01010021</v>
          </cell>
          <cell r="D157" t="str">
            <v>A2</v>
          </cell>
          <cell r="E157" t="str">
            <v>A4</v>
          </cell>
          <cell r="F157" t="str">
            <v>A4</v>
          </cell>
        </row>
        <row r="158">
          <cell r="B158" t="str">
            <v>Giang Phi Hùng</v>
          </cell>
          <cell r="C158" t="str">
            <v>01010030</v>
          </cell>
          <cell r="D158" t="str">
            <v>A2</v>
          </cell>
          <cell r="E158" t="str">
            <v>A3</v>
          </cell>
          <cell r="F158" t="str">
            <v>A3</v>
          </cell>
        </row>
        <row r="159">
          <cell r="B159" t="str">
            <v>Ngô Thanh Điền</v>
          </cell>
          <cell r="C159" t="str">
            <v>01022005</v>
          </cell>
          <cell r="D159" t="str">
            <v>A2</v>
          </cell>
          <cell r="E159" t="str">
            <v>A3</v>
          </cell>
          <cell r="F159" t="str">
            <v>A3</v>
          </cell>
        </row>
        <row r="160">
          <cell r="B160" t="str">
            <v>Nguyễn Phú Tân</v>
          </cell>
          <cell r="C160" t="str">
            <v>01010022</v>
          </cell>
          <cell r="D160" t="str">
            <v>A2</v>
          </cell>
          <cell r="E160" t="str">
            <v>A3</v>
          </cell>
          <cell r="F160" t="str">
            <v>A3</v>
          </cell>
        </row>
        <row r="161">
          <cell r="B161" t="str">
            <v>Nguyễn Mạnh Phương</v>
          </cell>
          <cell r="C161" t="str">
            <v>01010032</v>
          </cell>
          <cell r="D161" t="str">
            <v>A1</v>
          </cell>
          <cell r="E161" t="str">
            <v>A1</v>
          </cell>
          <cell r="F161" t="str">
            <v>A1</v>
          </cell>
        </row>
        <row r="162">
          <cell r="B162" t="str">
            <v>KHOA NGOẠI NGỮ</v>
          </cell>
          <cell r="D162">
            <v>13</v>
          </cell>
          <cell r="F162">
            <v>13</v>
          </cell>
        </row>
        <row r="163">
          <cell r="B163" t="str">
            <v>Viên chức</v>
          </cell>
          <cell r="F163">
            <v>13</v>
          </cell>
        </row>
        <row r="164">
          <cell r="B164" t="str">
            <v>Nguyễn Thị Thu Hà</v>
          </cell>
          <cell r="C164" t="str">
            <v>01010039</v>
          </cell>
          <cell r="D164" t="str">
            <v>A2</v>
          </cell>
          <cell r="E164" t="str">
            <v>A4</v>
          </cell>
          <cell r="F164" t="str">
            <v>A4</v>
          </cell>
        </row>
        <row r="165">
          <cell r="B165" t="str">
            <v>Phạm Thị Thu Hiền</v>
          </cell>
          <cell r="C165" t="str">
            <v>01010040</v>
          </cell>
          <cell r="D165" t="str">
            <v>A2</v>
          </cell>
          <cell r="E165" t="str">
            <v>A3</v>
          </cell>
          <cell r="F165" t="str">
            <v>A3</v>
          </cell>
        </row>
        <row r="166">
          <cell r="B166" t="str">
            <v>Lê Nguyễn Mỹ Trâm</v>
          </cell>
          <cell r="C166" t="str">
            <v>01010009</v>
          </cell>
          <cell r="D166" t="str">
            <v>A2</v>
          </cell>
          <cell r="E166" t="str">
            <v>A3</v>
          </cell>
          <cell r="F166" t="str">
            <v>A3</v>
          </cell>
        </row>
        <row r="167">
          <cell r="B167" t="str">
            <v>Nguyễn Thị Bảo Trân</v>
          </cell>
          <cell r="C167" t="str">
            <v>01010020</v>
          </cell>
          <cell r="D167" t="str">
            <v>A4</v>
          </cell>
          <cell r="E167" t="str">
            <v>A4</v>
          </cell>
          <cell r="F167" t="str">
            <v>A4</v>
          </cell>
        </row>
        <row r="168">
          <cell r="B168" t="str">
            <v>Vương Thanh Thủy</v>
          </cell>
          <cell r="C168" t="str">
            <v>01010018</v>
          </cell>
          <cell r="D168" t="str">
            <v>A2</v>
          </cell>
          <cell r="E168" t="str">
            <v>A3</v>
          </cell>
          <cell r="F168" t="str">
            <v>A4</v>
          </cell>
        </row>
        <row r="169">
          <cell r="B169" t="str">
            <v>Nguyễn Thị Thu Tâm</v>
          </cell>
          <cell r="C169" t="str">
            <v>01010019</v>
          </cell>
          <cell r="D169" t="str">
            <v>A4</v>
          </cell>
          <cell r="E169" t="str">
            <v>A4</v>
          </cell>
          <cell r="F169" t="str">
            <v>A4</v>
          </cell>
        </row>
        <row r="170">
          <cell r="B170" t="str">
            <v>Võ Thị Hồng Lan</v>
          </cell>
          <cell r="C170" t="str">
            <v>01010015</v>
          </cell>
          <cell r="D170" t="str">
            <v>A2</v>
          </cell>
          <cell r="E170" t="str">
            <v>A3</v>
          </cell>
          <cell r="F170" t="str">
            <v>A4</v>
          </cell>
        </row>
        <row r="171">
          <cell r="B171" t="str">
            <v>Nguyễn Thị Thanh Tú</v>
          </cell>
          <cell r="C171" t="str">
            <v>01010027</v>
          </cell>
          <cell r="D171" t="str">
            <v>A4</v>
          </cell>
          <cell r="E171" t="str">
            <v>A4</v>
          </cell>
          <cell r="F171" t="str">
            <v>A4</v>
          </cell>
        </row>
        <row r="172">
          <cell r="B172" t="str">
            <v>Trần Thanh Trúc</v>
          </cell>
          <cell r="C172" t="str">
            <v>01002025</v>
          </cell>
          <cell r="D172" t="str">
            <v>A2</v>
          </cell>
          <cell r="E172" t="str">
            <v>A3</v>
          </cell>
          <cell r="F172" t="str">
            <v>A4</v>
          </cell>
        </row>
        <row r="173">
          <cell r="B173" t="str">
            <v>Nguyễn Thiện Bình</v>
          </cell>
          <cell r="C173" t="str">
            <v>01010162</v>
          </cell>
          <cell r="D173" t="str">
            <v>A4</v>
          </cell>
          <cell r="E173" t="str">
            <v>A4</v>
          </cell>
          <cell r="F173" t="str">
            <v>A4</v>
          </cell>
        </row>
        <row r="174">
          <cell r="B174" t="str">
            <v>Lâm Thị Phương Thảo</v>
          </cell>
          <cell r="C174" t="str">
            <v>01010141</v>
          </cell>
          <cell r="D174" t="str">
            <v>A2</v>
          </cell>
          <cell r="E174" t="str">
            <v>A3</v>
          </cell>
          <cell r="F174" t="str">
            <v>A4</v>
          </cell>
        </row>
        <row r="175">
          <cell r="B175" t="str">
            <v>Trần Hà Trang</v>
          </cell>
          <cell r="C175" t="str">
            <v>01010254</v>
          </cell>
          <cell r="D175" t="str">
            <v>A4</v>
          </cell>
          <cell r="E175" t="str">
            <v>KXL</v>
          </cell>
          <cell r="F175" t="str">
            <v>KXL</v>
          </cell>
        </row>
        <row r="176">
          <cell r="B176" t="str">
            <v>Lê Thu Hà</v>
          </cell>
          <cell r="C176" t="str">
            <v>01010260</v>
          </cell>
          <cell r="D176" t="str">
            <v>A4</v>
          </cell>
          <cell r="E176" t="str">
            <v>A4</v>
          </cell>
          <cell r="F176" t="str">
            <v>A4</v>
          </cell>
        </row>
        <row r="177">
          <cell r="B177" t="str">
            <v>KHOA LÝ LUẬN CHÍNH TRỊ</v>
          </cell>
          <cell r="D177">
            <v>15</v>
          </cell>
          <cell r="F177">
            <v>15</v>
          </cell>
        </row>
        <row r="178">
          <cell r="B178" t="str">
            <v>Viên chức</v>
          </cell>
          <cell r="F178">
            <v>15</v>
          </cell>
        </row>
        <row r="179">
          <cell r="B179" t="str">
            <v>Lê Thị Hồng Vân</v>
          </cell>
          <cell r="C179" t="str">
            <v>01011002</v>
          </cell>
          <cell r="D179" t="str">
            <v>A1</v>
          </cell>
          <cell r="E179" t="str">
            <v>A1</v>
          </cell>
          <cell r="F179" t="str">
            <v>A1</v>
          </cell>
        </row>
        <row r="180">
          <cell r="B180" t="str">
            <v>Nguyễn Ngọc Quỳnh</v>
          </cell>
          <cell r="C180" t="str">
            <v>01011012</v>
          </cell>
          <cell r="D180" t="str">
            <v>A2</v>
          </cell>
          <cell r="E180" t="str">
            <v>A4</v>
          </cell>
          <cell r="F180" t="str">
            <v>A4</v>
          </cell>
        </row>
        <row r="181">
          <cell r="B181" t="str">
            <v>Nguyễn Thị Dinh</v>
          </cell>
          <cell r="C181" t="str">
            <v>01011005</v>
          </cell>
          <cell r="D181" t="str">
            <v>A1</v>
          </cell>
          <cell r="E181" t="str">
            <v>A3</v>
          </cell>
          <cell r="F181" t="str">
            <v>A3</v>
          </cell>
        </row>
        <row r="182">
          <cell r="B182" t="str">
            <v>Bùi Thành Dũng</v>
          </cell>
          <cell r="C182" t="str">
            <v>01011011</v>
          </cell>
          <cell r="D182" t="str">
            <v>A3</v>
          </cell>
          <cell r="E182" t="str">
            <v>A4</v>
          </cell>
          <cell r="F182" t="str">
            <v>A4</v>
          </cell>
        </row>
        <row r="183">
          <cell r="B183" t="str">
            <v>Lê Thị Mai Hường</v>
          </cell>
          <cell r="C183" t="str">
            <v>01011013</v>
          </cell>
          <cell r="D183" t="str">
            <v>A2</v>
          </cell>
          <cell r="E183" t="str">
            <v>A3</v>
          </cell>
          <cell r="F183" t="str">
            <v>A3</v>
          </cell>
        </row>
        <row r="184">
          <cell r="B184" t="str">
            <v>Đinh Thị Huyên</v>
          </cell>
          <cell r="C184" t="str">
            <v>01011009</v>
          </cell>
          <cell r="D184" t="str">
            <v>A1</v>
          </cell>
          <cell r="E184" t="str">
            <v>A3</v>
          </cell>
          <cell r="F184" t="str">
            <v>A3</v>
          </cell>
        </row>
        <row r="185">
          <cell r="B185" t="str">
            <v>Nguyễn Anh Kiệt</v>
          </cell>
          <cell r="C185" t="str">
            <v>01011001</v>
          </cell>
          <cell r="D185" t="str">
            <v>A1</v>
          </cell>
          <cell r="E185" t="str">
            <v>A4</v>
          </cell>
          <cell r="F185" t="str">
            <v>A4</v>
          </cell>
        </row>
        <row r="186">
          <cell r="B186" t="str">
            <v>Trần Văn Lượng</v>
          </cell>
          <cell r="C186" t="str">
            <v>01011014</v>
          </cell>
          <cell r="D186" t="str">
            <v>A3</v>
          </cell>
          <cell r="E186" t="str">
            <v>A4</v>
          </cell>
          <cell r="F186" t="str">
            <v>A4</v>
          </cell>
        </row>
        <row r="187">
          <cell r="B187" t="str">
            <v>Đỗ Thị Ngát</v>
          </cell>
          <cell r="C187" t="str">
            <v>01011016</v>
          </cell>
          <cell r="D187" t="str">
            <v>A2</v>
          </cell>
          <cell r="E187" t="str">
            <v>A4</v>
          </cell>
          <cell r="F187" t="str">
            <v>A4</v>
          </cell>
        </row>
        <row r="188">
          <cell r="B188" t="str">
            <v>Cao Thị Hồng Thắm</v>
          </cell>
          <cell r="C188" t="str">
            <v>01011007</v>
          </cell>
          <cell r="D188" t="str">
            <v>A1</v>
          </cell>
          <cell r="E188" t="str">
            <v>A4</v>
          </cell>
          <cell r="F188" t="str">
            <v>A4</v>
          </cell>
        </row>
        <row r="189">
          <cell r="B189" t="str">
            <v>Đỗ Thị Thơm</v>
          </cell>
          <cell r="C189" t="str">
            <v>01011008</v>
          </cell>
          <cell r="D189" t="str">
            <v>A2</v>
          </cell>
          <cell r="E189" t="str">
            <v>A3</v>
          </cell>
          <cell r="F189" t="str">
            <v>A2</v>
          </cell>
        </row>
        <row r="190">
          <cell r="B190" t="str">
            <v>Trần Thị Hồng Thu</v>
          </cell>
          <cell r="C190" t="str">
            <v>01011015</v>
          </cell>
          <cell r="D190" t="str">
            <v>A2</v>
          </cell>
          <cell r="E190" t="str">
            <v>A3</v>
          </cell>
          <cell r="F190" t="str">
            <v>A3</v>
          </cell>
        </row>
        <row r="191">
          <cell r="B191" t="str">
            <v>Phan Thị Thùy Trang</v>
          </cell>
          <cell r="C191" t="str">
            <v>01011010</v>
          </cell>
          <cell r="D191" t="str">
            <v>A1</v>
          </cell>
          <cell r="E191" t="str">
            <v>A3</v>
          </cell>
          <cell r="F191" t="str">
            <v>A3</v>
          </cell>
        </row>
        <row r="192">
          <cell r="B192" t="str">
            <v>Hoàng Thị Trang</v>
          </cell>
          <cell r="C192" t="str">
            <v>01011018</v>
          </cell>
          <cell r="D192" t="str">
            <v>A1</v>
          </cell>
          <cell r="E192" t="str">
            <v>A3</v>
          </cell>
          <cell r="F192" t="str">
            <v>A3</v>
          </cell>
        </row>
        <row r="193">
          <cell r="B193" t="str">
            <v>Phạm Thị Vinh</v>
          </cell>
          <cell r="C193" t="str">
            <v>01011006</v>
          </cell>
          <cell r="D193" t="str">
            <v>A1</v>
          </cell>
          <cell r="E193" t="str">
            <v>A3</v>
          </cell>
          <cell r="F193" t="str">
            <v>A3</v>
          </cell>
        </row>
        <row r="194">
          <cell r="B194" t="str">
            <v>KHOA CƠ KHÍ</v>
          </cell>
          <cell r="D194">
            <v>28</v>
          </cell>
          <cell r="F194">
            <v>28</v>
          </cell>
        </row>
        <row r="195">
          <cell r="B195" t="str">
            <v>Viên chức</v>
          </cell>
          <cell r="F195">
            <v>28</v>
          </cell>
        </row>
        <row r="196">
          <cell r="B196" t="str">
            <v>Chung Trần Thế Vinh</v>
          </cell>
          <cell r="C196" t="str">
            <v>01012003</v>
          </cell>
          <cell r="D196" t="str">
            <v>A2</v>
          </cell>
          <cell r="E196" t="str">
            <v>A1</v>
          </cell>
          <cell r="F196" t="str">
            <v>A1</v>
          </cell>
        </row>
        <row r="197">
          <cell r="B197" t="str">
            <v>Trần Đình Khải</v>
          </cell>
          <cell r="C197" t="str">
            <v>01012008</v>
          </cell>
          <cell r="D197" t="str">
            <v>A2</v>
          </cell>
          <cell r="E197" t="str">
            <v>A4</v>
          </cell>
          <cell r="F197" t="str">
            <v>A4</v>
          </cell>
        </row>
        <row r="198">
          <cell r="B198" t="str">
            <v>Vũ Quang Khải</v>
          </cell>
          <cell r="C198" t="str">
            <v>01012007</v>
          </cell>
          <cell r="D198" t="str">
            <v>A2</v>
          </cell>
          <cell r="E198" t="str">
            <v>A3</v>
          </cell>
          <cell r="F198" t="str">
            <v>A3</v>
          </cell>
        </row>
        <row r="199">
          <cell r="B199" t="str">
            <v>Vũ Đức Pháp</v>
          </cell>
          <cell r="C199" t="str">
            <v>01012013</v>
          </cell>
          <cell r="D199" t="str">
            <v>A2</v>
          </cell>
          <cell r="E199" t="str">
            <v>A3</v>
          </cell>
          <cell r="F199" t="str">
            <v>A3</v>
          </cell>
        </row>
        <row r="200">
          <cell r="B200" t="str">
            <v>Bùi Anh Tuấn</v>
          </cell>
          <cell r="C200" t="str">
            <v>01012023</v>
          </cell>
          <cell r="D200" t="str">
            <v>A2</v>
          </cell>
          <cell r="E200" t="str">
            <v>A2</v>
          </cell>
          <cell r="F200" t="str">
            <v>A2</v>
          </cell>
        </row>
        <row r="201">
          <cell r="B201" t="str">
            <v>Dương Minh Chung</v>
          </cell>
          <cell r="C201" t="str">
            <v>01012014</v>
          </cell>
          <cell r="D201" t="str">
            <v>A2</v>
          </cell>
          <cell r="E201" t="str">
            <v>A4</v>
          </cell>
          <cell r="F201" t="str">
            <v>A4</v>
          </cell>
        </row>
        <row r="202">
          <cell r="B202" t="str">
            <v>Đỗ Thị Phương Khanh</v>
          </cell>
          <cell r="C202" t="str">
            <v>01012005</v>
          </cell>
          <cell r="D202" t="str">
            <v>A2</v>
          </cell>
          <cell r="E202" t="str">
            <v>A4</v>
          </cell>
          <cell r="F202" t="str">
            <v>A4</v>
          </cell>
        </row>
        <row r="203">
          <cell r="B203" t="str">
            <v>Trương Thị Phương Hồng</v>
          </cell>
          <cell r="C203" t="str">
            <v>01012006</v>
          </cell>
          <cell r="D203" t="str">
            <v>A2</v>
          </cell>
          <cell r="E203" t="str">
            <v>A3</v>
          </cell>
          <cell r="F203" t="str">
            <v>A3</v>
          </cell>
        </row>
        <row r="204">
          <cell r="B204" t="str">
            <v>Phan Văn Thành</v>
          </cell>
          <cell r="C204" t="str">
            <v>01012004</v>
          </cell>
          <cell r="D204" t="str">
            <v>A4</v>
          </cell>
          <cell r="E204" t="str">
            <v>A4</v>
          </cell>
          <cell r="F204" t="str">
            <v>A4</v>
          </cell>
        </row>
        <row r="205">
          <cell r="B205" t="str">
            <v>Phan Thị Xuân Trang</v>
          </cell>
          <cell r="C205" t="str">
            <v>01012012</v>
          </cell>
          <cell r="D205" t="str">
            <v>A3</v>
          </cell>
          <cell r="E205" t="str">
            <v>A4</v>
          </cell>
          <cell r="F205" t="str">
            <v>A4</v>
          </cell>
        </row>
        <row r="206">
          <cell r="B206" t="str">
            <v>Lư Thị Yến Vũ</v>
          </cell>
          <cell r="C206" t="str">
            <v>01012016</v>
          </cell>
          <cell r="D206" t="str">
            <v>A4</v>
          </cell>
          <cell r="E206" t="str">
            <v>A4</v>
          </cell>
          <cell r="F206" t="str">
            <v>A4</v>
          </cell>
        </row>
        <row r="207">
          <cell r="B207" t="str">
            <v>Nguyễn Thanh Vũ</v>
          </cell>
          <cell r="C207" t="str">
            <v>01012015</v>
          </cell>
          <cell r="D207" t="str">
            <v>A4</v>
          </cell>
          <cell r="E207" t="str">
            <v>A4</v>
          </cell>
          <cell r="F207" t="str">
            <v>A4</v>
          </cell>
        </row>
        <row r="208">
          <cell r="B208" t="str">
            <v>Nguyễn Tiến Dũng</v>
          </cell>
          <cell r="C208" t="str">
            <v>01012019</v>
          </cell>
          <cell r="D208" t="str">
            <v>A4</v>
          </cell>
          <cell r="E208" t="str">
            <v>A4</v>
          </cell>
          <cell r="F208" t="str">
            <v>A4</v>
          </cell>
        </row>
        <row r="209">
          <cell r="B209" t="str">
            <v>Nguyễn Thành Long</v>
          </cell>
          <cell r="C209" t="str">
            <v>01012018</v>
          </cell>
          <cell r="D209" t="str">
            <v>A3</v>
          </cell>
          <cell r="E209" t="str">
            <v>A4</v>
          </cell>
          <cell r="F209" t="str">
            <v>A4</v>
          </cell>
        </row>
        <row r="210">
          <cell r="B210" t="str">
            <v>Nguyễn Ngọc Quỳnh</v>
          </cell>
          <cell r="C210" t="str">
            <v>01012017</v>
          </cell>
          <cell r="D210" t="str">
            <v>A2</v>
          </cell>
          <cell r="E210" t="str">
            <v>B2</v>
          </cell>
          <cell r="F210" t="str">
            <v>B2</v>
          </cell>
        </row>
        <row r="211">
          <cell r="B211" t="str">
            <v>Nguyễn Duy Hải</v>
          </cell>
          <cell r="C211" t="str">
            <v>01012022</v>
          </cell>
          <cell r="D211" t="str">
            <v>A4</v>
          </cell>
          <cell r="E211" t="str">
            <v>A4</v>
          </cell>
          <cell r="F211" t="str">
            <v>A4</v>
          </cell>
        </row>
        <row r="212">
          <cell r="B212" t="str">
            <v>Trần Minh Thông</v>
          </cell>
          <cell r="C212" t="str">
            <v>01012020</v>
          </cell>
          <cell r="D212" t="str">
            <v>A2</v>
          </cell>
          <cell r="E212" t="str">
            <v>A3</v>
          </cell>
          <cell r="F212" t="str">
            <v>A3</v>
          </cell>
        </row>
        <row r="213">
          <cell r="B213" t="str">
            <v>Trần Thị Hương</v>
          </cell>
          <cell r="C213" t="str">
            <v>01012021</v>
          </cell>
          <cell r="D213" t="str">
            <v>A4</v>
          </cell>
          <cell r="E213" t="str">
            <v>A4</v>
          </cell>
          <cell r="F213" t="str">
            <v>A4</v>
          </cell>
        </row>
        <row r="214">
          <cell r="B214" t="str">
            <v>Nguyễn Thanh Vĩnh Phúc</v>
          </cell>
          <cell r="C214" t="str">
            <v>01012011</v>
          </cell>
          <cell r="D214" t="str">
            <v>A3</v>
          </cell>
          <cell r="E214" t="str">
            <v>A3</v>
          </cell>
          <cell r="F214" t="str">
            <v>A3</v>
          </cell>
        </row>
        <row r="215">
          <cell r="B215" t="str">
            <v>Võ Minh Quang</v>
          </cell>
          <cell r="C215" t="str">
            <v>01017002</v>
          </cell>
          <cell r="D215" t="str">
            <v>A4</v>
          </cell>
          <cell r="E215" t="str">
            <v>A4</v>
          </cell>
          <cell r="F215" t="str">
            <v>A4</v>
          </cell>
        </row>
        <row r="216">
          <cell r="B216" t="str">
            <v>Dương Thị Hồng</v>
          </cell>
          <cell r="C216" t="str">
            <v>01012028</v>
          </cell>
          <cell r="D216" t="str">
            <v>A4</v>
          </cell>
          <cell r="E216" t="str">
            <v>A4</v>
          </cell>
          <cell r="F216" t="str">
            <v>A4</v>
          </cell>
        </row>
        <row r="217">
          <cell r="B217" t="str">
            <v>Nguyễn Thanh Giang</v>
          </cell>
          <cell r="C217" t="str">
            <v>01012032</v>
          </cell>
          <cell r="D217" t="str">
            <v>A3</v>
          </cell>
          <cell r="E217" t="str">
            <v>A3</v>
          </cell>
          <cell r="F217" t="str">
            <v>A3</v>
          </cell>
        </row>
        <row r="218">
          <cell r="B218" t="str">
            <v>Nguyễn Hồng Phúc</v>
          </cell>
          <cell r="C218" t="str">
            <v>01025017</v>
          </cell>
          <cell r="D218" t="str">
            <v>A2</v>
          </cell>
          <cell r="E218" t="str">
            <v>A2</v>
          </cell>
          <cell r="F218" t="str">
            <v>A2</v>
          </cell>
        </row>
        <row r="219">
          <cell r="B219" t="str">
            <v>Nguyễn Văn Sơn</v>
          </cell>
          <cell r="C219" t="str">
            <v>01006004</v>
          </cell>
          <cell r="D219" t="str">
            <v>A4</v>
          </cell>
          <cell r="E219" t="str">
            <v>A4</v>
          </cell>
          <cell r="F219" t="str">
            <v>A4</v>
          </cell>
        </row>
        <row r="220">
          <cell r="B220" t="str">
            <v>Nguyễn Khắc Huy</v>
          </cell>
          <cell r="C220" t="str">
            <v>01013068</v>
          </cell>
          <cell r="D220" t="str">
            <v>A2</v>
          </cell>
          <cell r="E220" t="str">
            <v>A2</v>
          </cell>
          <cell r="F220" t="str">
            <v>A2</v>
          </cell>
        </row>
        <row r="221">
          <cell r="B221" t="str">
            <v>Võ Hoài Sơn</v>
          </cell>
          <cell r="C221" t="str">
            <v>01012048</v>
          </cell>
          <cell r="D221" t="str">
            <v>A4</v>
          </cell>
          <cell r="E221" t="str">
            <v>A4</v>
          </cell>
          <cell r="F221" t="str">
            <v>A4</v>
          </cell>
        </row>
        <row r="222">
          <cell r="B222" t="str">
            <v>Nguyễn Thị Xuân Chinh</v>
          </cell>
          <cell r="C222" t="str">
            <v>01012049</v>
          </cell>
          <cell r="D222" t="str">
            <v>A3</v>
          </cell>
          <cell r="E222" t="str">
            <v>A3</v>
          </cell>
          <cell r="F222" t="str">
            <v>A3</v>
          </cell>
        </row>
        <row r="223">
          <cell r="B223" t="str">
            <v>Nguyễn Duy Tân</v>
          </cell>
          <cell r="C223" t="str">
            <v>01012050</v>
          </cell>
          <cell r="D223" t="str">
            <v>A4</v>
          </cell>
          <cell r="E223" t="str">
            <v>A4</v>
          </cell>
          <cell r="F223" t="str">
            <v>A4</v>
          </cell>
        </row>
        <row r="224">
          <cell r="B224" t="str">
            <v>KHOA CÔNG NGHỆ THÔNG TIN</v>
          </cell>
          <cell r="D224">
            <v>21</v>
          </cell>
          <cell r="F224">
            <v>21</v>
          </cell>
        </row>
        <row r="225">
          <cell r="B225" t="str">
            <v>Viên chức</v>
          </cell>
          <cell r="F225">
            <v>21</v>
          </cell>
        </row>
        <row r="226">
          <cell r="B226" t="str">
            <v>Trần Việt Khánh</v>
          </cell>
          <cell r="C226" t="str">
            <v>01015019</v>
          </cell>
          <cell r="D226" t="str">
            <v>A2</v>
          </cell>
          <cell r="E226" t="str">
            <v>A4</v>
          </cell>
          <cell r="F226" t="str">
            <v>A4</v>
          </cell>
        </row>
        <row r="227">
          <cell r="B227" t="str">
            <v>Nguyễn Văn Đôn</v>
          </cell>
          <cell r="C227" t="str">
            <v>01015023</v>
          </cell>
          <cell r="D227" t="str">
            <v>A3</v>
          </cell>
          <cell r="E227" t="str">
            <v>A4</v>
          </cell>
          <cell r="F227" t="str">
            <v>A4</v>
          </cell>
        </row>
        <row r="228">
          <cell r="B228" t="str">
            <v>Nguyễn Sanh Cường</v>
          </cell>
          <cell r="C228" t="str">
            <v>01015005</v>
          </cell>
          <cell r="D228" t="str">
            <v>A3</v>
          </cell>
          <cell r="E228" t="str">
            <v>A3</v>
          </cell>
          <cell r="F228" t="str">
            <v>A3</v>
          </cell>
        </row>
        <row r="229">
          <cell r="B229" t="str">
            <v>Đặng Ngọc Đoàn</v>
          </cell>
          <cell r="C229" t="str">
            <v>01015018</v>
          </cell>
          <cell r="D229" t="str">
            <v>A3</v>
          </cell>
          <cell r="E229" t="str">
            <v>A3</v>
          </cell>
          <cell r="F229" t="str">
            <v>A3</v>
          </cell>
        </row>
        <row r="230">
          <cell r="B230" t="str">
            <v>Bùi Văn Dũng</v>
          </cell>
          <cell r="C230" t="str">
            <v>01015020</v>
          </cell>
          <cell r="D230" t="str">
            <v>A3</v>
          </cell>
          <cell r="E230" t="str">
            <v>A4</v>
          </cell>
          <cell r="F230" t="str">
            <v>A4</v>
          </cell>
        </row>
        <row r="231">
          <cell r="B231" t="str">
            <v>Huỳnh Quốc Dũng</v>
          </cell>
          <cell r="C231" t="str">
            <v>01015041</v>
          </cell>
          <cell r="D231" t="str">
            <v>A3</v>
          </cell>
          <cell r="E231" t="str">
            <v>A3</v>
          </cell>
          <cell r="F231" t="str">
            <v>A3</v>
          </cell>
        </row>
        <row r="232">
          <cell r="B232" t="str">
            <v>Vũ Thị Thái Linh</v>
          </cell>
          <cell r="C232" t="str">
            <v>01015013</v>
          </cell>
          <cell r="D232" t="str">
            <v>A3</v>
          </cell>
          <cell r="E232" t="str">
            <v>A3</v>
          </cell>
          <cell r="F232" t="str">
            <v>A3</v>
          </cell>
        </row>
        <row r="233">
          <cell r="B233" t="str">
            <v>Nguyễn Văn Minh</v>
          </cell>
          <cell r="C233" t="str">
            <v>01015006</v>
          </cell>
          <cell r="D233" t="str">
            <v>A3</v>
          </cell>
          <cell r="E233" t="str">
            <v>A3</v>
          </cell>
          <cell r="F233" t="str">
            <v>A3</v>
          </cell>
        </row>
        <row r="234">
          <cell r="B234" t="str">
            <v>Nguyễn Cao Phong</v>
          </cell>
          <cell r="C234" t="str">
            <v>01018001</v>
          </cell>
          <cell r="D234" t="str">
            <v>A3</v>
          </cell>
          <cell r="E234" t="str">
            <v>A3</v>
          </cell>
          <cell r="F234" t="str">
            <v>A3</v>
          </cell>
        </row>
        <row r="235">
          <cell r="B235" t="str">
            <v>Lê Quý Hưng Quốc</v>
          </cell>
          <cell r="C235" t="str">
            <v>01015004</v>
          </cell>
          <cell r="D235" t="str">
            <v>A3</v>
          </cell>
          <cell r="E235" t="str">
            <v>A3</v>
          </cell>
          <cell r="F235" t="str">
            <v>A3</v>
          </cell>
        </row>
        <row r="236">
          <cell r="B236" t="str">
            <v>Nguyễn Nguyên Hoàng Ngọc Quyên</v>
          </cell>
          <cell r="C236" t="str">
            <v>01015010</v>
          </cell>
          <cell r="D236" t="str">
            <v>A3</v>
          </cell>
          <cell r="E236" t="str">
            <v>A4</v>
          </cell>
          <cell r="F236" t="str">
            <v>A4</v>
          </cell>
        </row>
        <row r="237">
          <cell r="B237" t="str">
            <v>Lê Hồng Thái</v>
          </cell>
          <cell r="C237" t="str">
            <v>01015017</v>
          </cell>
          <cell r="D237" t="str">
            <v>A3</v>
          </cell>
          <cell r="E237" t="str">
            <v>A3</v>
          </cell>
          <cell r="F237" t="str">
            <v>A3</v>
          </cell>
        </row>
        <row r="238">
          <cell r="B238" t="str">
            <v>Nguyễn Thị Khánh Thư</v>
          </cell>
          <cell r="C238" t="str">
            <v>01015016</v>
          </cell>
          <cell r="D238" t="str">
            <v>A3</v>
          </cell>
          <cell r="E238" t="str">
            <v>A4</v>
          </cell>
          <cell r="F238" t="str">
            <v>A4</v>
          </cell>
        </row>
        <row r="239">
          <cell r="B239" t="str">
            <v>Mai Chiếm Tuấn</v>
          </cell>
          <cell r="C239" t="str">
            <v>01015031</v>
          </cell>
          <cell r="D239" t="str">
            <v>A3</v>
          </cell>
          <cell r="E239" t="str">
            <v>A3</v>
          </cell>
          <cell r="F239" t="str">
            <v>B1</v>
          </cell>
        </row>
        <row r="240">
          <cell r="B240" t="str">
            <v>Nguyễn Ngọc Tuyên</v>
          </cell>
          <cell r="C240" t="str">
            <v>01015025</v>
          </cell>
          <cell r="D240" t="str">
            <v>A3</v>
          </cell>
          <cell r="E240" t="str">
            <v>A3</v>
          </cell>
          <cell r="F240" t="str">
            <v>A3</v>
          </cell>
        </row>
        <row r="241">
          <cell r="B241" t="str">
            <v>Đỗ Tuấn Việt</v>
          </cell>
          <cell r="C241" t="str">
            <v>01017001</v>
          </cell>
          <cell r="D241" t="str">
            <v>A3</v>
          </cell>
          <cell r="E241" t="str">
            <v>A3</v>
          </cell>
          <cell r="F241" t="str">
            <v>A3</v>
          </cell>
        </row>
        <row r="242">
          <cell r="B242" t="str">
            <v>Dương Ngọc Vọng</v>
          </cell>
          <cell r="C242" t="str">
            <v>01015012</v>
          </cell>
          <cell r="D242" t="str">
            <v>A3</v>
          </cell>
          <cell r="E242" t="str">
            <v>A3</v>
          </cell>
          <cell r="F242" t="str">
            <v>A3</v>
          </cell>
        </row>
        <row r="243">
          <cell r="B243" t="str">
            <v>Trần Vĩnh Xuyên</v>
          </cell>
          <cell r="C243" t="str">
            <v>01015008</v>
          </cell>
          <cell r="D243" t="str">
            <v>A2</v>
          </cell>
          <cell r="E243" t="str">
            <v>A4</v>
          </cell>
          <cell r="F243" t="str">
            <v>A4</v>
          </cell>
        </row>
        <row r="244">
          <cell r="B244" t="str">
            <v>Đỗ Thị Hải Yến</v>
          </cell>
          <cell r="C244" t="str">
            <v>01015021</v>
          </cell>
          <cell r="D244" t="str">
            <v>A3</v>
          </cell>
          <cell r="E244" t="str">
            <v>A4</v>
          </cell>
          <cell r="F244" t="str">
            <v>A4</v>
          </cell>
        </row>
        <row r="245">
          <cell r="B245" t="str">
            <v>Đào Lê Phương Anh</v>
          </cell>
          <cell r="C245" t="str">
            <v>01015108</v>
          </cell>
          <cell r="D245" t="str">
            <v>A4</v>
          </cell>
          <cell r="E245" t="str">
            <v>A4</v>
          </cell>
          <cell r="F245" t="str">
            <v>A3</v>
          </cell>
        </row>
        <row r="246">
          <cell r="B246" t="str">
            <v>Nguyễn Duy Lộc</v>
          </cell>
          <cell r="C246" t="str">
            <v>01015142</v>
          </cell>
          <cell r="D246" t="str">
            <v>A4</v>
          </cell>
          <cell r="E246" t="str">
            <v>A4</v>
          </cell>
          <cell r="F246" t="str">
            <v>A4</v>
          </cell>
        </row>
        <row r="247">
          <cell r="B247" t="str">
            <v>KHOA ĐỘNG LỰC</v>
          </cell>
          <cell r="D247">
            <v>27</v>
          </cell>
          <cell r="F247">
            <v>27</v>
          </cell>
        </row>
        <row r="248">
          <cell r="B248" t="str">
            <v>Viên chức</v>
          </cell>
          <cell r="F248">
            <v>26</v>
          </cell>
        </row>
        <row r="249">
          <cell r="B249" t="str">
            <v>Nguyễn Anh Tuấn</v>
          </cell>
          <cell r="C249" t="str">
            <v>01013003</v>
          </cell>
          <cell r="D249" t="str">
            <v>A1</v>
          </cell>
          <cell r="E249" t="str">
            <v>A1</v>
          </cell>
          <cell r="F249" t="str">
            <v>A1</v>
          </cell>
        </row>
        <row r="250">
          <cell r="B250" t="str">
            <v>Võ Đắc Thịnh</v>
          </cell>
          <cell r="C250" t="str">
            <v>01013002</v>
          </cell>
          <cell r="D250" t="str">
            <v>A1</v>
          </cell>
          <cell r="E250" t="str">
            <v>A4</v>
          </cell>
          <cell r="F250" t="str">
            <v>A4</v>
          </cell>
        </row>
        <row r="251">
          <cell r="B251" t="str">
            <v>Nguyễn Hữu Mạnh</v>
          </cell>
          <cell r="C251" t="str">
            <v>01013004</v>
          </cell>
          <cell r="D251" t="str">
            <v>A1</v>
          </cell>
          <cell r="E251" t="str">
            <v>A4</v>
          </cell>
          <cell r="F251" t="str">
            <v>A4</v>
          </cell>
        </row>
        <row r="252">
          <cell r="B252" t="str">
            <v>Hà Quốc Bảo</v>
          </cell>
          <cell r="C252" t="str">
            <v>01013021</v>
          </cell>
          <cell r="D252" t="str">
            <v>A1</v>
          </cell>
          <cell r="E252" t="str">
            <v>A4</v>
          </cell>
          <cell r="F252" t="str">
            <v>A4</v>
          </cell>
        </row>
        <row r="253">
          <cell r="B253" t="str">
            <v>Triệu Phú Nguyên</v>
          </cell>
          <cell r="C253" t="str">
            <v>01013006</v>
          </cell>
          <cell r="D253" t="str">
            <v>A1</v>
          </cell>
          <cell r="E253" t="str">
            <v>A4</v>
          </cell>
          <cell r="F253" t="str">
            <v>A4</v>
          </cell>
        </row>
        <row r="254">
          <cell r="B254" t="str">
            <v>Nguyễn Thành Đức</v>
          </cell>
          <cell r="C254" t="str">
            <v>01013018</v>
          </cell>
          <cell r="D254" t="str">
            <v>A1</v>
          </cell>
          <cell r="E254" t="str">
            <v>A4</v>
          </cell>
          <cell r="F254" t="str">
            <v>A4</v>
          </cell>
        </row>
        <row r="255">
          <cell r="B255" t="str">
            <v>Nguyễn Minh Thái</v>
          </cell>
          <cell r="C255" t="str">
            <v>01013019</v>
          </cell>
          <cell r="D255" t="str">
            <v>A2</v>
          </cell>
          <cell r="E255" t="str">
            <v>A4</v>
          </cell>
          <cell r="F255" t="str">
            <v>A4</v>
          </cell>
        </row>
        <row r="256">
          <cell r="B256" t="str">
            <v>Đặng Thái Sơn</v>
          </cell>
          <cell r="C256" t="str">
            <v>01013016</v>
          </cell>
          <cell r="D256" t="str">
            <v>A3</v>
          </cell>
          <cell r="E256" t="str">
            <v>A4</v>
          </cell>
          <cell r="F256" t="str">
            <v>A4</v>
          </cell>
        </row>
        <row r="257">
          <cell r="B257" t="str">
            <v>Nguyễn Thái Bình</v>
          </cell>
          <cell r="C257" t="str">
            <v>01013017</v>
          </cell>
          <cell r="D257" t="str">
            <v>A2</v>
          </cell>
          <cell r="E257" t="str">
            <v>A4</v>
          </cell>
          <cell r="F257" t="str">
            <v>A4</v>
          </cell>
        </row>
        <row r="258">
          <cell r="B258" t="str">
            <v>Kiều Trung Tín</v>
          </cell>
          <cell r="C258" t="str">
            <v>01013027</v>
          </cell>
          <cell r="D258" t="str">
            <v>A1</v>
          </cell>
          <cell r="E258" t="str">
            <v>A4</v>
          </cell>
          <cell r="F258" t="str">
            <v>A4</v>
          </cell>
        </row>
        <row r="259">
          <cell r="B259" t="str">
            <v>Trần Quốc Duy</v>
          </cell>
          <cell r="C259" t="str">
            <v>01013026</v>
          </cell>
          <cell r="D259" t="str">
            <v>A1</v>
          </cell>
          <cell r="E259" t="str">
            <v>A4</v>
          </cell>
          <cell r="F259" t="str">
            <v>A4</v>
          </cell>
        </row>
        <row r="260">
          <cell r="B260" t="str">
            <v>Hồ Văn Hóa</v>
          </cell>
          <cell r="C260" t="str">
            <v>01013029</v>
          </cell>
          <cell r="D260" t="str">
            <v>A3</v>
          </cell>
          <cell r="E260" t="str">
            <v>A4</v>
          </cell>
          <cell r="F260" t="str">
            <v>A4</v>
          </cell>
        </row>
        <row r="261">
          <cell r="B261" t="str">
            <v>Nguyễn Thanh Hùng</v>
          </cell>
          <cell r="C261" t="str">
            <v>01013028</v>
          </cell>
          <cell r="D261" t="str">
            <v>A3</v>
          </cell>
          <cell r="E261" t="str">
            <v>A4</v>
          </cell>
          <cell r="F261" t="str">
            <v>A4</v>
          </cell>
        </row>
        <row r="262">
          <cell r="B262" t="str">
            <v>Phan Anh Tuấn Kiệt</v>
          </cell>
          <cell r="C262" t="str">
            <v>01013005</v>
          </cell>
          <cell r="D262" t="str">
            <v>A1</v>
          </cell>
          <cell r="E262" t="str">
            <v>A4</v>
          </cell>
          <cell r="F262" t="str">
            <v>A4</v>
          </cell>
        </row>
        <row r="263">
          <cell r="B263" t="str">
            <v>Hoàng Phúc Bảo</v>
          </cell>
          <cell r="C263" t="str">
            <v>01013022</v>
          </cell>
          <cell r="D263" t="str">
            <v>A1</v>
          </cell>
          <cell r="E263" t="str">
            <v>A4</v>
          </cell>
          <cell r="F263" t="str">
            <v>A4</v>
          </cell>
        </row>
        <row r="264">
          <cell r="B264" t="str">
            <v>Nguyễn Lương Tâm</v>
          </cell>
          <cell r="C264" t="str">
            <v>01013047</v>
          </cell>
          <cell r="D264" t="str">
            <v>A2</v>
          </cell>
          <cell r="E264" t="str">
            <v>A4</v>
          </cell>
          <cell r="F264" t="str">
            <v>A4</v>
          </cell>
        </row>
        <row r="265">
          <cell r="B265" t="str">
            <v>Trần Thế Sơn</v>
          </cell>
          <cell r="C265" t="str">
            <v>01013070</v>
          </cell>
          <cell r="D265" t="str">
            <v>A2</v>
          </cell>
          <cell r="E265" t="str">
            <v>A3</v>
          </cell>
          <cell r="F265" t="str">
            <v>A3</v>
          </cell>
        </row>
        <row r="266">
          <cell r="B266" t="str">
            <v>Trần Văn Đông</v>
          </cell>
          <cell r="C266" t="str">
            <v>01014047</v>
          </cell>
          <cell r="D266" t="str">
            <v>A1</v>
          </cell>
          <cell r="E266" t="str">
            <v>A3</v>
          </cell>
          <cell r="F266" t="str">
            <v>A3</v>
          </cell>
        </row>
        <row r="267">
          <cell r="B267" t="str">
            <v>Lý Văn Trung</v>
          </cell>
          <cell r="C267" t="str">
            <v>01013079</v>
          </cell>
          <cell r="D267" t="str">
            <v>A3</v>
          </cell>
          <cell r="E267" t="str">
            <v>A3</v>
          </cell>
          <cell r="F267" t="str">
            <v>A2</v>
          </cell>
        </row>
        <row r="268">
          <cell r="B268" t="str">
            <v>Nguyễn Hoàng Vinh</v>
          </cell>
          <cell r="C268" t="str">
            <v>01013087</v>
          </cell>
          <cell r="D268" t="str">
            <v>A1</v>
          </cell>
          <cell r="E268" t="str">
            <v>A4</v>
          </cell>
          <cell r="F268" t="str">
            <v>A4</v>
          </cell>
        </row>
        <row r="269">
          <cell r="B269" t="str">
            <v>Đỗ Hoàng Duy</v>
          </cell>
          <cell r="C269" t="str">
            <v>01013061</v>
          </cell>
          <cell r="D269" t="str">
            <v>A3</v>
          </cell>
          <cell r="E269" t="str">
            <v>A4</v>
          </cell>
          <cell r="F269" t="str">
            <v>A4</v>
          </cell>
        </row>
        <row r="270">
          <cell r="B270" t="str">
            <v>Bùi Trọng Tân</v>
          </cell>
          <cell r="C270" t="str">
            <v>01013094</v>
          </cell>
          <cell r="D270" t="str">
            <v>A1</v>
          </cell>
          <cell r="E270" t="str">
            <v>A4</v>
          </cell>
          <cell r="F270" t="str">
            <v>A4</v>
          </cell>
        </row>
        <row r="271">
          <cell r="B271" t="str">
            <v>Võ Quốc Duy</v>
          </cell>
          <cell r="C271" t="str">
            <v>01013120</v>
          </cell>
          <cell r="D271" t="str">
            <v>A1</v>
          </cell>
          <cell r="E271" t="str">
            <v>A4</v>
          </cell>
          <cell r="F271" t="str">
            <v>A4</v>
          </cell>
        </row>
        <row r="272">
          <cell r="B272" t="str">
            <v>Giang Văn Tiến</v>
          </cell>
          <cell r="C272" t="str">
            <v>01013117</v>
          </cell>
          <cell r="D272" t="str">
            <v>A3</v>
          </cell>
          <cell r="E272" t="str">
            <v>A4</v>
          </cell>
          <cell r="F272" t="str">
            <v>A4</v>
          </cell>
        </row>
        <row r="273">
          <cell r="B273" t="str">
            <v>Nguyễn Hữu Lương</v>
          </cell>
          <cell r="C273" t="str">
            <v>01013116</v>
          </cell>
          <cell r="D273" t="str">
            <v>A4</v>
          </cell>
          <cell r="E273" t="str">
            <v>A4</v>
          </cell>
          <cell r="F273" t="str">
            <v>A4</v>
          </cell>
        </row>
        <row r="274">
          <cell r="B274" t="str">
            <v>Huỳnh Đình Văn</v>
          </cell>
          <cell r="C274" t="str">
            <v>01013128</v>
          </cell>
          <cell r="D274" t="str">
            <v>A4</v>
          </cell>
          <cell r="E274" t="str">
            <v>A4</v>
          </cell>
          <cell r="F274" t="str">
            <v>A4</v>
          </cell>
        </row>
        <row r="275">
          <cell r="B275" t="str">
            <v>Hợp đồng trường</v>
          </cell>
          <cell r="F275">
            <v>1</v>
          </cell>
        </row>
        <row r="276">
          <cell r="B276" t="str">
            <v>Nguyễn Khắc Huân</v>
          </cell>
          <cell r="C276" t="str">
            <v>01013096</v>
          </cell>
          <cell r="D276" t="str">
            <v>A1</v>
          </cell>
          <cell r="E276" t="str">
            <v>A1</v>
          </cell>
          <cell r="F276" t="str">
            <v>A1</v>
          </cell>
        </row>
        <row r="277">
          <cell r="B277" t="str">
            <v>KHOA ĐIỆN - ĐIỆN TỬ</v>
          </cell>
          <cell r="D277">
            <v>30</v>
          </cell>
          <cell r="F277">
            <v>30</v>
          </cell>
        </row>
        <row r="278">
          <cell r="B278" t="str">
            <v>Viên chức</v>
          </cell>
          <cell r="F278">
            <v>30</v>
          </cell>
        </row>
        <row r="279">
          <cell r="B279" t="str">
            <v>Tạ Minh Cường</v>
          </cell>
          <cell r="C279" t="str">
            <v>01014002</v>
          </cell>
          <cell r="D279" t="str">
            <v>A1</v>
          </cell>
          <cell r="E279" t="str">
            <v>A1</v>
          </cell>
          <cell r="F279" t="str">
            <v>A1</v>
          </cell>
        </row>
        <row r="280">
          <cell r="B280" t="str">
            <v>Huỳnh Ngọc Mai</v>
          </cell>
          <cell r="C280" t="str">
            <v>01014004</v>
          </cell>
          <cell r="D280" t="str">
            <v>A1</v>
          </cell>
          <cell r="E280" t="str">
            <v>A4</v>
          </cell>
          <cell r="F280" t="str">
            <v>A4</v>
          </cell>
        </row>
        <row r="281">
          <cell r="B281" t="str">
            <v>Phạm Minh Nghĩa</v>
          </cell>
          <cell r="C281" t="str">
            <v>01023003</v>
          </cell>
          <cell r="D281" t="str">
            <v>A2</v>
          </cell>
          <cell r="E281" t="str">
            <v>A3</v>
          </cell>
          <cell r="F281" t="str">
            <v>A3</v>
          </cell>
        </row>
        <row r="282">
          <cell r="B282" t="str">
            <v>Trần Nguyên Bảo Trân</v>
          </cell>
          <cell r="C282" t="str">
            <v>01014038</v>
          </cell>
          <cell r="D282" t="str">
            <v>A1</v>
          </cell>
          <cell r="E282" t="str">
            <v>A3</v>
          </cell>
          <cell r="F282" t="str">
            <v>A3</v>
          </cell>
        </row>
        <row r="283">
          <cell r="B283" t="str">
            <v>Huỳnh Duy An</v>
          </cell>
          <cell r="C283" t="str">
            <v>01014051</v>
          </cell>
          <cell r="D283" t="str">
            <v>A4</v>
          </cell>
          <cell r="E283" t="str">
            <v>A4</v>
          </cell>
          <cell r="F283" t="str">
            <v>A4</v>
          </cell>
        </row>
        <row r="284">
          <cell r="B284" t="str">
            <v>Ngô Hoàng Anh</v>
          </cell>
          <cell r="C284" t="str">
            <v>01014005</v>
          </cell>
          <cell r="D284" t="str">
            <v>A3</v>
          </cell>
          <cell r="E284" t="str">
            <v>A3</v>
          </cell>
          <cell r="F284" t="str">
            <v>A3</v>
          </cell>
        </row>
        <row r="285">
          <cell r="B285" t="str">
            <v>Trần Nam Anh</v>
          </cell>
          <cell r="C285" t="str">
            <v>01014046</v>
          </cell>
          <cell r="D285" t="str">
            <v>A1</v>
          </cell>
          <cell r="E285" t="str">
            <v>A1</v>
          </cell>
          <cell r="F285" t="str">
            <v>A1</v>
          </cell>
        </row>
        <row r="286">
          <cell r="B286" t="str">
            <v>Vũ Hạnh Chiêu</v>
          </cell>
          <cell r="C286" t="str">
            <v>01014026</v>
          </cell>
          <cell r="D286" t="str">
            <v>A3</v>
          </cell>
          <cell r="E286" t="str">
            <v>A3</v>
          </cell>
          <cell r="F286" t="str">
            <v>A3</v>
          </cell>
        </row>
        <row r="287">
          <cell r="B287" t="str">
            <v>Ngô Phong Cường</v>
          </cell>
          <cell r="C287" t="str">
            <v>01014029</v>
          </cell>
          <cell r="D287" t="str">
            <v>A3</v>
          </cell>
          <cell r="E287" t="str">
            <v>A3</v>
          </cell>
          <cell r="F287" t="str">
            <v>A3</v>
          </cell>
        </row>
        <row r="288">
          <cell r="B288" t="str">
            <v>Nguyễn Minh Đức Cường</v>
          </cell>
          <cell r="C288" t="str">
            <v>01014033</v>
          </cell>
          <cell r="D288" t="str">
            <v>A1</v>
          </cell>
          <cell r="E288" t="str">
            <v>A1</v>
          </cell>
          <cell r="F288" t="str">
            <v>A1</v>
          </cell>
        </row>
        <row r="289">
          <cell r="B289" t="str">
            <v>Nguyễn Hồng Đức</v>
          </cell>
          <cell r="C289" t="str">
            <v>01014013</v>
          </cell>
          <cell r="D289" t="str">
            <v>A3</v>
          </cell>
          <cell r="E289" t="str">
            <v>A4</v>
          </cell>
          <cell r="F289" t="str">
            <v>A4</v>
          </cell>
        </row>
        <row r="290">
          <cell r="B290" t="str">
            <v>Nguyễn Minh Đức</v>
          </cell>
          <cell r="C290" t="str">
            <v>01014017</v>
          </cell>
          <cell r="D290" t="str">
            <v>A3</v>
          </cell>
          <cell r="E290" t="str">
            <v>A3</v>
          </cell>
          <cell r="F290" t="str">
            <v>A3</v>
          </cell>
        </row>
        <row r="291">
          <cell r="B291" t="str">
            <v>Nguyễn Thị Ngọc Hiền</v>
          </cell>
          <cell r="C291" t="str">
            <v>01014034</v>
          </cell>
          <cell r="D291" t="str">
            <v>A3</v>
          </cell>
          <cell r="E291" t="str">
            <v>A4</v>
          </cell>
          <cell r="F291" t="str">
            <v>A4</v>
          </cell>
        </row>
        <row r="292">
          <cell r="B292" t="str">
            <v>Trần Trung Hiếu</v>
          </cell>
          <cell r="C292" t="str">
            <v>01014020</v>
          </cell>
          <cell r="D292" t="str">
            <v>A2</v>
          </cell>
          <cell r="E292" t="str">
            <v>A3</v>
          </cell>
          <cell r="F292" t="str">
            <v>A3</v>
          </cell>
        </row>
        <row r="293">
          <cell r="B293" t="str">
            <v>Mạnh Lê Hoàn</v>
          </cell>
          <cell r="C293" t="str">
            <v>01014018</v>
          </cell>
          <cell r="D293" t="str">
            <v>A3</v>
          </cell>
          <cell r="E293" t="str">
            <v>A3</v>
          </cell>
          <cell r="F293" t="str">
            <v>A3</v>
          </cell>
        </row>
        <row r="294">
          <cell r="B294" t="str">
            <v>Phan Thanh Hoàng</v>
          </cell>
          <cell r="C294" t="str">
            <v>01014042</v>
          </cell>
          <cell r="D294" t="str">
            <v>A1</v>
          </cell>
          <cell r="E294" t="str">
            <v>A2</v>
          </cell>
          <cell r="F294" t="str">
            <v>A2</v>
          </cell>
        </row>
        <row r="295">
          <cell r="B295" t="str">
            <v>Lê Thế Huân</v>
          </cell>
          <cell r="C295" t="str">
            <v>01014019</v>
          </cell>
          <cell r="D295" t="str">
            <v>A2</v>
          </cell>
          <cell r="E295" t="str">
            <v>A3</v>
          </cell>
          <cell r="F295" t="str">
            <v>A3</v>
          </cell>
        </row>
        <row r="296">
          <cell r="B296" t="str">
            <v>Tăng Cẩm Huê</v>
          </cell>
          <cell r="C296" t="str">
            <v>01014010</v>
          </cell>
          <cell r="D296" t="str">
            <v>A3</v>
          </cell>
          <cell r="E296" t="str">
            <v>A3</v>
          </cell>
          <cell r="F296" t="str">
            <v>A3</v>
          </cell>
        </row>
        <row r="297">
          <cell r="B297" t="str">
            <v>Nguyễn Thùy Linh</v>
          </cell>
          <cell r="C297" t="str">
            <v>01014030</v>
          </cell>
          <cell r="D297" t="str">
            <v>A2</v>
          </cell>
          <cell r="E297" t="str">
            <v>A2</v>
          </cell>
          <cell r="F297" t="str">
            <v>A2</v>
          </cell>
        </row>
        <row r="298">
          <cell r="B298" t="str">
            <v>Đặng Đức Minh</v>
          </cell>
          <cell r="C298" t="str">
            <v>01014024</v>
          </cell>
          <cell r="D298" t="str">
            <v>A2</v>
          </cell>
          <cell r="E298" t="str">
            <v>A3</v>
          </cell>
          <cell r="F298" t="str">
            <v>A3</v>
          </cell>
        </row>
        <row r="299">
          <cell r="B299" t="str">
            <v>Trần Giang Nam</v>
          </cell>
          <cell r="C299" t="str">
            <v>01014048</v>
          </cell>
          <cell r="D299" t="str">
            <v>A1</v>
          </cell>
          <cell r="E299" t="str">
            <v>A1</v>
          </cell>
          <cell r="F299" t="str">
            <v>A1</v>
          </cell>
        </row>
        <row r="300">
          <cell r="B300" t="str">
            <v>Nguyễn Thị Tố Nga</v>
          </cell>
          <cell r="C300" t="str">
            <v>01014022</v>
          </cell>
          <cell r="D300" t="str">
            <v>A2</v>
          </cell>
          <cell r="E300" t="str">
            <v>A3</v>
          </cell>
          <cell r="F300" t="str">
            <v>A3</v>
          </cell>
        </row>
        <row r="301">
          <cell r="B301" t="str">
            <v>Nguyễn Trần Thanh Nhàn</v>
          </cell>
          <cell r="C301" t="str">
            <v>01014025</v>
          </cell>
          <cell r="D301" t="str">
            <v>A3</v>
          </cell>
          <cell r="E301" t="str">
            <v>A4</v>
          </cell>
          <cell r="F301" t="str">
            <v>A4</v>
          </cell>
        </row>
        <row r="302">
          <cell r="B302" t="str">
            <v>Đỗ Huỳnh Thanh Phong</v>
          </cell>
          <cell r="C302" t="str">
            <v>01014032</v>
          </cell>
          <cell r="D302" t="str">
            <v>A2</v>
          </cell>
          <cell r="E302" t="str">
            <v>A3</v>
          </cell>
          <cell r="F302" t="str">
            <v>A3</v>
          </cell>
        </row>
        <row r="303">
          <cell r="B303" t="str">
            <v>Nguyễn Anh Tăng</v>
          </cell>
          <cell r="C303" t="str">
            <v>01014006</v>
          </cell>
          <cell r="D303" t="str">
            <v>A2</v>
          </cell>
          <cell r="E303" t="str">
            <v>A2</v>
          </cell>
          <cell r="F303" t="str">
            <v>A2</v>
          </cell>
        </row>
        <row r="304">
          <cell r="B304" t="str">
            <v>Nguyễn Khương Thành</v>
          </cell>
          <cell r="C304" t="str">
            <v>01014052</v>
          </cell>
          <cell r="D304" t="str">
            <v>A4</v>
          </cell>
          <cell r="E304" t="str">
            <v>A4</v>
          </cell>
          <cell r="F304" t="str">
            <v>A4</v>
          </cell>
        </row>
        <row r="305">
          <cell r="B305" t="str">
            <v>Trần Công Tiến</v>
          </cell>
          <cell r="C305" t="str">
            <v>01014009</v>
          </cell>
          <cell r="D305" t="str">
            <v>A3</v>
          </cell>
          <cell r="E305" t="str">
            <v>A3</v>
          </cell>
          <cell r="F305" t="str">
            <v>A3</v>
          </cell>
        </row>
        <row r="306">
          <cell r="B306" t="str">
            <v>Cao Văn Tuấn</v>
          </cell>
          <cell r="C306" t="str">
            <v>01014045</v>
          </cell>
          <cell r="D306" t="str">
            <v>A1</v>
          </cell>
          <cell r="E306" t="str">
            <v>A1</v>
          </cell>
          <cell r="F306" t="str">
            <v>A1</v>
          </cell>
        </row>
        <row r="307">
          <cell r="B307" t="str">
            <v>Trần Hiếu Trinh</v>
          </cell>
          <cell r="C307" t="str">
            <v>01014021</v>
          </cell>
          <cell r="D307" t="str">
            <v>A2</v>
          </cell>
          <cell r="E307" t="str">
            <v>A3</v>
          </cell>
          <cell r="F307" t="str">
            <v>A3</v>
          </cell>
        </row>
        <row r="308">
          <cell r="B308" t="str">
            <v>Nguyễn Văn Yên</v>
          </cell>
          <cell r="C308" t="str">
            <v>01014016</v>
          </cell>
          <cell r="D308" t="str">
            <v>A2</v>
          </cell>
          <cell r="E308" t="str">
            <v>A3</v>
          </cell>
          <cell r="F308" t="str">
            <v>A3</v>
          </cell>
        </row>
        <row r="309">
          <cell r="B309" t="str">
            <v>KHOA MAY - THỜI TRANG</v>
          </cell>
          <cell r="D309">
            <v>8</v>
          </cell>
          <cell r="F309">
            <v>8</v>
          </cell>
        </row>
        <row r="310">
          <cell r="B310" t="str">
            <v>Viên chức</v>
          </cell>
          <cell r="F310">
            <v>8</v>
          </cell>
        </row>
        <row r="311">
          <cell r="B311" t="str">
            <v>Nguyễn Ngọc Thọ</v>
          </cell>
          <cell r="C311" t="str">
            <v>01016008</v>
          </cell>
          <cell r="D311" t="str">
            <v>A2</v>
          </cell>
          <cell r="E311" t="str">
            <v>A3</v>
          </cell>
          <cell r="F311" t="str">
            <v>A3</v>
          </cell>
        </row>
        <row r="312">
          <cell r="B312" t="str">
            <v>Chế Vân Cầm</v>
          </cell>
          <cell r="C312" t="str">
            <v>01016004</v>
          </cell>
          <cell r="D312" t="str">
            <v>A2</v>
          </cell>
          <cell r="E312" t="str">
            <v>A3</v>
          </cell>
          <cell r="F312" t="str">
            <v>A3</v>
          </cell>
        </row>
        <row r="313">
          <cell r="B313" t="str">
            <v>Nguyễn Bạch Cẩm Dung</v>
          </cell>
          <cell r="C313" t="str">
            <v>01016002</v>
          </cell>
          <cell r="D313" t="str">
            <v>A2</v>
          </cell>
          <cell r="E313" t="str">
            <v>A4</v>
          </cell>
          <cell r="F313" t="str">
            <v>A4</v>
          </cell>
        </row>
        <row r="314">
          <cell r="B314" t="str">
            <v>Nguyễn Thị Hiền</v>
          </cell>
          <cell r="C314" t="str">
            <v>01016006</v>
          </cell>
          <cell r="D314" t="str">
            <v>A3</v>
          </cell>
          <cell r="E314" t="str">
            <v>A3</v>
          </cell>
          <cell r="F314" t="str">
            <v>A3</v>
          </cell>
        </row>
        <row r="315">
          <cell r="B315" t="str">
            <v>Bùi Thị Ngọc Sương</v>
          </cell>
          <cell r="C315" t="str">
            <v>01016005</v>
          </cell>
          <cell r="D315" t="str">
            <v>A2</v>
          </cell>
          <cell r="E315" t="str">
            <v>A4</v>
          </cell>
          <cell r="F315" t="str">
            <v>A4</v>
          </cell>
        </row>
        <row r="316">
          <cell r="B316" t="str">
            <v>Lê Thị Phương Thảo</v>
          </cell>
          <cell r="C316" t="str">
            <v>01016012</v>
          </cell>
          <cell r="D316" t="str">
            <v>A3</v>
          </cell>
          <cell r="E316" t="str">
            <v>A4</v>
          </cell>
          <cell r="F316" t="str">
            <v>A4</v>
          </cell>
        </row>
        <row r="317">
          <cell r="B317" t="str">
            <v>Trần Hồng Thảo</v>
          </cell>
          <cell r="C317" t="str">
            <v>01016010</v>
          </cell>
          <cell r="D317" t="str">
            <v>A3</v>
          </cell>
          <cell r="E317" t="str">
            <v>A3</v>
          </cell>
          <cell r="F317" t="str">
            <v>A3</v>
          </cell>
        </row>
        <row r="318">
          <cell r="B318" t="str">
            <v>Lâm Thị Phương Thùy</v>
          </cell>
          <cell r="C318" t="str">
            <v>01016007</v>
          </cell>
          <cell r="D318" t="str">
            <v>A2</v>
          </cell>
          <cell r="E318" t="str">
            <v>A4</v>
          </cell>
          <cell r="F318" t="str">
            <v>A4</v>
          </cell>
        </row>
        <row r="319">
          <cell r="B319" t="str">
            <v>KHOA NHIỆT - LẠNH</v>
          </cell>
          <cell r="D319">
            <v>9</v>
          </cell>
          <cell r="F319">
            <v>9</v>
          </cell>
        </row>
        <row r="320">
          <cell r="B320" t="str">
            <v>Viên chức</v>
          </cell>
          <cell r="F320">
            <v>9</v>
          </cell>
        </row>
        <row r="321">
          <cell r="B321" t="str">
            <v>Đinh Đồng Hiệp</v>
          </cell>
          <cell r="C321" t="str">
            <v>01013020</v>
          </cell>
          <cell r="D321" t="str">
            <v>A1</v>
          </cell>
          <cell r="E321" t="str">
            <v>A1</v>
          </cell>
          <cell r="F321" t="str">
            <v>A1</v>
          </cell>
        </row>
        <row r="322">
          <cell r="B322" t="str">
            <v>Hoàng Văn Viết</v>
          </cell>
          <cell r="C322" t="str">
            <v>01029001</v>
          </cell>
          <cell r="D322" t="str">
            <v>A2</v>
          </cell>
          <cell r="E322" t="str">
            <v>A4</v>
          </cell>
          <cell r="F322" t="str">
            <v>A4</v>
          </cell>
        </row>
        <row r="323">
          <cell r="B323" t="str">
            <v>Võ Anh Hào</v>
          </cell>
          <cell r="C323" t="str">
            <v>01013010</v>
          </cell>
          <cell r="D323" t="str">
            <v>A2</v>
          </cell>
          <cell r="E323" t="str">
            <v>A4</v>
          </cell>
          <cell r="F323" t="str">
            <v>A4</v>
          </cell>
        </row>
        <row r="324">
          <cell r="B324" t="str">
            <v>Đặng Thế Huân</v>
          </cell>
          <cell r="C324" t="str">
            <v>01013009</v>
          </cell>
          <cell r="D324" t="str">
            <v>A1</v>
          </cell>
          <cell r="E324" t="str">
            <v>A3</v>
          </cell>
          <cell r="F324" t="str">
            <v>A3</v>
          </cell>
        </row>
        <row r="325">
          <cell r="B325" t="str">
            <v>Nguyễn Vũ Xuân Thì</v>
          </cell>
          <cell r="C325" t="str">
            <v>01013008</v>
          </cell>
          <cell r="D325" t="str">
            <v>A1</v>
          </cell>
          <cell r="E325" t="str">
            <v>A4</v>
          </cell>
          <cell r="F325" t="str">
            <v>A4</v>
          </cell>
        </row>
        <row r="326">
          <cell r="B326" t="str">
            <v>Đỗ Trọng Quý</v>
          </cell>
          <cell r="C326" t="str">
            <v>01013011</v>
          </cell>
          <cell r="D326" t="str">
            <v>A4</v>
          </cell>
          <cell r="E326" t="str">
            <v>A4</v>
          </cell>
          <cell r="F326" t="str">
            <v>A4</v>
          </cell>
        </row>
        <row r="327">
          <cell r="B327" t="str">
            <v>Trần Đình Khoa</v>
          </cell>
          <cell r="C327" t="str">
            <v>01013023</v>
          </cell>
          <cell r="D327" t="str">
            <v>A4</v>
          </cell>
          <cell r="E327" t="str">
            <v>A4</v>
          </cell>
          <cell r="F327" t="str">
            <v>A4</v>
          </cell>
        </row>
        <row r="328">
          <cell r="B328" t="str">
            <v>Phan Văn Hòa</v>
          </cell>
          <cell r="C328" t="str">
            <v>01013015</v>
          </cell>
          <cell r="D328" t="str">
            <v>A1</v>
          </cell>
          <cell r="E328" t="str">
            <v>A4</v>
          </cell>
          <cell r="F328" t="str">
            <v>A4</v>
          </cell>
        </row>
        <row r="329">
          <cell r="B329" t="str">
            <v>Nguyễn Thanh Dũng</v>
          </cell>
          <cell r="C329" t="str">
            <v>01029016</v>
          </cell>
          <cell r="D329" t="str">
            <v>A2</v>
          </cell>
          <cell r="E329" t="str">
            <v>A1</v>
          </cell>
          <cell r="F329" t="str">
            <v>A1</v>
          </cell>
        </row>
        <row r="330">
          <cell r="B330" t="str">
            <v>KHOA KINH TẾ</v>
          </cell>
          <cell r="D330">
            <v>12</v>
          </cell>
          <cell r="F330">
            <v>12</v>
          </cell>
        </row>
        <row r="331">
          <cell r="B331" t="str">
            <v>Viên chức</v>
          </cell>
          <cell r="F331">
            <v>12</v>
          </cell>
        </row>
        <row r="332">
          <cell r="B332" t="str">
            <v>Trịnh Hoàng Hiệp</v>
          </cell>
          <cell r="C332" t="str">
            <v>01025007</v>
          </cell>
          <cell r="D332" t="str">
            <v>A2</v>
          </cell>
          <cell r="E332" t="str">
            <v>A3</v>
          </cell>
          <cell r="F332" t="str">
            <v>A1</v>
          </cell>
        </row>
        <row r="333">
          <cell r="B333" t="str">
            <v>Phạm Quỳnh Như</v>
          </cell>
          <cell r="C333" t="str">
            <v>01025004</v>
          </cell>
          <cell r="D333" t="str">
            <v>A2</v>
          </cell>
          <cell r="E333" t="str">
            <v>A3</v>
          </cell>
          <cell r="F333" t="str">
            <v>A1</v>
          </cell>
        </row>
        <row r="334">
          <cell r="B334" t="str">
            <v>Lưu Thị Thúy</v>
          </cell>
          <cell r="C334" t="str">
            <v>01025002</v>
          </cell>
          <cell r="D334" t="str">
            <v>A2</v>
          </cell>
          <cell r="E334" t="str">
            <v>A3</v>
          </cell>
          <cell r="F334" t="str">
            <v>A4</v>
          </cell>
        </row>
        <row r="335">
          <cell r="B335" t="str">
            <v>Trần Thị Ngọc Dung</v>
          </cell>
          <cell r="C335" t="str">
            <v>01025016</v>
          </cell>
          <cell r="D335" t="str">
            <v>A3</v>
          </cell>
          <cell r="E335" t="str">
            <v>A4</v>
          </cell>
          <cell r="F335" t="str">
            <v>A4</v>
          </cell>
        </row>
        <row r="336">
          <cell r="B336" t="str">
            <v>Cao Xuân Giang</v>
          </cell>
          <cell r="C336" t="str">
            <v>01025018</v>
          </cell>
          <cell r="D336" t="str">
            <v>A3</v>
          </cell>
          <cell r="E336" t="str">
            <v>A4</v>
          </cell>
          <cell r="F336" t="str">
            <v>A4</v>
          </cell>
        </row>
        <row r="337">
          <cell r="B337" t="str">
            <v>Nguyễn Thị Thanh Hòa</v>
          </cell>
          <cell r="C337" t="str">
            <v>01009027</v>
          </cell>
          <cell r="D337" t="str">
            <v>A2</v>
          </cell>
          <cell r="E337" t="str">
            <v>A3</v>
          </cell>
          <cell r="F337" t="str">
            <v>A4</v>
          </cell>
        </row>
        <row r="338">
          <cell r="B338" t="str">
            <v>Huỳnh Kim Liên</v>
          </cell>
          <cell r="C338" t="str">
            <v>01025052</v>
          </cell>
          <cell r="D338" t="str">
            <v>A4</v>
          </cell>
          <cell r="E338" t="str">
            <v>A4</v>
          </cell>
          <cell r="F338" t="str">
            <v>A3</v>
          </cell>
        </row>
        <row r="339">
          <cell r="B339" t="str">
            <v>Lê Hồng Ngọc My</v>
          </cell>
          <cell r="C339" t="str">
            <v>01015053</v>
          </cell>
          <cell r="D339" t="str">
            <v>A4</v>
          </cell>
          <cell r="E339" t="str">
            <v>A4</v>
          </cell>
          <cell r="F339" t="str">
            <v>A3</v>
          </cell>
        </row>
        <row r="340">
          <cell r="B340" t="str">
            <v>Lê Thị Thu Thảo</v>
          </cell>
          <cell r="C340" t="str">
            <v>01025008</v>
          </cell>
          <cell r="D340" t="str">
            <v>A4</v>
          </cell>
          <cell r="E340" t="str">
            <v>A4</v>
          </cell>
          <cell r="F340" t="str">
            <v>A4</v>
          </cell>
        </row>
        <row r="341">
          <cell r="B341" t="str">
            <v>Nguyễn Thị Minh Thùy</v>
          </cell>
          <cell r="C341" t="str">
            <v>01003013</v>
          </cell>
          <cell r="D341" t="str">
            <v>A2</v>
          </cell>
          <cell r="E341" t="str">
            <v>A3</v>
          </cell>
          <cell r="F341" t="str">
            <v>A2</v>
          </cell>
        </row>
        <row r="342">
          <cell r="B342" t="str">
            <v>Nguyễn Mỹ Tiên</v>
          </cell>
          <cell r="C342" t="str">
            <v>01025015</v>
          </cell>
          <cell r="D342" t="str">
            <v>A2</v>
          </cell>
          <cell r="E342" t="str">
            <v>A3</v>
          </cell>
          <cell r="F342" t="str">
            <v>A4</v>
          </cell>
        </row>
        <row r="343">
          <cell r="B343" t="str">
            <v>Nguyễn Huỳnh Lưu Phương</v>
          </cell>
          <cell r="C343" t="str">
            <v>01025101</v>
          </cell>
          <cell r="D343" t="str">
            <v>A4</v>
          </cell>
          <cell r="E343" t="str">
            <v>A4</v>
          </cell>
          <cell r="F343" t="str">
            <v>A4</v>
          </cell>
        </row>
        <row r="344">
          <cell r="B344" t="str">
            <v>KHOA DU LỊCH - KHÁCH SẠN</v>
          </cell>
          <cell r="D344" t="e">
            <v>#N/A</v>
          </cell>
          <cell r="F344">
            <v>7</v>
          </cell>
        </row>
        <row r="345">
          <cell r="B345" t="str">
            <v>Viên chức</v>
          </cell>
          <cell r="D345" t="e">
            <v>#N/A</v>
          </cell>
          <cell r="F345">
            <v>7</v>
          </cell>
        </row>
        <row r="346">
          <cell r="B346" t="str">
            <v>Hồ Gia Bảo</v>
          </cell>
          <cell r="C346" t="str">
            <v>01025029</v>
          </cell>
          <cell r="D346" t="str">
            <v>A2</v>
          </cell>
          <cell r="E346" t="str">
            <v>A3</v>
          </cell>
          <cell r="F346" t="str">
            <v>A3</v>
          </cell>
        </row>
        <row r="347">
          <cell r="B347" t="str">
            <v>Lữ Xuân Trang</v>
          </cell>
          <cell r="C347" t="str">
            <v>01025009</v>
          </cell>
          <cell r="D347" t="str">
            <v>A2</v>
          </cell>
          <cell r="E347" t="str">
            <v>A3</v>
          </cell>
          <cell r="F347" t="str">
            <v>A2</v>
          </cell>
        </row>
        <row r="348">
          <cell r="B348" t="str">
            <v>Phạm Thị Thanh Thúy</v>
          </cell>
          <cell r="C348" t="str">
            <v>01016003</v>
          </cell>
          <cell r="D348" t="str">
            <v>A2</v>
          </cell>
          <cell r="E348" t="str">
            <v>A3</v>
          </cell>
          <cell r="F348" t="str">
            <v>A3</v>
          </cell>
        </row>
        <row r="349">
          <cell r="B349" t="str">
            <v>Đinh Thị Trâm</v>
          </cell>
          <cell r="C349" t="str">
            <v>01025033</v>
          </cell>
          <cell r="D349" t="str">
            <v>A4</v>
          </cell>
          <cell r="E349" t="str">
            <v>A4</v>
          </cell>
          <cell r="F349" t="str">
            <v>A3</v>
          </cell>
        </row>
        <row r="350">
          <cell r="B350" t="str">
            <v>Lê Thị Thúy Oanh</v>
          </cell>
          <cell r="C350" t="str">
            <v>01025020</v>
          </cell>
          <cell r="D350" t="str">
            <v>A2</v>
          </cell>
          <cell r="E350" t="str">
            <v>A3</v>
          </cell>
          <cell r="F350" t="str">
            <v>A3</v>
          </cell>
        </row>
        <row r="351">
          <cell r="B351" t="str">
            <v>Võ Thị Kim Thư</v>
          </cell>
          <cell r="C351" t="str">
            <v>01025012</v>
          </cell>
          <cell r="D351" t="str">
            <v>A2</v>
          </cell>
          <cell r="E351" t="str">
            <v>A3</v>
          </cell>
          <cell r="F351" t="str">
            <v>A4</v>
          </cell>
        </row>
        <row r="352">
          <cell r="B352" t="str">
            <v>Nguyễn Hoàng Thanh Ngân</v>
          </cell>
          <cell r="C352" t="str">
            <v>01025027</v>
          </cell>
          <cell r="D352" t="str">
            <v>A2</v>
          </cell>
          <cell r="E352" t="str">
            <v>A DN</v>
          </cell>
          <cell r="F352" t="str">
            <v>A DN</v>
          </cell>
        </row>
        <row r="353">
          <cell r="B353" t="str">
            <v>KHOA XÂY DỰNG</v>
          </cell>
          <cell r="D353">
            <v>3</v>
          </cell>
          <cell r="F353">
            <v>3</v>
          </cell>
        </row>
        <row r="354">
          <cell r="B354" t="str">
            <v>Viên chức</v>
          </cell>
          <cell r="F354">
            <v>3</v>
          </cell>
        </row>
        <row r="355">
          <cell r="B355" t="str">
            <v>Phạm Quang Vũ</v>
          </cell>
          <cell r="C355" t="str">
            <v>01004014</v>
          </cell>
          <cell r="D355" t="str">
            <v>A2</v>
          </cell>
          <cell r="E355" t="str">
            <v>A2</v>
          </cell>
          <cell r="F355" t="str">
            <v>A3</v>
          </cell>
        </row>
        <row r="356">
          <cell r="B356" t="str">
            <v>Trình Minh Phong</v>
          </cell>
          <cell r="C356" t="str">
            <v>01028013</v>
          </cell>
          <cell r="D356" t="str">
            <v>A2</v>
          </cell>
          <cell r="E356" t="str">
            <v>A4</v>
          </cell>
          <cell r="F356" t="str">
            <v>A4</v>
          </cell>
        </row>
        <row r="357">
          <cell r="B357" t="str">
            <v>Trần Ngọc Tuấn</v>
          </cell>
          <cell r="C357" t="str">
            <v>01028017</v>
          </cell>
          <cell r="D357" t="str">
            <v>A2</v>
          </cell>
          <cell r="E357" t="str">
            <v>A3</v>
          </cell>
          <cell r="F357" t="str">
            <v>A3</v>
          </cell>
        </row>
        <row r="358">
          <cell r="B358" t="str">
            <v>TRUNG TÂM THƯ VIỆN</v>
          </cell>
          <cell r="D358">
            <v>7</v>
          </cell>
          <cell r="F358">
            <v>7</v>
          </cell>
        </row>
        <row r="359">
          <cell r="B359" t="str">
            <v>Viên chức</v>
          </cell>
          <cell r="F359">
            <v>4</v>
          </cell>
        </row>
        <row r="360">
          <cell r="B360" t="str">
            <v>Hồ Ngọc Chi</v>
          </cell>
          <cell r="C360" t="str">
            <v>01015042</v>
          </cell>
          <cell r="D360" t="str">
            <v>A2</v>
          </cell>
          <cell r="E360" t="str">
            <v>A2</v>
          </cell>
          <cell r="F360" t="str">
            <v>A2</v>
          </cell>
        </row>
        <row r="361">
          <cell r="B361" t="str">
            <v>Nguyễn Tứ Cảnh</v>
          </cell>
          <cell r="C361" t="str">
            <v>01018003</v>
          </cell>
          <cell r="D361" t="str">
            <v>A3</v>
          </cell>
          <cell r="E361" t="str">
            <v>A4</v>
          </cell>
          <cell r="F361" t="str">
            <v>A4</v>
          </cell>
        </row>
        <row r="362">
          <cell r="B362" t="str">
            <v>Đặng Thu Hà</v>
          </cell>
          <cell r="C362" t="str">
            <v>01018002</v>
          </cell>
          <cell r="D362" t="str">
            <v>A2</v>
          </cell>
          <cell r="E362" t="str">
            <v>A3</v>
          </cell>
          <cell r="F362" t="str">
            <v>A3</v>
          </cell>
        </row>
        <row r="363">
          <cell r="B363" t="str">
            <v>Trần Thị Diễm Thúy</v>
          </cell>
          <cell r="C363" t="str">
            <v>01018005</v>
          </cell>
          <cell r="D363" t="str">
            <v>A2</v>
          </cell>
          <cell r="E363" t="str">
            <v>A2</v>
          </cell>
          <cell r="F363" t="str">
            <v>A2</v>
          </cell>
        </row>
        <row r="364">
          <cell r="B364" t="str">
            <v>Hợp đồng trường</v>
          </cell>
          <cell r="F364">
            <v>3</v>
          </cell>
        </row>
        <row r="365">
          <cell r="B365" t="str">
            <v>Nguyễn Thị Trang</v>
          </cell>
          <cell r="C365" t="str">
            <v>01018008</v>
          </cell>
          <cell r="D365" t="str">
            <v>A2</v>
          </cell>
          <cell r="E365" t="str">
            <v>A2</v>
          </cell>
          <cell r="F365" t="str">
            <v>A2</v>
          </cell>
        </row>
        <row r="366">
          <cell r="B366" t="str">
            <v>Hà Thị Hậu</v>
          </cell>
          <cell r="C366" t="str">
            <v>01018007</v>
          </cell>
          <cell r="D366" t="str">
            <v>A2</v>
          </cell>
          <cell r="E366" t="str">
            <v>A2</v>
          </cell>
          <cell r="F366" t="str">
            <v>A2</v>
          </cell>
        </row>
        <row r="367">
          <cell r="B367" t="str">
            <v>Lư Diễm Phúc</v>
          </cell>
          <cell r="C367" t="str">
            <v>01018009</v>
          </cell>
          <cell r="D367" t="str">
            <v>A2</v>
          </cell>
          <cell r="E367" t="str">
            <v>A3</v>
          </cell>
          <cell r="F367" t="str">
            <v>A3</v>
          </cell>
        </row>
        <row r="368">
          <cell r="B368" t="str">
            <v>TRUNG TÂM ĐÀO TẠO VÀ QUẢN LÝ THIẾT BỊ</v>
          </cell>
          <cell r="D368">
            <v>10</v>
          </cell>
          <cell r="F368">
            <v>10</v>
          </cell>
        </row>
        <row r="369">
          <cell r="B369" t="str">
            <v>Viên chức</v>
          </cell>
          <cell r="F369">
            <v>6</v>
          </cell>
        </row>
        <row r="370">
          <cell r="B370" t="str">
            <v>Lương Xuân Thịnh</v>
          </cell>
          <cell r="C370" t="str">
            <v>01004005</v>
          </cell>
          <cell r="D370" t="str">
            <v>A1</v>
          </cell>
          <cell r="E370" t="str">
            <v>A1</v>
          </cell>
          <cell r="F370" t="str">
            <v>A1</v>
          </cell>
        </row>
        <row r="371">
          <cell r="B371" t="str">
            <v>Nguyễn Cao Thắng</v>
          </cell>
          <cell r="C371" t="str">
            <v>01002021</v>
          </cell>
          <cell r="D371" t="str">
            <v>A2</v>
          </cell>
          <cell r="E371" t="str">
            <v>A2</v>
          </cell>
          <cell r="F371" t="str">
            <v>A1</v>
          </cell>
        </row>
        <row r="372">
          <cell r="B372" t="str">
            <v>Đỗ Thị Tâm</v>
          </cell>
          <cell r="C372" t="str">
            <v>01019002</v>
          </cell>
          <cell r="D372" t="str">
            <v>A3</v>
          </cell>
          <cell r="E372" t="str">
            <v>A4</v>
          </cell>
          <cell r="F372" t="str">
            <v>A4</v>
          </cell>
        </row>
        <row r="373">
          <cell r="B373" t="str">
            <v>Bùi Đặng Hoàng Tuấn</v>
          </cell>
          <cell r="C373" t="str">
            <v>01015028</v>
          </cell>
          <cell r="D373" t="str">
            <v>A3</v>
          </cell>
          <cell r="E373" t="str">
            <v>A3</v>
          </cell>
          <cell r="F373" t="str">
            <v>A3</v>
          </cell>
        </row>
        <row r="374">
          <cell r="B374" t="str">
            <v>Võ Tấn Kiệt</v>
          </cell>
          <cell r="C374" t="str">
            <v>01008034</v>
          </cell>
          <cell r="D374" t="str">
            <v>A2</v>
          </cell>
          <cell r="E374" t="str">
            <v>A2</v>
          </cell>
          <cell r="F374" t="str">
            <v>A1</v>
          </cell>
        </row>
        <row r="375">
          <cell r="B375" t="str">
            <v>Nguyễn Tiến Việt Dũng</v>
          </cell>
          <cell r="C375" t="str">
            <v>01015026</v>
          </cell>
          <cell r="D375" t="str">
            <v>A3</v>
          </cell>
          <cell r="E375" t="str">
            <v>A3</v>
          </cell>
          <cell r="F375" t="str">
            <v>A3</v>
          </cell>
        </row>
        <row r="376">
          <cell r="B376" t="str">
            <v>Hợp đồng trường</v>
          </cell>
          <cell r="F376">
            <v>4</v>
          </cell>
        </row>
        <row r="377">
          <cell r="B377" t="str">
            <v>Lương Thị Thắm</v>
          </cell>
          <cell r="C377" t="str">
            <v>01019001</v>
          </cell>
          <cell r="D377" t="str">
            <v>A3</v>
          </cell>
          <cell r="E377" t="str">
            <v>A4</v>
          </cell>
          <cell r="F377" t="str">
            <v>A4</v>
          </cell>
        </row>
        <row r="378">
          <cell r="B378" t="str">
            <v>Đỗ Công Thành</v>
          </cell>
          <cell r="C378" t="str">
            <v>01005005</v>
          </cell>
          <cell r="D378" t="str">
            <v>A2</v>
          </cell>
          <cell r="E378" t="str">
            <v>A2</v>
          </cell>
          <cell r="F378" t="str">
            <v>A1</v>
          </cell>
        </row>
        <row r="379">
          <cell r="B379" t="str">
            <v>Nguyễn Xuân Lợi</v>
          </cell>
          <cell r="C379" t="str">
            <v>01017008</v>
          </cell>
          <cell r="D379" t="str">
            <v>A3</v>
          </cell>
          <cell r="E379" t="str">
            <v>A3</v>
          </cell>
          <cell r="F379" t="str">
            <v>A3</v>
          </cell>
        </row>
        <row r="380">
          <cell r="B380" t="str">
            <v>Nguyễn Hoàng Hải</v>
          </cell>
          <cell r="C380" t="str">
            <v>01019003</v>
          </cell>
          <cell r="D380" t="str">
            <v>A4</v>
          </cell>
          <cell r="E380" t="str">
            <v>A4</v>
          </cell>
          <cell r="F380" t="str">
            <v>A4</v>
          </cell>
        </row>
        <row r="381">
          <cell r="B381" t="str">
            <v>TRUNG TÂM Y TẾ</v>
          </cell>
          <cell r="D381">
            <v>3</v>
          </cell>
          <cell r="F381">
            <v>3</v>
          </cell>
        </row>
        <row r="382">
          <cell r="B382" t="str">
            <v>Viên chức</v>
          </cell>
          <cell r="F382">
            <v>2</v>
          </cell>
        </row>
        <row r="383">
          <cell r="B383" t="str">
            <v>Trang Thị Xuân Uyên</v>
          </cell>
          <cell r="C383" t="str">
            <v>01021001</v>
          </cell>
          <cell r="D383" t="str">
            <v>A2</v>
          </cell>
          <cell r="E383" t="str">
            <v>A2</v>
          </cell>
          <cell r="F383" t="str">
            <v>A3</v>
          </cell>
        </row>
        <row r="384">
          <cell r="B384" t="str">
            <v>Bùi Thị Lan Anh</v>
          </cell>
          <cell r="C384" t="str">
            <v>01021003</v>
          </cell>
          <cell r="D384" t="str">
            <v>A2</v>
          </cell>
          <cell r="E384" t="str">
            <v>A2</v>
          </cell>
          <cell r="F384" t="str">
            <v>A2</v>
          </cell>
        </row>
        <row r="385">
          <cell r="B385" t="str">
            <v>Hợp đồng trường</v>
          </cell>
          <cell r="F385">
            <v>1</v>
          </cell>
        </row>
        <row r="386">
          <cell r="B386" t="str">
            <v>Lê Thị Huyền</v>
          </cell>
          <cell r="C386" t="str">
            <v>01021004</v>
          </cell>
          <cell r="D386" t="str">
            <v>A2</v>
          </cell>
          <cell r="E386" t="str">
            <v>A2</v>
          </cell>
          <cell r="F386" t="str">
            <v>A2</v>
          </cell>
        </row>
        <row r="387">
          <cell r="B387" t="str">
            <v>TRUNG TÂM QUAN HỆ DOANH NGHIỆP</v>
          </cell>
          <cell r="D387">
            <v>2</v>
          </cell>
          <cell r="F387">
            <v>2</v>
          </cell>
        </row>
        <row r="388">
          <cell r="B388" t="str">
            <v>Viên chức</v>
          </cell>
          <cell r="F388">
            <v>2</v>
          </cell>
        </row>
        <row r="389">
          <cell r="B389" t="str">
            <v>Nguyễn Văn Chiến</v>
          </cell>
          <cell r="C389" t="str">
            <v>01007008</v>
          </cell>
          <cell r="D389" t="str">
            <v>A2</v>
          </cell>
          <cell r="E389" t="str">
            <v>A2</v>
          </cell>
          <cell r="F389" t="str">
            <v>A3</v>
          </cell>
        </row>
        <row r="390">
          <cell r="B390" t="str">
            <v>Nguyễn Thùy Dương</v>
          </cell>
          <cell r="C390" t="str">
            <v>01014012</v>
          </cell>
          <cell r="D390" t="str">
            <v>A3</v>
          </cell>
          <cell r="E390" t="str">
            <v>A3</v>
          </cell>
          <cell r="F390" t="str">
            <v>A3</v>
          </cell>
        </row>
        <row r="391">
          <cell r="B391" t="str">
            <v>TRUNG TÂM ĐIỀU HÀNH VÀ QLDL</v>
          </cell>
          <cell r="D391">
            <v>7</v>
          </cell>
          <cell r="F391">
            <v>7</v>
          </cell>
        </row>
        <row r="392">
          <cell r="B392" t="str">
            <v>Viên chức</v>
          </cell>
          <cell r="F392">
            <v>4</v>
          </cell>
        </row>
        <row r="393">
          <cell r="B393" t="str">
            <v>Nguyễn Hữu Thiện</v>
          </cell>
          <cell r="C393" t="str">
            <v>01017003</v>
          </cell>
          <cell r="D393" t="str">
            <v>A2</v>
          </cell>
          <cell r="E393" t="str">
            <v>A3</v>
          </cell>
          <cell r="F393" t="str">
            <v>A2</v>
          </cell>
        </row>
        <row r="394">
          <cell r="B394" t="str">
            <v>Trương Thị Hồng</v>
          </cell>
          <cell r="C394" t="str">
            <v>01023002</v>
          </cell>
          <cell r="D394" t="str">
            <v>A2</v>
          </cell>
          <cell r="E394" t="str">
            <v>A1</v>
          </cell>
          <cell r="F394" t="str">
            <v>A1</v>
          </cell>
        </row>
        <row r="395">
          <cell r="B395" t="str">
            <v>Vương Hội Khánh</v>
          </cell>
          <cell r="C395" t="str">
            <v>01017010</v>
          </cell>
          <cell r="D395" t="str">
            <v>A2</v>
          </cell>
          <cell r="E395" t="str">
            <v>A2</v>
          </cell>
          <cell r="F395" t="str">
            <v>A2</v>
          </cell>
        </row>
        <row r="396">
          <cell r="B396" t="str">
            <v>Trương Hữu Lộc</v>
          </cell>
          <cell r="C396" t="str">
            <v>01018004</v>
          </cell>
          <cell r="D396" t="str">
            <v>A2</v>
          </cell>
          <cell r="E396" t="str">
            <v>A2</v>
          </cell>
          <cell r="F396" t="str">
            <v>A1</v>
          </cell>
        </row>
        <row r="397">
          <cell r="B397" t="str">
            <v>Hợp đồng trường</v>
          </cell>
          <cell r="F397">
            <v>3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N BC"/>
      <sheetName val="NH BC"/>
      <sheetName val="CN HĐ"/>
      <sheetName val="NH HĐ"/>
      <sheetName val="BGH + TCHCTH"/>
      <sheetName val="TRẠM Y TẾ"/>
      <sheetName val="KẾ TOÁN"/>
      <sheetName val="KHVT"/>
      <sheetName val="NH TC"/>
      <sheetName val="SV"/>
      <sheetName val="SV (3)"/>
      <sheetName val="ATM"/>
      <sheetName val="Sheet1"/>
      <sheetName val="TS"/>
      <sheetName val="Diem"/>
      <sheetName val="Ben"/>
    </sheetNames>
    <sheetDataSet>
      <sheetData sheetId="0">
        <row r="10">
          <cell r="H10" t="str">
            <v>Phạm Hữu Lộc</v>
          </cell>
          <cell r="J10">
            <v>28</v>
          </cell>
        </row>
        <row r="11">
          <cell r="H11" t="str">
            <v>Đinh Văn Đệ</v>
          </cell>
          <cell r="J11">
            <v>28</v>
          </cell>
        </row>
        <row r="12">
          <cell r="H12" t="str">
            <v>Đinh Hồng Minh</v>
          </cell>
          <cell r="J12">
            <v>25</v>
          </cell>
          <cell r="M12" t="str">
            <v>Trừ 1 ngày nghỉ phép 29/12</v>
          </cell>
        </row>
        <row r="13">
          <cell r="H13" t="str">
            <v>Châu Văn Bảo</v>
          </cell>
          <cell r="J13">
            <v>27</v>
          </cell>
        </row>
        <row r="14">
          <cell r="H14" t="str">
            <v>Lâm Viết Dũng</v>
          </cell>
          <cell r="J14">
            <v>29</v>
          </cell>
        </row>
        <row r="15">
          <cell r="H15" t="str">
            <v>Lưu Hoàng Hải Yến</v>
          </cell>
          <cell r="J15">
            <v>21</v>
          </cell>
          <cell r="M15" t="str">
            <v>Trừ 1 ngày nghỉ phép 1/12</v>
          </cell>
        </row>
        <row r="16">
          <cell r="H16" t="str">
            <v>Huỳnh Thị Minh Ly</v>
          </cell>
          <cell r="J16">
            <v>26.5</v>
          </cell>
        </row>
        <row r="17">
          <cell r="H17" t="str">
            <v>Nguyễn Văn Chì</v>
          </cell>
          <cell r="J17">
            <v>21</v>
          </cell>
        </row>
        <row r="18">
          <cell r="H18" t="str">
            <v>Nguyễn Thị Vân</v>
          </cell>
          <cell r="J18">
            <v>24</v>
          </cell>
        </row>
        <row r="19">
          <cell r="H19" t="str">
            <v>Phan Thị Ngọc Phượng</v>
          </cell>
          <cell r="J19">
            <v>23</v>
          </cell>
        </row>
        <row r="20">
          <cell r="H20" t="str">
            <v>Trần Thị Ánh Phượng</v>
          </cell>
          <cell r="J20">
            <v>21.5</v>
          </cell>
        </row>
        <row r="21">
          <cell r="H21" t="str">
            <v>Thân Thị Nhung</v>
          </cell>
          <cell r="J21">
            <v>21.5</v>
          </cell>
        </row>
        <row r="22">
          <cell r="H22" t="str">
            <v>Trần Thị Phương Oanh</v>
          </cell>
          <cell r="J22">
            <v>21.5</v>
          </cell>
        </row>
        <row r="23">
          <cell r="H23" t="str">
            <v>Vũ Như Quỳnh</v>
          </cell>
          <cell r="J23">
            <v>23</v>
          </cell>
        </row>
        <row r="24">
          <cell r="H24" t="str">
            <v>Nguyễn Thị Bích Liễu</v>
          </cell>
          <cell r="J24">
            <v>22</v>
          </cell>
          <cell r="M24" t="str">
            <v>Trừ 1 ngày nghỉ phép 25/12</v>
          </cell>
        </row>
        <row r="25">
          <cell r="H25" t="str">
            <v>Lê Thị Hải Đăng</v>
          </cell>
          <cell r="J25">
            <v>23</v>
          </cell>
        </row>
        <row r="26">
          <cell r="H26" t="str">
            <v>Lê Quang Liêm</v>
          </cell>
          <cell r="J26">
            <v>26</v>
          </cell>
        </row>
        <row r="27">
          <cell r="H27" t="str">
            <v>Nguyễn Văn Thành</v>
          </cell>
          <cell r="J27">
            <v>26</v>
          </cell>
        </row>
        <row r="28">
          <cell r="H28" t="str">
            <v>Phan Đức Long</v>
          </cell>
          <cell r="J28">
            <v>26</v>
          </cell>
        </row>
        <row r="29">
          <cell r="H29" t="str">
            <v>Ninh Đỗ Hiệp</v>
          </cell>
          <cell r="J29">
            <v>21</v>
          </cell>
        </row>
        <row r="30">
          <cell r="H30" t="str">
            <v>Nguyễn Trọng Phú</v>
          </cell>
          <cell r="J30">
            <v>23</v>
          </cell>
        </row>
        <row r="31">
          <cell r="H31" t="str">
            <v>Lê Hồng Anh Tuấn</v>
          </cell>
          <cell r="J31">
            <v>22</v>
          </cell>
        </row>
        <row r="32">
          <cell r="H32" t="str">
            <v>Giáp Văn Thịnh</v>
          </cell>
          <cell r="J32">
            <v>21</v>
          </cell>
        </row>
        <row r="33">
          <cell r="H33" t="str">
            <v>Vũ Ngọc Quang</v>
          </cell>
          <cell r="J33">
            <v>21</v>
          </cell>
        </row>
        <row r="34">
          <cell r="H34" t="str">
            <v>Bùi Thị Dương</v>
          </cell>
          <cell r="J34">
            <v>23</v>
          </cell>
        </row>
        <row r="35">
          <cell r="H35" t="str">
            <v>Phan Hữu Tước</v>
          </cell>
          <cell r="J35">
            <v>25</v>
          </cell>
          <cell r="M35" t="str">
            <v>Cộng 4 ngày đi học</v>
          </cell>
        </row>
        <row r="36">
          <cell r="H36" t="str">
            <v>Trang Thị Xuân Uyên</v>
          </cell>
          <cell r="J36">
            <v>26</v>
          </cell>
        </row>
        <row r="37">
          <cell r="H37" t="str">
            <v>Bùi Thị Lan Anh</v>
          </cell>
          <cell r="J37">
            <v>26</v>
          </cell>
        </row>
        <row r="38">
          <cell r="H38" t="str">
            <v>Nguyễn Kính</v>
          </cell>
          <cell r="J38">
            <v>26</v>
          </cell>
        </row>
        <row r="39">
          <cell r="H39" t="str">
            <v>Võ Thị Lệ Trân</v>
          </cell>
          <cell r="J39">
            <v>26</v>
          </cell>
        </row>
        <row r="40">
          <cell r="H40" t="str">
            <v>Trần Thị Minh Thoa</v>
          </cell>
          <cell r="J40">
            <v>25</v>
          </cell>
        </row>
        <row r="41">
          <cell r="H41" t="str">
            <v>Hồng Mộng Tuyết Dung</v>
          </cell>
          <cell r="J41">
            <v>26</v>
          </cell>
        </row>
        <row r="42">
          <cell r="H42" t="str">
            <v>Nguyễn Thị Hồng Thắm</v>
          </cell>
          <cell r="J42">
            <v>25</v>
          </cell>
        </row>
        <row r="43">
          <cell r="H43" t="str">
            <v>Lê Xuân Thiện</v>
          </cell>
          <cell r="J43">
            <v>23</v>
          </cell>
          <cell r="M43" t="str">
            <v>Trừ 1 ngày nghỉ phép 25/12</v>
          </cell>
        </row>
        <row r="44">
          <cell r="H44" t="str">
            <v>Nguyễn Ngọc Hiệp</v>
          </cell>
          <cell r="J44">
            <v>26</v>
          </cell>
        </row>
        <row r="45">
          <cell r="H45" t="str">
            <v>Nguyễn Tất Thắng</v>
          </cell>
          <cell r="J45">
            <v>22</v>
          </cell>
        </row>
        <row r="46">
          <cell r="H46" t="str">
            <v>Trần Thị Thu Hà</v>
          </cell>
          <cell r="J46">
            <v>25</v>
          </cell>
        </row>
        <row r="47">
          <cell r="H47" t="str">
            <v>Phạm Thị Lê Chi</v>
          </cell>
          <cell r="J47">
            <v>21</v>
          </cell>
        </row>
        <row r="48">
          <cell r="H48" t="str">
            <v>Nguyễn Thị Kim Anh</v>
          </cell>
          <cell r="J48">
            <v>22</v>
          </cell>
          <cell r="M48" t="str">
            <v>Trừ 1 ngày nghỉ phép 5/12</v>
          </cell>
        </row>
        <row r="49">
          <cell r="H49" t="str">
            <v>Mai Thu Hương</v>
          </cell>
          <cell r="J49">
            <v>21</v>
          </cell>
        </row>
        <row r="50">
          <cell r="H50" t="str">
            <v>Nguyễn Thành Nam</v>
          </cell>
          <cell r="J50">
            <v>24.5</v>
          </cell>
        </row>
        <row r="51">
          <cell r="H51" t="str">
            <v>Quách Minh Thử</v>
          </cell>
          <cell r="J51">
            <v>24.5</v>
          </cell>
        </row>
        <row r="52">
          <cell r="H52" t="str">
            <v>Võ Thị Xuân Thơ</v>
          </cell>
          <cell r="J52">
            <v>23.5</v>
          </cell>
        </row>
        <row r="53">
          <cell r="H53" t="str">
            <v>Mai Nguyễn Hoàng Yến</v>
          </cell>
          <cell r="J53">
            <v>23</v>
          </cell>
        </row>
        <row r="54">
          <cell r="H54" t="str">
            <v>Nguyễn Thị Hải Hà</v>
          </cell>
          <cell r="J54">
            <v>23</v>
          </cell>
        </row>
        <row r="55">
          <cell r="H55" t="str">
            <v>Nguyễn Thị Thanh Thảo</v>
          </cell>
          <cell r="J55">
            <v>21</v>
          </cell>
          <cell r="M55" t="str">
            <v>Trừ 2 ngày nghỉ phép 1+8/12</v>
          </cell>
        </row>
        <row r="56">
          <cell r="H56" t="str">
            <v>Thái Thị My Sa</v>
          </cell>
          <cell r="J56">
            <v>22</v>
          </cell>
        </row>
        <row r="57">
          <cell r="H57" t="str">
            <v>Giáp Thị Vượng</v>
          </cell>
          <cell r="J57">
            <v>22.5</v>
          </cell>
        </row>
        <row r="58">
          <cell r="H58" t="str">
            <v>Huỳnh Thị Cẩm Hoa</v>
          </cell>
          <cell r="J58">
            <v>21</v>
          </cell>
          <cell r="M58" t="str">
            <v>Trừ 1 ngày nghỉ phép 12/12</v>
          </cell>
        </row>
        <row r="59">
          <cell r="H59" t="str">
            <v>Nguyễn Thị Thùy</v>
          </cell>
          <cell r="J59">
            <v>24</v>
          </cell>
        </row>
        <row r="60">
          <cell r="H60" t="str">
            <v>Nguyễn Thị Ngọc Anh</v>
          </cell>
          <cell r="J60">
            <v>22</v>
          </cell>
          <cell r="M60" t="str">
            <v>Trừ 1 ngày nghỉ phép 13/11</v>
          </cell>
        </row>
        <row r="61">
          <cell r="H61" t="str">
            <v>Nguyễn Chí Nhân</v>
          </cell>
          <cell r="J61">
            <v>25</v>
          </cell>
        </row>
        <row r="62">
          <cell r="H62" t="str">
            <v>Nguyễn Thị Kim Dung</v>
          </cell>
          <cell r="J62">
            <v>22</v>
          </cell>
        </row>
        <row r="63">
          <cell r="H63" t="str">
            <v>Nguyễn Thanh Sơn</v>
          </cell>
          <cell r="J63">
            <v>21</v>
          </cell>
        </row>
        <row r="64">
          <cell r="H64" t="str">
            <v>Lương Minh Dũng</v>
          </cell>
          <cell r="J64">
            <v>22</v>
          </cell>
        </row>
        <row r="65">
          <cell r="H65" t="str">
            <v>Nguyễn Thị Tuyết</v>
          </cell>
          <cell r="J65">
            <v>21</v>
          </cell>
        </row>
        <row r="66">
          <cell r="H66" t="str">
            <v>Vũ Thị Thu Thủy</v>
          </cell>
          <cell r="J66">
            <v>22</v>
          </cell>
        </row>
        <row r="67">
          <cell r="H67" t="str">
            <v>Nguyễn Trọng Nghĩa</v>
          </cell>
          <cell r="J67">
            <v>21</v>
          </cell>
        </row>
        <row r="68">
          <cell r="H68" t="str">
            <v>Nguyễn Văn Chiến</v>
          </cell>
          <cell r="J68">
            <v>25</v>
          </cell>
        </row>
        <row r="69">
          <cell r="H69" t="str">
            <v>Nguyễn Thùy Dương</v>
          </cell>
          <cell r="J69">
            <v>22</v>
          </cell>
        </row>
        <row r="70">
          <cell r="H70" t="str">
            <v>Nguyễn Hữu Thiện</v>
          </cell>
          <cell r="J70">
            <v>28</v>
          </cell>
        </row>
        <row r="71">
          <cell r="H71" t="str">
            <v>Vương Hội Khánh</v>
          </cell>
          <cell r="J71">
            <v>23</v>
          </cell>
        </row>
        <row r="72">
          <cell r="H72" t="str">
            <v>Trương Hữu Lộc</v>
          </cell>
          <cell r="J72">
            <v>24</v>
          </cell>
        </row>
        <row r="73">
          <cell r="H73" t="str">
            <v>Trương Thị Hồng</v>
          </cell>
          <cell r="J73">
            <v>26</v>
          </cell>
        </row>
        <row r="74">
          <cell r="H74" t="str">
            <v>Lương Xuân Thịnh</v>
          </cell>
          <cell r="J74">
            <v>31</v>
          </cell>
        </row>
        <row r="75">
          <cell r="H75" t="str">
            <v>Nguyễn Cao Thắng</v>
          </cell>
          <cell r="J75">
            <v>31</v>
          </cell>
        </row>
        <row r="76">
          <cell r="H76" t="str">
            <v>Đỗ Thị Tâm</v>
          </cell>
          <cell r="J76">
            <v>27</v>
          </cell>
        </row>
        <row r="77">
          <cell r="H77" t="str">
            <v>Nguyễn Tiến Việt Dũng</v>
          </cell>
          <cell r="J77">
            <v>27</v>
          </cell>
        </row>
        <row r="78">
          <cell r="H78" t="str">
            <v>Bùi Đặng Hoàng Tuấn</v>
          </cell>
          <cell r="J78">
            <v>26</v>
          </cell>
        </row>
        <row r="79">
          <cell r="H79" t="str">
            <v>Võ Tấn Kiệt</v>
          </cell>
          <cell r="J79">
            <v>24</v>
          </cell>
        </row>
        <row r="80">
          <cell r="H80" t="str">
            <v>Hồ Ngọc Chi</v>
          </cell>
          <cell r="J80">
            <v>20.5</v>
          </cell>
          <cell r="M80" t="str">
            <v>Trừ 1,5 ngày nghỉ phép</v>
          </cell>
        </row>
        <row r="81">
          <cell r="H81" t="str">
            <v>Nguyễn Tứ Cảnh</v>
          </cell>
          <cell r="J81">
            <v>21</v>
          </cell>
        </row>
        <row r="82">
          <cell r="H82" t="str">
            <v>Đặng Thu Hà</v>
          </cell>
          <cell r="J82">
            <v>22</v>
          </cell>
        </row>
        <row r="83">
          <cell r="H83" t="str">
            <v>Trần Thị Diễm Thúy</v>
          </cell>
          <cell r="J83">
            <v>21</v>
          </cell>
        </row>
        <row r="84">
          <cell r="H84" t="str">
            <v>Phạm Quang Vũ</v>
          </cell>
          <cell r="J84">
            <v>21</v>
          </cell>
        </row>
        <row r="85">
          <cell r="H85" t="str">
            <v>Trình Minh Phong</v>
          </cell>
          <cell r="J85">
            <v>21</v>
          </cell>
        </row>
        <row r="86">
          <cell r="H86" t="str">
            <v>Trần Ngọc Tuấn</v>
          </cell>
          <cell r="J86">
            <v>21</v>
          </cell>
        </row>
        <row r="87">
          <cell r="H87" t="str">
            <v>Trịnh Hoàng Hiệp</v>
          </cell>
          <cell r="J87">
            <v>21</v>
          </cell>
        </row>
        <row r="88">
          <cell r="H88" t="str">
            <v>Phạm Quỳnh Như</v>
          </cell>
          <cell r="J88">
            <v>21</v>
          </cell>
        </row>
        <row r="89">
          <cell r="H89" t="str">
            <v>Lê Thị Thu Thảo</v>
          </cell>
          <cell r="J89">
            <v>21</v>
          </cell>
        </row>
        <row r="90">
          <cell r="H90" t="str">
            <v>Lưu Thị Thúy</v>
          </cell>
          <cell r="J90">
            <v>21</v>
          </cell>
        </row>
        <row r="91">
          <cell r="H91" t="str">
            <v>Nguyễn Thị Minh Thùy</v>
          </cell>
          <cell r="J91">
            <v>26</v>
          </cell>
          <cell r="M91" t="str">
            <v>Hỗ trợ công việc phòng KHTC</v>
          </cell>
        </row>
        <row r="92">
          <cell r="H92" t="str">
            <v>Nguyễn Mỹ Tiên</v>
          </cell>
          <cell r="J92">
            <v>21</v>
          </cell>
        </row>
        <row r="93">
          <cell r="H93" t="str">
            <v>Trần Thị Ngọc Dung</v>
          </cell>
          <cell r="J93">
            <v>21</v>
          </cell>
        </row>
        <row r="94">
          <cell r="H94" t="str">
            <v>Cao Xuân Giang</v>
          </cell>
          <cell r="J94">
            <v>21</v>
          </cell>
        </row>
        <row r="95">
          <cell r="H95" t="str">
            <v>Lê Thị Thúy Oanh</v>
          </cell>
          <cell r="J95">
            <v>21</v>
          </cell>
        </row>
        <row r="96">
          <cell r="H96" t="str">
            <v>Nguyễn Thị Thanh Hòa</v>
          </cell>
          <cell r="J96">
            <v>21</v>
          </cell>
        </row>
        <row r="97">
          <cell r="H97" t="str">
            <v>Huỳnh Kim Liên</v>
          </cell>
          <cell r="J97">
            <v>21</v>
          </cell>
        </row>
        <row r="98">
          <cell r="H98" t="str">
            <v>Nguyễn Huỳnh Lưu Phương</v>
          </cell>
          <cell r="J98">
            <v>21</v>
          </cell>
        </row>
        <row r="99">
          <cell r="H99" t="str">
            <v>Hồ Gia Bảo</v>
          </cell>
          <cell r="J99">
            <v>21</v>
          </cell>
        </row>
        <row r="100">
          <cell r="H100" t="str">
            <v>Lữ Xuân Trang</v>
          </cell>
          <cell r="J100">
            <v>21</v>
          </cell>
        </row>
        <row r="101">
          <cell r="H101" t="str">
            <v>Phạm Thị Thanh Thúy</v>
          </cell>
          <cell r="J101">
            <v>21</v>
          </cell>
        </row>
        <row r="102">
          <cell r="H102" t="str">
            <v>Đinh Thị Trâm</v>
          </cell>
          <cell r="J102">
            <v>21</v>
          </cell>
        </row>
        <row r="103">
          <cell r="H103" t="str">
            <v>Võ Thị Kim Thư</v>
          </cell>
          <cell r="J103">
            <v>21</v>
          </cell>
        </row>
        <row r="104">
          <cell r="H104" t="str">
            <v>Lê Hồng Ngọc My</v>
          </cell>
          <cell r="J104">
            <v>21</v>
          </cell>
        </row>
        <row r="105">
          <cell r="H105" t="str">
            <v>Nguyễn Hoàng Thanh Ngân</v>
          </cell>
          <cell r="M105" t="str">
            <v>Đi du học nước ngoài từ 28/2/2023</v>
          </cell>
        </row>
        <row r="106">
          <cell r="H106" t="str">
            <v>Nguyễn Ngọc Thọ</v>
          </cell>
          <cell r="J106">
            <v>21</v>
          </cell>
        </row>
        <row r="107">
          <cell r="H107" t="str">
            <v>Nguyễn Bạch Cẩm Dung</v>
          </cell>
          <cell r="J107">
            <v>21</v>
          </cell>
        </row>
        <row r="108">
          <cell r="H108" t="str">
            <v>Lâm Thị Phương Thùy</v>
          </cell>
          <cell r="J108">
            <v>21</v>
          </cell>
        </row>
        <row r="109">
          <cell r="H109" t="str">
            <v>Nguyễn Thị Hiền</v>
          </cell>
          <cell r="J109">
            <v>21</v>
          </cell>
        </row>
        <row r="110">
          <cell r="H110" t="str">
            <v>Chế Vân Cầm</v>
          </cell>
          <cell r="J110">
            <v>21</v>
          </cell>
        </row>
        <row r="111">
          <cell r="H111" t="str">
            <v>Trần Hồng Thảo</v>
          </cell>
          <cell r="J111">
            <v>21</v>
          </cell>
        </row>
        <row r="112">
          <cell r="H112" t="str">
            <v>Lê Thị Phương Thảo</v>
          </cell>
          <cell r="J112">
            <v>21</v>
          </cell>
        </row>
        <row r="113">
          <cell r="H113" t="str">
            <v>Bùi Thị Ngọc Sương</v>
          </cell>
          <cell r="J113">
            <v>21</v>
          </cell>
        </row>
        <row r="114">
          <cell r="H114" t="str">
            <v>Nguyễn Thị Nhuận</v>
          </cell>
          <cell r="J114">
            <v>21</v>
          </cell>
        </row>
        <row r="115">
          <cell r="H115" t="str">
            <v>Nguyễn Thị Huyền Nga</v>
          </cell>
          <cell r="J115">
            <v>21</v>
          </cell>
        </row>
        <row r="116">
          <cell r="H116" t="str">
            <v>Nguyễn Phương Hà</v>
          </cell>
          <cell r="J116">
            <v>21</v>
          </cell>
        </row>
        <row r="117">
          <cell r="H117" t="str">
            <v>Trịnh Khắc Vũ</v>
          </cell>
          <cell r="J117">
            <v>21</v>
          </cell>
        </row>
        <row r="118">
          <cell r="H118" t="str">
            <v>Lê Minh Phong</v>
          </cell>
          <cell r="J118">
            <v>21</v>
          </cell>
        </row>
        <row r="119">
          <cell r="H119" t="str">
            <v>Nguyễn Văn Đông</v>
          </cell>
          <cell r="J119">
            <v>21</v>
          </cell>
        </row>
        <row r="120">
          <cell r="H120" t="str">
            <v>Đặng Thị Kiến Trúc</v>
          </cell>
          <cell r="J120">
            <v>21</v>
          </cell>
        </row>
        <row r="121">
          <cell r="H121" t="str">
            <v>Nguyễn Thanh Tú</v>
          </cell>
          <cell r="J121">
            <v>21</v>
          </cell>
        </row>
        <row r="122">
          <cell r="H122" t="str">
            <v>Trần Thị Ánh Tuyết</v>
          </cell>
          <cell r="J122">
            <v>21</v>
          </cell>
        </row>
        <row r="123">
          <cell r="H123" t="str">
            <v>Lê Văn Bình</v>
          </cell>
          <cell r="J123">
            <v>21</v>
          </cell>
        </row>
        <row r="124">
          <cell r="H124" t="str">
            <v>Phạm Thị Thu Nga</v>
          </cell>
          <cell r="J124">
            <v>21</v>
          </cell>
        </row>
        <row r="125">
          <cell r="H125" t="str">
            <v>Nguyễn Thị Cẩm Thạch</v>
          </cell>
          <cell r="J125">
            <v>21</v>
          </cell>
        </row>
        <row r="126">
          <cell r="H126" t="str">
            <v>Hà Như Mai</v>
          </cell>
          <cell r="J126">
            <v>21</v>
          </cell>
        </row>
        <row r="127">
          <cell r="H127" t="str">
            <v>Nguyễn Thị Thủy</v>
          </cell>
          <cell r="J127">
            <v>21</v>
          </cell>
        </row>
        <row r="128">
          <cell r="H128" t="str">
            <v>Dương Đức Kiên</v>
          </cell>
          <cell r="J128">
            <v>21</v>
          </cell>
        </row>
        <row r="129">
          <cell r="H129" t="str">
            <v>Nguyễn Văn Hậu</v>
          </cell>
          <cell r="J129">
            <v>21</v>
          </cell>
        </row>
        <row r="130">
          <cell r="H130" t="str">
            <v>Lê Thái Hùng</v>
          </cell>
          <cell r="J130">
            <v>21</v>
          </cell>
        </row>
        <row r="131">
          <cell r="H131" t="str">
            <v>Nguyễn Phú Tân</v>
          </cell>
          <cell r="J131">
            <v>22</v>
          </cell>
        </row>
        <row r="132">
          <cell r="H132" t="str">
            <v>Nguyễn Mạnh Phương</v>
          </cell>
          <cell r="J132">
            <v>21</v>
          </cell>
        </row>
        <row r="133">
          <cell r="H133" t="str">
            <v>Giang Phi Hùng</v>
          </cell>
          <cell r="J133">
            <v>22</v>
          </cell>
        </row>
        <row r="134">
          <cell r="H134" t="str">
            <v>Ngô Thanh Điền</v>
          </cell>
          <cell r="J134">
            <v>22</v>
          </cell>
          <cell r="M134" t="str">
            <v xml:space="preserve">Cộng 1 ngày hỗ trợ khai mạc giải bóng đá SV </v>
          </cell>
        </row>
        <row r="135">
          <cell r="H135" t="str">
            <v>Nguyễn Thị Thu Hà</v>
          </cell>
          <cell r="J135">
            <v>21</v>
          </cell>
        </row>
        <row r="136">
          <cell r="H136" t="str">
            <v>Vương Thanh Thủy</v>
          </cell>
          <cell r="J136">
            <v>21</v>
          </cell>
        </row>
        <row r="137">
          <cell r="H137" t="str">
            <v>Nguyễn Thị Bảo Trân</v>
          </cell>
          <cell r="J137">
            <v>21</v>
          </cell>
        </row>
        <row r="138">
          <cell r="H138" t="str">
            <v>Nguyễn Thị Thu Tâm</v>
          </cell>
          <cell r="J138">
            <v>21</v>
          </cell>
        </row>
        <row r="139">
          <cell r="H139" t="str">
            <v>Nguyễn Thị Thanh Tú</v>
          </cell>
          <cell r="J139">
            <v>21</v>
          </cell>
        </row>
        <row r="140">
          <cell r="H140" t="str">
            <v>Võ Thị Hồng Lan</v>
          </cell>
          <cell r="J140">
            <v>21</v>
          </cell>
        </row>
        <row r="141">
          <cell r="H141" t="str">
            <v>Lê Nguyễn Mỹ Trâm</v>
          </cell>
          <cell r="J141">
            <v>21</v>
          </cell>
        </row>
        <row r="142">
          <cell r="H142" t="str">
            <v>Phạm Thị Thu Hiền</v>
          </cell>
          <cell r="J142">
            <v>21</v>
          </cell>
        </row>
        <row r="143">
          <cell r="H143" t="str">
            <v>Nguyễn Thiện Bình</v>
          </cell>
          <cell r="J143">
            <v>21</v>
          </cell>
        </row>
        <row r="144">
          <cell r="H144" t="str">
            <v>Trần Thanh Trúc</v>
          </cell>
          <cell r="J144">
            <v>21</v>
          </cell>
        </row>
        <row r="145">
          <cell r="H145" t="str">
            <v>Lâm Thị Phương Thảo</v>
          </cell>
          <cell r="J145">
            <v>21</v>
          </cell>
        </row>
        <row r="146">
          <cell r="H146" t="str">
            <v>Trần Hà Trang</v>
          </cell>
          <cell r="M146" t="str">
            <v>Nghỉ không hưởng lương</v>
          </cell>
        </row>
        <row r="147">
          <cell r="H147" t="str">
            <v>Lê Thu Hà</v>
          </cell>
          <cell r="J147">
            <v>21</v>
          </cell>
        </row>
        <row r="148">
          <cell r="H148" t="str">
            <v>Lê Thị Hồng Vân</v>
          </cell>
          <cell r="J148">
            <v>21</v>
          </cell>
        </row>
        <row r="149">
          <cell r="H149" t="str">
            <v>Nguyễn Ngọc Quỳnh</v>
          </cell>
          <cell r="J149">
            <v>21</v>
          </cell>
        </row>
        <row r="150">
          <cell r="H150" t="str">
            <v>Phan Thị Thùy Trang</v>
          </cell>
          <cell r="J150">
            <v>21</v>
          </cell>
        </row>
        <row r="151">
          <cell r="H151" t="str">
            <v>Lê Thị Mai Hường</v>
          </cell>
          <cell r="J151">
            <v>21</v>
          </cell>
        </row>
        <row r="152">
          <cell r="H152" t="str">
            <v>Nguyễn Thị Dinh</v>
          </cell>
          <cell r="J152">
            <v>21</v>
          </cell>
        </row>
        <row r="153">
          <cell r="H153" t="str">
            <v>Đỗ Thị Ngát</v>
          </cell>
          <cell r="J153">
            <v>21</v>
          </cell>
        </row>
        <row r="154">
          <cell r="H154" t="str">
            <v>Nguyễn Anh Kiệt</v>
          </cell>
          <cell r="J154">
            <v>21</v>
          </cell>
        </row>
        <row r="155">
          <cell r="H155" t="str">
            <v>Trần Thị Hồng Thu</v>
          </cell>
          <cell r="J155">
            <v>21</v>
          </cell>
        </row>
        <row r="156">
          <cell r="H156" t="str">
            <v>Đinh Thị Huyên</v>
          </cell>
          <cell r="J156">
            <v>21</v>
          </cell>
        </row>
        <row r="157">
          <cell r="H157" t="str">
            <v>Cao Thị Hồng Thắm</v>
          </cell>
          <cell r="J157">
            <v>7</v>
          </cell>
          <cell r="M157" t="str">
            <v>Nghỉ hộ sản hưởng chế độ BHXH từ 12/12/2023</v>
          </cell>
        </row>
        <row r="158">
          <cell r="H158" t="str">
            <v>Đỗ Thị Thơm</v>
          </cell>
          <cell r="J158">
            <v>21</v>
          </cell>
        </row>
        <row r="159">
          <cell r="H159" t="str">
            <v>Phạm Thị Vinh</v>
          </cell>
          <cell r="J159">
            <v>21</v>
          </cell>
        </row>
        <row r="160">
          <cell r="H160" t="str">
            <v>Hoàng Thị Trang</v>
          </cell>
          <cell r="J160">
            <v>21</v>
          </cell>
        </row>
        <row r="161">
          <cell r="H161" t="str">
            <v>Bùi Thành Dũng</v>
          </cell>
          <cell r="J161">
            <v>21</v>
          </cell>
        </row>
        <row r="162">
          <cell r="H162" t="str">
            <v>Trần Văn Lượng</v>
          </cell>
          <cell r="J162">
            <v>21</v>
          </cell>
        </row>
        <row r="163">
          <cell r="H163" t="str">
            <v>Trần Việt Khánh</v>
          </cell>
          <cell r="J163">
            <v>21</v>
          </cell>
        </row>
        <row r="164">
          <cell r="H164" t="str">
            <v>Nguyễn Nguyên Hoàng Ngọc Quyên</v>
          </cell>
          <cell r="J164">
            <v>21</v>
          </cell>
        </row>
        <row r="165">
          <cell r="H165" t="str">
            <v>Vũ Thị Thái Linh</v>
          </cell>
          <cell r="J165">
            <v>21</v>
          </cell>
        </row>
        <row r="166">
          <cell r="H166" t="str">
            <v>Nguyễn Sanh Cường</v>
          </cell>
          <cell r="J166">
            <v>21</v>
          </cell>
        </row>
        <row r="167">
          <cell r="H167" t="str">
            <v>Lê Quý Hưng Quốc</v>
          </cell>
          <cell r="J167">
            <v>21</v>
          </cell>
        </row>
        <row r="168">
          <cell r="H168" t="str">
            <v>Bùi Văn Dũng</v>
          </cell>
          <cell r="J168">
            <v>21</v>
          </cell>
        </row>
        <row r="169">
          <cell r="H169" t="str">
            <v>Nguyễn Văn Minh</v>
          </cell>
          <cell r="J169">
            <v>21</v>
          </cell>
        </row>
        <row r="170">
          <cell r="H170" t="str">
            <v>Nguyễn Thị Khánh Thư</v>
          </cell>
          <cell r="J170">
            <v>21</v>
          </cell>
        </row>
        <row r="171">
          <cell r="H171" t="str">
            <v>Đỗ Thị Hải Yến</v>
          </cell>
          <cell r="J171">
            <v>21</v>
          </cell>
        </row>
        <row r="172">
          <cell r="H172" t="str">
            <v>Lê Hồng Thái</v>
          </cell>
          <cell r="J172">
            <v>21</v>
          </cell>
        </row>
        <row r="173">
          <cell r="H173" t="str">
            <v>Đặng Ngọc Đoàn</v>
          </cell>
          <cell r="J173">
            <v>21</v>
          </cell>
        </row>
        <row r="174">
          <cell r="H174" t="str">
            <v>Nguyễn Văn Đôn</v>
          </cell>
          <cell r="J174">
            <v>21</v>
          </cell>
        </row>
        <row r="175">
          <cell r="H175" t="str">
            <v>Huỳnh Quốc Dũng</v>
          </cell>
          <cell r="J175">
            <v>21</v>
          </cell>
        </row>
        <row r="176">
          <cell r="H176" t="str">
            <v>Dương Ngọc Vọng</v>
          </cell>
          <cell r="J176">
            <v>21</v>
          </cell>
        </row>
        <row r="177">
          <cell r="H177" t="str">
            <v>Nguyễn Ngọc Tuyên</v>
          </cell>
          <cell r="J177">
            <v>21</v>
          </cell>
        </row>
        <row r="178">
          <cell r="H178" t="str">
            <v>Nguyễn Cao Phong</v>
          </cell>
          <cell r="J178">
            <v>21</v>
          </cell>
        </row>
        <row r="179">
          <cell r="H179" t="str">
            <v>Mai Chiếm Tuấn</v>
          </cell>
          <cell r="J179">
            <v>21</v>
          </cell>
        </row>
        <row r="180">
          <cell r="H180" t="str">
            <v>Đỗ Tuấn Việt</v>
          </cell>
          <cell r="J180">
            <v>21</v>
          </cell>
        </row>
        <row r="181">
          <cell r="H181" t="str">
            <v>Trần Vĩnh Xuyên</v>
          </cell>
          <cell r="J181">
            <v>21</v>
          </cell>
        </row>
        <row r="182">
          <cell r="H182" t="str">
            <v>Đào Lê Phương Anh</v>
          </cell>
          <cell r="J182">
            <v>21</v>
          </cell>
        </row>
        <row r="183">
          <cell r="H183" t="str">
            <v>Nguyễn Duy Lộc</v>
          </cell>
          <cell r="J183">
            <v>21</v>
          </cell>
        </row>
        <row r="184">
          <cell r="H184" t="str">
            <v>Chung Trần Thế Vinh</v>
          </cell>
          <cell r="J184">
            <v>26</v>
          </cell>
        </row>
        <row r="185">
          <cell r="H185" t="str">
            <v>Đỗ Thị Phương Khanh</v>
          </cell>
          <cell r="J185">
            <v>21</v>
          </cell>
        </row>
        <row r="186">
          <cell r="H186" t="str">
            <v>Trương Thị Phương Hồng</v>
          </cell>
          <cell r="J186">
            <v>21</v>
          </cell>
        </row>
        <row r="187">
          <cell r="H187" t="str">
            <v>Dương Minh Chung</v>
          </cell>
          <cell r="J187">
            <v>21</v>
          </cell>
        </row>
        <row r="188">
          <cell r="H188" t="str">
            <v>Phan Văn Thành</v>
          </cell>
          <cell r="J188">
            <v>21</v>
          </cell>
        </row>
        <row r="189">
          <cell r="H189" t="str">
            <v>Vũ Đức Pháp</v>
          </cell>
          <cell r="J189">
            <v>21</v>
          </cell>
        </row>
        <row r="190">
          <cell r="H190" t="str">
            <v>Vũ Quang Khải</v>
          </cell>
          <cell r="J190">
            <v>21</v>
          </cell>
        </row>
        <row r="191">
          <cell r="H191" t="str">
            <v>Nguyễn Thanh Vũ</v>
          </cell>
          <cell r="J191">
            <v>21</v>
          </cell>
        </row>
        <row r="192">
          <cell r="H192" t="str">
            <v>Phan Thị Xuân Trang</v>
          </cell>
          <cell r="J192">
            <v>21</v>
          </cell>
        </row>
        <row r="193">
          <cell r="H193" t="str">
            <v>Trần Đình Khải</v>
          </cell>
          <cell r="J193">
            <v>21</v>
          </cell>
        </row>
        <row r="194">
          <cell r="H194" t="str">
            <v>Lư Thị Yến Vũ</v>
          </cell>
          <cell r="J194">
            <v>21</v>
          </cell>
        </row>
        <row r="195">
          <cell r="H195" t="str">
            <v>Nguyễn Tiến Dũng</v>
          </cell>
          <cell r="J195">
            <v>21</v>
          </cell>
        </row>
        <row r="196">
          <cell r="H196" t="str">
            <v>Nguyễn Thành Long</v>
          </cell>
          <cell r="J196">
            <v>21</v>
          </cell>
        </row>
        <row r="197">
          <cell r="H197" t="str">
            <v>Nguyễn Ngọc Quỳnh</v>
          </cell>
          <cell r="J197">
            <v>21</v>
          </cell>
        </row>
        <row r="198">
          <cell r="H198" t="str">
            <v>Nguyễn Duy Hải</v>
          </cell>
          <cell r="J198">
            <v>21</v>
          </cell>
        </row>
        <row r="199">
          <cell r="H199" t="str">
            <v>Bùi Anh Tuấn</v>
          </cell>
          <cell r="J199">
            <v>21</v>
          </cell>
        </row>
        <row r="200">
          <cell r="H200" t="str">
            <v>Trần Thị Hương</v>
          </cell>
          <cell r="J200">
            <v>21</v>
          </cell>
        </row>
        <row r="201">
          <cell r="H201" t="str">
            <v>Trần Minh Thông</v>
          </cell>
          <cell r="J201">
            <v>21</v>
          </cell>
        </row>
        <row r="202">
          <cell r="H202" t="str">
            <v>Nguyễn Thanh Vĩnh Phúc</v>
          </cell>
          <cell r="J202">
            <v>21</v>
          </cell>
        </row>
        <row r="203">
          <cell r="H203" t="str">
            <v>Võ Minh Quang</v>
          </cell>
          <cell r="J203">
            <v>21</v>
          </cell>
        </row>
        <row r="204">
          <cell r="H204" t="str">
            <v>Dương Thị Hồng</v>
          </cell>
          <cell r="J204">
            <v>21</v>
          </cell>
        </row>
        <row r="205">
          <cell r="H205" t="str">
            <v>Nguyễn Thanh Giang</v>
          </cell>
          <cell r="J205">
            <v>21</v>
          </cell>
        </row>
        <row r="206">
          <cell r="H206" t="str">
            <v>Nguyễn Hồng Phúc</v>
          </cell>
          <cell r="J206">
            <v>21</v>
          </cell>
        </row>
        <row r="207">
          <cell r="H207" t="str">
            <v>Nguyễn Văn Sơn</v>
          </cell>
          <cell r="J207">
            <v>21</v>
          </cell>
        </row>
        <row r="208">
          <cell r="H208" t="str">
            <v>Nguyễn Khắc Huy</v>
          </cell>
          <cell r="J208">
            <v>21</v>
          </cell>
        </row>
        <row r="209">
          <cell r="H209" t="str">
            <v>Võ Hoài Sơn</v>
          </cell>
          <cell r="J209">
            <v>21</v>
          </cell>
        </row>
        <row r="210">
          <cell r="H210" t="str">
            <v>Nguyễn Thị Xuân Chinh</v>
          </cell>
          <cell r="J210">
            <v>21</v>
          </cell>
        </row>
        <row r="211">
          <cell r="H211" t="str">
            <v>Nguyễn Duy Tân</v>
          </cell>
          <cell r="J211">
            <v>21</v>
          </cell>
        </row>
        <row r="212">
          <cell r="H212" t="str">
            <v>Tạ Minh Cường</v>
          </cell>
          <cell r="J212">
            <v>21</v>
          </cell>
        </row>
        <row r="213">
          <cell r="H213" t="str">
            <v>Phạm Minh Nghĩa</v>
          </cell>
          <cell r="J213">
            <v>21</v>
          </cell>
        </row>
        <row r="214">
          <cell r="H214" t="str">
            <v>Nguyễn Văn Yên</v>
          </cell>
          <cell r="J214">
            <v>21</v>
          </cell>
        </row>
        <row r="215">
          <cell r="H215" t="str">
            <v>Nguyễn Minh Đức</v>
          </cell>
          <cell r="J215">
            <v>21</v>
          </cell>
        </row>
        <row r="216">
          <cell r="H216" t="str">
            <v>Nguyễn Anh Tăng</v>
          </cell>
          <cell r="J216">
            <v>21</v>
          </cell>
        </row>
        <row r="217">
          <cell r="H217" t="str">
            <v>Lê Thế Huân</v>
          </cell>
          <cell r="J217">
            <v>21</v>
          </cell>
        </row>
        <row r="218">
          <cell r="H218" t="str">
            <v>Trần Trung Hiếu</v>
          </cell>
          <cell r="J218">
            <v>21</v>
          </cell>
        </row>
        <row r="219">
          <cell r="H219" t="str">
            <v>Trần Nguyên Bảo Trân</v>
          </cell>
          <cell r="J219">
            <v>21</v>
          </cell>
        </row>
        <row r="220">
          <cell r="H220" t="str">
            <v>Mạnh Lê Hoàn</v>
          </cell>
          <cell r="J220">
            <v>21</v>
          </cell>
        </row>
        <row r="221">
          <cell r="H221" t="str">
            <v>Ngô Hoàng Anh</v>
          </cell>
          <cell r="J221">
            <v>21</v>
          </cell>
        </row>
        <row r="222">
          <cell r="H222" t="str">
            <v>Nguyễn Thùy Linh</v>
          </cell>
          <cell r="J222">
            <v>21</v>
          </cell>
        </row>
        <row r="223">
          <cell r="H223" t="str">
            <v>Vũ Hạnh Chiêu</v>
          </cell>
          <cell r="J223">
            <v>21</v>
          </cell>
        </row>
        <row r="224">
          <cell r="H224" t="str">
            <v>Đỗ Huỳnh Thanh Phong</v>
          </cell>
          <cell r="J224">
            <v>21</v>
          </cell>
        </row>
        <row r="225">
          <cell r="H225" t="str">
            <v>Nguyễn Minh Đức Cường</v>
          </cell>
          <cell r="J225">
            <v>21</v>
          </cell>
        </row>
        <row r="226">
          <cell r="H226" t="str">
            <v>Huỳnh Ngọc Mai</v>
          </cell>
          <cell r="J226">
            <v>21</v>
          </cell>
        </row>
        <row r="227">
          <cell r="H227" t="str">
            <v>Nguyễn Hồng Đức</v>
          </cell>
          <cell r="J227">
            <v>21</v>
          </cell>
        </row>
        <row r="228">
          <cell r="H228" t="str">
            <v>Trần Công Tiến</v>
          </cell>
          <cell r="J228">
            <v>21</v>
          </cell>
        </row>
        <row r="229">
          <cell r="H229" t="str">
            <v>Nguyễn Trần Thanh Nhàn</v>
          </cell>
          <cell r="J229">
            <v>21</v>
          </cell>
        </row>
        <row r="230">
          <cell r="H230" t="str">
            <v>Tăng Cẩm Huê</v>
          </cell>
          <cell r="J230">
            <v>21</v>
          </cell>
        </row>
        <row r="231">
          <cell r="H231" t="str">
            <v>Trần Hiếu Trinh</v>
          </cell>
          <cell r="J231">
            <v>21</v>
          </cell>
        </row>
        <row r="232">
          <cell r="H232" t="str">
            <v>Nguyễn Thị Tố Nga</v>
          </cell>
          <cell r="J232">
            <v>21</v>
          </cell>
        </row>
        <row r="233">
          <cell r="H233" t="str">
            <v>Đặng Đức Minh</v>
          </cell>
          <cell r="J233">
            <v>21</v>
          </cell>
        </row>
        <row r="234">
          <cell r="H234" t="str">
            <v>Nguyễn Thị Ngọc Hiền</v>
          </cell>
          <cell r="J234">
            <v>21</v>
          </cell>
        </row>
        <row r="235">
          <cell r="H235" t="str">
            <v>Ngô Phong Cường</v>
          </cell>
          <cell r="J235">
            <v>21</v>
          </cell>
        </row>
        <row r="236">
          <cell r="H236" t="str">
            <v>Cao Văn Tuấn</v>
          </cell>
          <cell r="J236">
            <v>21</v>
          </cell>
        </row>
        <row r="237">
          <cell r="H237" t="str">
            <v>Trần Nam Anh</v>
          </cell>
          <cell r="J237">
            <v>21</v>
          </cell>
        </row>
        <row r="238">
          <cell r="H238" t="str">
            <v>Trần Giang Nam</v>
          </cell>
          <cell r="J238">
            <v>21</v>
          </cell>
        </row>
        <row r="239">
          <cell r="H239" t="str">
            <v>Phan Thanh Hoàng</v>
          </cell>
          <cell r="J239">
            <v>21</v>
          </cell>
        </row>
        <row r="240">
          <cell r="H240" t="str">
            <v>Huỳnh Duy An</v>
          </cell>
          <cell r="J240">
            <v>21</v>
          </cell>
        </row>
        <row r="241">
          <cell r="H241" t="str">
            <v>Nguyễn Khương Thành</v>
          </cell>
          <cell r="J241">
            <v>21</v>
          </cell>
        </row>
        <row r="242">
          <cell r="H242" t="str">
            <v>Nguyễn Anh Tuấn</v>
          </cell>
          <cell r="J242">
            <v>21</v>
          </cell>
        </row>
        <row r="243">
          <cell r="H243" t="str">
            <v>Võ Đắc Thịnh</v>
          </cell>
          <cell r="J243">
            <v>21</v>
          </cell>
        </row>
        <row r="244">
          <cell r="H244" t="str">
            <v>Nguyễn Hữu Mạnh</v>
          </cell>
          <cell r="J244">
            <v>21</v>
          </cell>
        </row>
        <row r="245">
          <cell r="H245" t="str">
            <v>Phan Anh Tuấn Kiệt</v>
          </cell>
          <cell r="J245">
            <v>21</v>
          </cell>
        </row>
        <row r="246">
          <cell r="H246" t="str">
            <v>Triệu Phú Nguyên</v>
          </cell>
          <cell r="J246">
            <v>21</v>
          </cell>
        </row>
        <row r="247">
          <cell r="H247" t="str">
            <v>Nguyễn Thành Đức</v>
          </cell>
          <cell r="J247">
            <v>21</v>
          </cell>
        </row>
        <row r="248">
          <cell r="H248" t="str">
            <v>Nguyễn Minh Thái</v>
          </cell>
          <cell r="J248">
            <v>21</v>
          </cell>
        </row>
        <row r="249">
          <cell r="H249" t="str">
            <v>Đặng Thái Sơn</v>
          </cell>
          <cell r="J249">
            <v>21</v>
          </cell>
        </row>
        <row r="250">
          <cell r="H250" t="str">
            <v>Nguyễn Thái Bình</v>
          </cell>
          <cell r="J250">
            <v>21</v>
          </cell>
        </row>
        <row r="251">
          <cell r="H251" t="str">
            <v>Kiều Trung Tín</v>
          </cell>
          <cell r="J251">
            <v>21</v>
          </cell>
        </row>
        <row r="252">
          <cell r="H252" t="str">
            <v>Trần Quốc Duy</v>
          </cell>
          <cell r="J252">
            <v>21</v>
          </cell>
        </row>
        <row r="253">
          <cell r="H253" t="str">
            <v>Hồ Văn Hóa</v>
          </cell>
          <cell r="J253">
            <v>21</v>
          </cell>
        </row>
        <row r="254">
          <cell r="H254" t="str">
            <v>Nguyễn Thanh Hùng</v>
          </cell>
          <cell r="J254">
            <v>21</v>
          </cell>
        </row>
        <row r="255">
          <cell r="H255" t="str">
            <v>Hà Quốc Bảo</v>
          </cell>
          <cell r="J255">
            <v>21</v>
          </cell>
        </row>
        <row r="256">
          <cell r="H256" t="str">
            <v>Hoàng Phúc Bảo</v>
          </cell>
          <cell r="J256">
            <v>21</v>
          </cell>
        </row>
        <row r="257">
          <cell r="H257" t="str">
            <v>Nguyễn Lương Tâm</v>
          </cell>
          <cell r="J257">
            <v>21</v>
          </cell>
        </row>
        <row r="258">
          <cell r="H258" t="str">
            <v>Trần Thế Sơn</v>
          </cell>
          <cell r="J258">
            <v>21</v>
          </cell>
        </row>
        <row r="259">
          <cell r="H259" t="str">
            <v>Trần Văn Đông</v>
          </cell>
          <cell r="J259">
            <v>21</v>
          </cell>
        </row>
        <row r="260">
          <cell r="H260" t="str">
            <v>Lý Văn Trung</v>
          </cell>
          <cell r="J260">
            <v>21</v>
          </cell>
        </row>
        <row r="261">
          <cell r="H261" t="str">
            <v>Đỗ Hoàng Duy</v>
          </cell>
          <cell r="J261">
            <v>21</v>
          </cell>
        </row>
        <row r="262">
          <cell r="H262" t="str">
            <v>Nguyễn Hoàng Vinh</v>
          </cell>
          <cell r="J262">
            <v>21</v>
          </cell>
        </row>
        <row r="263">
          <cell r="H263" t="str">
            <v>Bùi Trọng Tân</v>
          </cell>
          <cell r="J263">
            <v>21</v>
          </cell>
        </row>
        <row r="264">
          <cell r="H264" t="str">
            <v>Võ Quốc Duy</v>
          </cell>
          <cell r="J264">
            <v>21</v>
          </cell>
        </row>
        <row r="265">
          <cell r="H265" t="str">
            <v>Giang Văn Tiến</v>
          </cell>
          <cell r="J265">
            <v>21</v>
          </cell>
        </row>
        <row r="266">
          <cell r="H266" t="str">
            <v>Nguyễn Hữu Lương</v>
          </cell>
          <cell r="J266">
            <v>21</v>
          </cell>
        </row>
        <row r="267">
          <cell r="H267" t="str">
            <v>Huỳnh Đình Văn</v>
          </cell>
          <cell r="J267">
            <v>21</v>
          </cell>
        </row>
        <row r="268">
          <cell r="H268" t="str">
            <v>Đinh Đồng Hiệp</v>
          </cell>
          <cell r="J268">
            <v>21</v>
          </cell>
        </row>
        <row r="269">
          <cell r="H269" t="str">
            <v>Đặng Thế Huân</v>
          </cell>
          <cell r="J269">
            <v>21</v>
          </cell>
        </row>
        <row r="270">
          <cell r="H270" t="str">
            <v>Võ Anh Hào</v>
          </cell>
          <cell r="J270">
            <v>21</v>
          </cell>
        </row>
        <row r="271">
          <cell r="H271" t="str">
            <v>Phan Văn Hòa</v>
          </cell>
          <cell r="J271">
            <v>21</v>
          </cell>
        </row>
        <row r="272">
          <cell r="H272" t="str">
            <v>Trần Đình Khoa</v>
          </cell>
          <cell r="J272">
            <v>21</v>
          </cell>
        </row>
        <row r="273">
          <cell r="H273" t="str">
            <v>Đỗ Trọng Quý</v>
          </cell>
          <cell r="J273">
            <v>21</v>
          </cell>
        </row>
        <row r="274">
          <cell r="H274" t="str">
            <v>Nguyễn Vũ Xuân Thì</v>
          </cell>
          <cell r="J274">
            <v>21</v>
          </cell>
        </row>
        <row r="275">
          <cell r="H275" t="str">
            <v>Hoàng Văn Viết</v>
          </cell>
          <cell r="J275">
            <v>21</v>
          </cell>
        </row>
        <row r="276">
          <cell r="H276" t="str">
            <v>Nguyễn Thanh Dũng</v>
          </cell>
          <cell r="J276">
            <v>21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N"/>
      <sheetName val="NH"/>
      <sheetName val="CN mới"/>
      <sheetName val="THPT mới"/>
      <sheetName val="NH mới"/>
    </sheetNames>
    <sheetDataSet>
      <sheetData sheetId="0">
        <row r="8">
          <cell r="G8">
            <v>1390000</v>
          </cell>
        </row>
      </sheetData>
      <sheetData sheetId="1"/>
      <sheetData sheetId="2"/>
      <sheetData sheetId="3"/>
      <sheetData sheetId="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TVExcel"/>
    </sheetNames>
    <definedNames>
      <definedName name="DocSoUniH"/>
    </defined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J350"/>
  <sheetViews>
    <sheetView tabSelected="1" topLeftCell="A28" zoomScale="120" zoomScaleNormal="120" workbookViewId="0">
      <selection activeCell="Y16" sqref="Y16"/>
    </sheetView>
  </sheetViews>
  <sheetFormatPr defaultRowHeight="15"/>
  <cols>
    <col min="1" max="1" width="5.5703125" style="2" customWidth="1"/>
    <col min="2" max="2" width="23.85546875" style="2" customWidth="1"/>
    <col min="3" max="3" width="11.28515625" style="2" hidden="1" customWidth="1"/>
    <col min="4" max="4" width="17.7109375" style="2" hidden="1" customWidth="1"/>
    <col min="5" max="5" width="16" style="16" hidden="1" customWidth="1"/>
    <col min="6" max="6" width="10" style="2" hidden="1" customWidth="1"/>
    <col min="7" max="7" width="10.140625" style="115" hidden="1" customWidth="1"/>
    <col min="8" max="8" width="11" style="2" hidden="1" customWidth="1"/>
    <col min="9" max="9" width="6.42578125" style="2" hidden="1" customWidth="1"/>
    <col min="10" max="10" width="9.5703125" style="84" customWidth="1"/>
    <col min="11" max="11" width="14.85546875" style="368" hidden="1" customWidth="1"/>
    <col min="12" max="12" width="6.42578125" style="2" customWidth="1"/>
    <col min="13" max="13" width="15" style="2" customWidth="1"/>
    <col min="14" max="14" width="7.7109375" style="2" customWidth="1"/>
    <col min="15" max="15" width="9.140625" style="2" customWidth="1"/>
    <col min="16" max="16" width="14.85546875" style="2" customWidth="1"/>
    <col min="17" max="17" width="7.28515625" style="479" hidden="1" customWidth="1"/>
    <col min="18" max="18" width="11.85546875" style="2" customWidth="1"/>
    <col min="19" max="19" width="5.28515625" style="405" hidden="1" customWidth="1"/>
    <col min="20" max="20" width="8.140625" style="2" customWidth="1"/>
    <col min="21" max="21" width="12" style="2" customWidth="1"/>
    <col min="22" max="22" width="15" style="2" customWidth="1"/>
    <col min="23" max="23" width="4" style="2" hidden="1" customWidth="1"/>
    <col min="24" max="24" width="3.85546875" style="2" customWidth="1"/>
    <col min="25" max="25" width="24.85546875" style="101" customWidth="1"/>
    <col min="26" max="26" width="23.5703125" style="227" bestFit="1" customWidth="1"/>
    <col min="27" max="27" width="12.7109375" style="516" customWidth="1"/>
    <col min="28" max="28" width="17.85546875" style="2" customWidth="1"/>
    <col min="29" max="29" width="10.42578125" style="157" bestFit="1" customWidth="1"/>
    <col min="30" max="16384" width="9.140625" style="2"/>
  </cols>
  <sheetData>
    <row r="1" spans="1:39">
      <c r="A1" s="624" t="s">
        <v>492</v>
      </c>
      <c r="B1" s="624"/>
      <c r="C1" s="624"/>
      <c r="D1" s="624"/>
      <c r="E1" s="624"/>
      <c r="F1" s="624"/>
      <c r="G1" s="624"/>
      <c r="H1" s="624"/>
      <c r="I1" s="624"/>
      <c r="J1" s="624"/>
      <c r="K1" s="624"/>
      <c r="L1" s="624"/>
      <c r="N1" s="19"/>
      <c r="O1" s="19"/>
      <c r="P1" s="19"/>
      <c r="Q1" s="469"/>
      <c r="R1" s="622" t="s">
        <v>849</v>
      </c>
      <c r="S1" s="622"/>
      <c r="T1" s="622"/>
      <c r="U1" s="622"/>
      <c r="V1" s="622"/>
      <c r="W1" s="622"/>
      <c r="X1" s="622"/>
      <c r="Y1" s="622"/>
    </row>
    <row r="2" spans="1:39" ht="15" customHeight="1">
      <c r="A2" s="622" t="s">
        <v>1563</v>
      </c>
      <c r="B2" s="622"/>
      <c r="C2" s="622"/>
      <c r="D2" s="622"/>
      <c r="E2" s="622"/>
      <c r="F2" s="622"/>
      <c r="G2" s="622"/>
      <c r="H2" s="622"/>
      <c r="I2" s="622"/>
      <c r="J2" s="622"/>
      <c r="K2" s="622"/>
      <c r="L2" s="622"/>
      <c r="N2" s="19"/>
      <c r="O2" s="19"/>
      <c r="P2" s="19"/>
      <c r="Q2" s="469"/>
      <c r="R2" s="622" t="s">
        <v>851</v>
      </c>
      <c r="S2" s="622"/>
      <c r="T2" s="622"/>
      <c r="U2" s="622"/>
      <c r="V2" s="622"/>
      <c r="W2" s="622"/>
      <c r="X2" s="622"/>
      <c r="Y2" s="622"/>
    </row>
    <row r="3" spans="1:39" ht="16.5" customHeight="1">
      <c r="A3" s="622" t="s">
        <v>1564</v>
      </c>
      <c r="B3" s="622"/>
      <c r="C3" s="622"/>
      <c r="D3" s="622"/>
      <c r="E3" s="622"/>
      <c r="F3" s="622"/>
      <c r="G3" s="622"/>
      <c r="H3" s="622"/>
      <c r="I3" s="622"/>
      <c r="J3" s="622"/>
      <c r="K3" s="622"/>
      <c r="L3" s="622"/>
      <c r="M3" s="104"/>
      <c r="N3" s="18"/>
      <c r="O3" s="18"/>
      <c r="P3" s="17"/>
      <c r="Q3" s="470"/>
      <c r="R3" s="17"/>
      <c r="S3" s="397"/>
      <c r="T3" s="17"/>
      <c r="U3" s="17"/>
      <c r="V3" s="17"/>
      <c r="W3" s="17"/>
      <c r="X3" s="16"/>
    </row>
    <row r="4" spans="1:39" ht="9" customHeight="1">
      <c r="A4" s="194"/>
      <c r="B4" s="194"/>
      <c r="C4" s="194"/>
      <c r="D4" s="194"/>
      <c r="E4" s="194"/>
      <c r="F4" s="194"/>
      <c r="G4" s="194"/>
      <c r="H4" s="194"/>
      <c r="I4" s="194"/>
      <c r="J4" s="194"/>
      <c r="K4" s="194"/>
      <c r="L4" s="194"/>
      <c r="M4" s="104"/>
      <c r="N4" s="18"/>
      <c r="O4" s="18"/>
      <c r="P4" s="17"/>
      <c r="Q4" s="470"/>
      <c r="R4" s="17"/>
      <c r="S4" s="397"/>
      <c r="T4" s="17"/>
      <c r="U4" s="17"/>
      <c r="V4" s="17"/>
      <c r="W4" s="17"/>
      <c r="X4" s="16"/>
    </row>
    <row r="5" spans="1:39" ht="18.75" customHeight="1">
      <c r="A5" s="625" t="s">
        <v>2027</v>
      </c>
      <c r="B5" s="625"/>
      <c r="C5" s="625"/>
      <c r="D5" s="625"/>
      <c r="E5" s="625"/>
      <c r="F5" s="625"/>
      <c r="G5" s="625"/>
      <c r="H5" s="625"/>
      <c r="I5" s="625"/>
      <c r="J5" s="625"/>
      <c r="K5" s="625"/>
      <c r="L5" s="625"/>
      <c r="M5" s="625"/>
      <c r="N5" s="625"/>
      <c r="O5" s="625"/>
      <c r="P5" s="625"/>
      <c r="Q5" s="625"/>
      <c r="R5" s="625"/>
      <c r="S5" s="625"/>
      <c r="T5" s="625"/>
      <c r="U5" s="625"/>
      <c r="V5" s="625"/>
      <c r="W5" s="625"/>
      <c r="X5" s="625"/>
      <c r="Y5" s="625"/>
    </row>
    <row r="6" spans="1:39" ht="18.75" customHeight="1">
      <c r="A6" s="625" t="s">
        <v>1600</v>
      </c>
      <c r="B6" s="625"/>
      <c r="C6" s="625"/>
      <c r="D6" s="625"/>
      <c r="E6" s="625"/>
      <c r="F6" s="625"/>
      <c r="G6" s="625"/>
      <c r="H6" s="625"/>
      <c r="I6" s="625"/>
      <c r="J6" s="625"/>
      <c r="K6" s="625"/>
      <c r="L6" s="625"/>
      <c r="M6" s="625"/>
      <c r="N6" s="625"/>
      <c r="O6" s="625"/>
      <c r="P6" s="625"/>
      <c r="Q6" s="625"/>
      <c r="R6" s="625"/>
      <c r="S6" s="625"/>
      <c r="T6" s="625"/>
      <c r="U6" s="625"/>
      <c r="V6" s="625"/>
      <c r="W6" s="625"/>
      <c r="X6" s="625"/>
      <c r="Y6" s="625"/>
    </row>
    <row r="7" spans="1:39" ht="54" customHeight="1">
      <c r="A7" s="623" t="s">
        <v>2007</v>
      </c>
      <c r="B7" s="623"/>
      <c r="C7" s="623"/>
      <c r="D7" s="623"/>
      <c r="E7" s="623"/>
      <c r="F7" s="623"/>
      <c r="G7" s="623"/>
      <c r="H7" s="623"/>
      <c r="I7" s="623"/>
      <c r="J7" s="623"/>
      <c r="K7" s="623"/>
      <c r="L7" s="623"/>
      <c r="M7" s="623"/>
      <c r="N7" s="623"/>
      <c r="O7" s="623"/>
      <c r="P7" s="623"/>
      <c r="Q7" s="623"/>
      <c r="R7" s="623"/>
      <c r="S7" s="623"/>
      <c r="T7" s="623"/>
      <c r="U7" s="623"/>
      <c r="V7" s="623"/>
      <c r="W7" s="623"/>
      <c r="X7" s="623"/>
      <c r="Y7" s="623"/>
    </row>
    <row r="8" spans="1:39" s="524" customFormat="1" ht="16.5" customHeight="1">
      <c r="A8" s="523" t="s">
        <v>2013</v>
      </c>
      <c r="C8" s="525">
        <v>1490000</v>
      </c>
      <c r="D8" s="526"/>
      <c r="E8" s="526"/>
      <c r="F8" s="527"/>
      <c r="G8" s="528">
        <v>1800000</v>
      </c>
      <c r="H8" s="528"/>
      <c r="I8" s="529"/>
      <c r="J8" s="530"/>
      <c r="K8" s="531"/>
      <c r="L8" s="529"/>
      <c r="M8" s="532"/>
      <c r="N8" s="629"/>
      <c r="O8" s="629"/>
      <c r="P8" s="629"/>
      <c r="Q8" s="629"/>
      <c r="R8" s="629"/>
      <c r="S8" s="534"/>
      <c r="T8" s="535"/>
      <c r="U8" s="535"/>
      <c r="V8" s="533" t="s">
        <v>1181</v>
      </c>
      <c r="W8" s="533"/>
      <c r="X8" s="529"/>
      <c r="Y8" s="536"/>
      <c r="Z8" s="537"/>
      <c r="AA8" s="538"/>
      <c r="AC8" s="539"/>
    </row>
    <row r="9" spans="1:39" ht="10.5" customHeight="1">
      <c r="A9" s="1"/>
      <c r="B9" s="7"/>
      <c r="C9" s="7"/>
      <c r="D9" s="7"/>
      <c r="E9" s="14"/>
      <c r="F9" s="230"/>
      <c r="G9" s="231"/>
      <c r="H9" s="1"/>
      <c r="I9" s="1"/>
      <c r="J9" s="78"/>
      <c r="K9" s="370"/>
      <c r="L9" s="1"/>
      <c r="M9" s="3"/>
      <c r="N9" s="1"/>
      <c r="O9" s="1"/>
      <c r="P9" s="3"/>
      <c r="Q9" s="471"/>
      <c r="R9" s="3"/>
      <c r="S9" s="398"/>
      <c r="T9" s="3"/>
      <c r="U9" s="3"/>
      <c r="V9" s="30"/>
      <c r="W9" s="30"/>
      <c r="X9" s="1"/>
    </row>
    <row r="10" spans="1:39" s="117" customFormat="1" ht="63.75" customHeight="1">
      <c r="A10" s="31" t="s">
        <v>853</v>
      </c>
      <c r="B10" s="634" t="s">
        <v>854</v>
      </c>
      <c r="C10" s="634"/>
      <c r="D10" s="93" t="s">
        <v>1598</v>
      </c>
      <c r="E10" s="438" t="s">
        <v>50</v>
      </c>
      <c r="F10" s="45" t="s">
        <v>1137</v>
      </c>
      <c r="G10" s="228" t="s">
        <v>1138</v>
      </c>
      <c r="H10" s="45" t="s">
        <v>1139</v>
      </c>
      <c r="I10" s="45" t="s">
        <v>1140</v>
      </c>
      <c r="J10" s="83" t="s">
        <v>855</v>
      </c>
      <c r="K10" s="364" t="s">
        <v>1141</v>
      </c>
      <c r="L10" s="31" t="s">
        <v>860</v>
      </c>
      <c r="M10" s="31" t="s">
        <v>1186</v>
      </c>
      <c r="N10" s="31" t="s">
        <v>861</v>
      </c>
      <c r="O10" s="31" t="s">
        <v>857</v>
      </c>
      <c r="P10" s="31" t="s">
        <v>1187</v>
      </c>
      <c r="Q10" s="472" t="s">
        <v>1247</v>
      </c>
      <c r="R10" s="98" t="s">
        <v>1188</v>
      </c>
      <c r="S10" s="399" t="s">
        <v>1184</v>
      </c>
      <c r="T10" s="31" t="s">
        <v>1189</v>
      </c>
      <c r="U10" s="31" t="s">
        <v>1190</v>
      </c>
      <c r="V10" s="31" t="s">
        <v>1100</v>
      </c>
      <c r="W10" s="460"/>
      <c r="X10" s="632" t="s">
        <v>40</v>
      </c>
      <c r="Y10" s="633"/>
      <c r="Z10" s="455"/>
      <c r="AC10" s="159"/>
    </row>
    <row r="11" spans="1:39" s="113" customFormat="1" ht="15" customHeight="1">
      <c r="A11" s="32" t="s">
        <v>1110</v>
      </c>
      <c r="B11" s="630" t="s">
        <v>1111</v>
      </c>
      <c r="C11" s="630"/>
      <c r="D11" s="32"/>
      <c r="E11" s="439"/>
      <c r="F11" s="32" t="s">
        <v>1112</v>
      </c>
      <c r="G11" s="32" t="s">
        <v>1113</v>
      </c>
      <c r="H11" s="32" t="s">
        <v>1114</v>
      </c>
      <c r="I11" s="32" t="s">
        <v>1115</v>
      </c>
      <c r="J11" s="77" t="s">
        <v>1112</v>
      </c>
      <c r="K11" s="365" t="s">
        <v>1117</v>
      </c>
      <c r="L11" s="32" t="s">
        <v>1113</v>
      </c>
      <c r="M11" s="32" t="s">
        <v>1114</v>
      </c>
      <c r="N11" s="32" t="s">
        <v>1115</v>
      </c>
      <c r="O11" s="32" t="s">
        <v>1116</v>
      </c>
      <c r="P11" s="32" t="s">
        <v>1117</v>
      </c>
      <c r="Q11" s="473" t="s">
        <v>1125</v>
      </c>
      <c r="R11" s="32" t="s">
        <v>1118</v>
      </c>
      <c r="S11" s="400" t="s">
        <v>1127</v>
      </c>
      <c r="T11" s="32">
        <v>10</v>
      </c>
      <c r="U11" s="32">
        <v>11</v>
      </c>
      <c r="V11" s="32">
        <v>12</v>
      </c>
      <c r="W11" s="461"/>
      <c r="X11" s="627">
        <v>13</v>
      </c>
      <c r="Y11" s="628"/>
      <c r="Z11" s="456"/>
      <c r="AC11" s="160"/>
    </row>
    <row r="12" spans="1:39" s="387" customFormat="1" ht="24.75" customHeight="1">
      <c r="A12" s="394">
        <f>_xlfn.AGGREGATE(4,7,A$11:A11)+1</f>
        <v>1</v>
      </c>
      <c r="B12" s="378" t="s">
        <v>1433</v>
      </c>
      <c r="C12" s="390" t="s">
        <v>1434</v>
      </c>
      <c r="D12" s="412" t="s">
        <v>1613</v>
      </c>
      <c r="E12" s="499" t="s">
        <v>1435</v>
      </c>
      <c r="F12" s="381">
        <v>5.76</v>
      </c>
      <c r="G12" s="382">
        <v>0</v>
      </c>
      <c r="H12" s="383">
        <f t="shared" ref="H12:H44" si="0">F12+(F12*G12)</f>
        <v>5.76</v>
      </c>
      <c r="I12" s="383">
        <v>0.9</v>
      </c>
      <c r="J12" s="384">
        <f t="shared" ref="J12:J44" si="1">H12+I12</f>
        <v>6.66</v>
      </c>
      <c r="K12" s="377">
        <f t="shared" ref="K12:K44" si="2">J12*$G$8</f>
        <v>11988000</v>
      </c>
      <c r="L12" s="381" t="str">
        <f>VLOOKUP(B12,'[1]Gui chi Quynh'!$B$7:$F$397,5,FALSE)</f>
        <v>A1</v>
      </c>
      <c r="M12" s="515">
        <f t="shared" ref="M12:M44" si="3">IF(L12="A1",K12*1.6,IF(L12="A2",K12*1.4,IF(L12="A3",K12*1.2,IF(L12="A4",K12*1,IF(L12="B1",K12*0.7,IF(L12="B2",K12*0.5,IF(L12="C1",K12*0.3,IF(L12="C2",K12*0.2,0))))))))</f>
        <v>19180800</v>
      </c>
      <c r="N12" s="408">
        <v>21</v>
      </c>
      <c r="O12" s="459">
        <f>IFERROR(INDEX('[2]CN BC'!$J$10:$J$276,MATCH(B12,'[2]CN BC'!$H$10:$H$276,0)),"")</f>
        <v>28</v>
      </c>
      <c r="P12" s="515">
        <f t="shared" ref="P12:P44" si="4">IF(O12&gt;=N12,M12,M12/N12*O12)</f>
        <v>19180800</v>
      </c>
      <c r="Q12" s="480"/>
      <c r="R12" s="377">
        <f>Q12*$G$8*1.6</f>
        <v>0</v>
      </c>
      <c r="S12" s="385"/>
      <c r="T12" s="377">
        <f t="shared" ref="T12:T44" si="5">S12*$G$8*1</f>
        <v>0</v>
      </c>
      <c r="U12" s="377">
        <f t="shared" ref="U12:U44" si="6">IF(OR(L12="A DN",L12="KXL", L12=""),"0",ROUND(J12*0.01*$G$8+Q12*1%*$G$8+S12*1%*$G$8,))</f>
        <v>119880</v>
      </c>
      <c r="V12" s="386">
        <f t="shared" ref="V12:V44" si="7">(P12+R12+T12+U12)</f>
        <v>19300680</v>
      </c>
      <c r="W12" s="458">
        <v>31</v>
      </c>
      <c r="X12" s="606">
        <f t="shared" ref="X12:X44" si="8">A12</f>
        <v>1</v>
      </c>
      <c r="Y12" s="514">
        <f>IFERROR(INDEX('[2]CN BC'!$M$10:$M$276,MATCH(B12,'[2]CN BC'!$H$10:$H$276,0)),"")</f>
        <v>0</v>
      </c>
      <c r="Z12" s="147" t="s">
        <v>2014</v>
      </c>
      <c r="AA12" s="518"/>
      <c r="AB12" s="114"/>
      <c r="AC12" s="161"/>
      <c r="AD12" s="114"/>
      <c r="AE12" s="114"/>
      <c r="AF12" s="114"/>
      <c r="AG12" s="114"/>
      <c r="AH12" s="114"/>
      <c r="AI12" s="114"/>
      <c r="AJ12" s="114"/>
      <c r="AK12" s="114"/>
      <c r="AL12" s="114"/>
      <c r="AM12" s="114"/>
    </row>
    <row r="13" spans="1:39" s="387" customFormat="1" ht="27.75" customHeight="1">
      <c r="A13" s="394">
        <f>_xlfn.AGGREGATE(4,7,A$11:A12)+1</f>
        <v>2</v>
      </c>
      <c r="B13" s="378" t="s">
        <v>1447</v>
      </c>
      <c r="C13" s="390" t="s">
        <v>1439</v>
      </c>
      <c r="D13" s="424" t="s">
        <v>1614</v>
      </c>
      <c r="E13" s="440" t="s">
        <v>1442</v>
      </c>
      <c r="F13" s="381">
        <v>4.9800000000000004</v>
      </c>
      <c r="G13" s="382">
        <v>7.0000000000000007E-2</v>
      </c>
      <c r="H13" s="383">
        <f t="shared" si="0"/>
        <v>5.3286000000000007</v>
      </c>
      <c r="I13" s="383">
        <v>0.7</v>
      </c>
      <c r="J13" s="384">
        <f t="shared" si="1"/>
        <v>6.0286000000000008</v>
      </c>
      <c r="K13" s="377">
        <f t="shared" si="2"/>
        <v>10851480.000000002</v>
      </c>
      <c r="L13" s="381" t="str">
        <f>VLOOKUP(B13,'[1]Gui chi Quynh'!$B$7:$F$397,5,FALSE)</f>
        <v>A1</v>
      </c>
      <c r="M13" s="515">
        <f t="shared" si="3"/>
        <v>17362368.000000004</v>
      </c>
      <c r="N13" s="391">
        <v>21</v>
      </c>
      <c r="O13" s="459">
        <f>IFERROR(INDEX('[2]CN BC'!$J$10:$J$276,MATCH(B13,'[2]CN BC'!$H$10:$H$276,0)),"")</f>
        <v>28</v>
      </c>
      <c r="P13" s="515">
        <f t="shared" si="4"/>
        <v>17362368.000000004</v>
      </c>
      <c r="Q13" s="480"/>
      <c r="R13" s="377">
        <f>Q13*$G$8*1.6</f>
        <v>0</v>
      </c>
      <c r="S13" s="401"/>
      <c r="T13" s="377">
        <f t="shared" si="5"/>
        <v>0</v>
      </c>
      <c r="U13" s="377">
        <f t="shared" si="6"/>
        <v>108515</v>
      </c>
      <c r="V13" s="386">
        <f t="shared" si="7"/>
        <v>17470883.000000004</v>
      </c>
      <c r="W13" s="459">
        <v>29</v>
      </c>
      <c r="X13" s="606">
        <f t="shared" si="8"/>
        <v>2</v>
      </c>
      <c r="Y13" s="514">
        <f>IFERROR(INDEX('[2]CN BC'!$M$10:$M$276,MATCH(B13,'[2]CN BC'!$H$10:$H$276,0)),"")</f>
        <v>0</v>
      </c>
      <c r="Z13" s="147" t="s">
        <v>2014</v>
      </c>
      <c r="AA13" s="519"/>
      <c r="AB13" s="485"/>
      <c r="AC13" s="161"/>
      <c r="AD13" s="114"/>
      <c r="AE13" s="114"/>
      <c r="AF13" s="114"/>
      <c r="AG13" s="114"/>
      <c r="AH13" s="114"/>
      <c r="AI13" s="114"/>
      <c r="AJ13" s="114"/>
      <c r="AK13" s="114"/>
      <c r="AL13" s="114"/>
      <c r="AM13" s="114"/>
    </row>
    <row r="14" spans="1:39" s="387" customFormat="1" ht="27" customHeight="1">
      <c r="A14" s="394">
        <f>_xlfn.AGGREGATE(4,7,A$11:A13)+1</f>
        <v>3</v>
      </c>
      <c r="B14" s="598" t="s">
        <v>1845</v>
      </c>
      <c r="C14" s="620" t="s">
        <v>867</v>
      </c>
      <c r="D14" s="599" t="s">
        <v>1615</v>
      </c>
      <c r="E14" s="603" t="s">
        <v>1255</v>
      </c>
      <c r="F14" s="590">
        <v>4.9800000000000004</v>
      </c>
      <c r="G14" s="586">
        <v>0.08</v>
      </c>
      <c r="H14" s="587">
        <f t="shared" si="0"/>
        <v>5.3784000000000001</v>
      </c>
      <c r="I14" s="587">
        <v>0.7</v>
      </c>
      <c r="J14" s="588">
        <f t="shared" si="1"/>
        <v>6.0784000000000002</v>
      </c>
      <c r="K14" s="589">
        <f t="shared" si="2"/>
        <v>10941120</v>
      </c>
      <c r="L14" s="590" t="str">
        <f>VLOOKUP(B14,'[1]Gui chi Quynh'!$B$7:$F$397,5,FALSE)</f>
        <v>A1</v>
      </c>
      <c r="M14" s="591">
        <f t="shared" si="3"/>
        <v>17505792</v>
      </c>
      <c r="N14" s="592">
        <v>21</v>
      </c>
      <c r="O14" s="593">
        <f>IFERROR(INDEX('[2]CN BC'!$J$10:$J$276,MATCH(B14,'[2]CN BC'!$H$10:$H$276,0)),"")</f>
        <v>25</v>
      </c>
      <c r="P14" s="591">
        <f t="shared" si="4"/>
        <v>17505792</v>
      </c>
      <c r="Q14" s="604">
        <f>(4.98*1%)*2</f>
        <v>9.9600000000000008E-2</v>
      </c>
      <c r="R14" s="605">
        <f>Q14*$G$8*1.6</f>
        <v>286848</v>
      </c>
      <c r="S14" s="401"/>
      <c r="T14" s="589">
        <f t="shared" si="5"/>
        <v>0</v>
      </c>
      <c r="U14" s="589">
        <f t="shared" si="6"/>
        <v>111204</v>
      </c>
      <c r="V14" s="596">
        <f t="shared" si="7"/>
        <v>17903844</v>
      </c>
      <c r="W14" s="593">
        <v>29</v>
      </c>
      <c r="X14" s="611">
        <f t="shared" si="8"/>
        <v>3</v>
      </c>
      <c r="Y14" s="621" t="s">
        <v>2026</v>
      </c>
      <c r="Z14" s="147" t="s">
        <v>2014</v>
      </c>
      <c r="AA14" s="519"/>
      <c r="AB14" s="485"/>
      <c r="AC14" s="161"/>
      <c r="AD14" s="114"/>
      <c r="AE14" s="114"/>
      <c r="AF14" s="114"/>
      <c r="AG14" s="114"/>
      <c r="AH14" s="114"/>
      <c r="AI14" s="114"/>
      <c r="AJ14" s="114"/>
      <c r="AK14" s="114"/>
      <c r="AL14" s="114"/>
      <c r="AM14" s="114"/>
    </row>
    <row r="15" spans="1:39" s="387" customFormat="1" ht="24.75" customHeight="1">
      <c r="A15" s="394">
        <f>_xlfn.AGGREGATE(4,7,A$11:A14)+1</f>
        <v>4</v>
      </c>
      <c r="B15" s="378" t="s">
        <v>1533</v>
      </c>
      <c r="C15" s="390"/>
      <c r="D15" s="452" t="s">
        <v>1954</v>
      </c>
      <c r="E15" s="107" t="s">
        <v>1937</v>
      </c>
      <c r="F15" s="388">
        <v>4.6500000000000004</v>
      </c>
      <c r="G15" s="382"/>
      <c r="H15" s="383">
        <f t="shared" si="0"/>
        <v>4.6500000000000004</v>
      </c>
      <c r="I15" s="383">
        <v>0.7</v>
      </c>
      <c r="J15" s="384">
        <f t="shared" si="1"/>
        <v>5.3500000000000005</v>
      </c>
      <c r="K15" s="377">
        <f t="shared" si="2"/>
        <v>9630000.0000000019</v>
      </c>
      <c r="L15" s="381" t="str">
        <f>VLOOKUP(B15,'[1]Gui chi Quynh'!$B$7:$F$397,5,FALSE)</f>
        <v>A1</v>
      </c>
      <c r="M15" s="515">
        <f t="shared" si="3"/>
        <v>15408000.000000004</v>
      </c>
      <c r="N15" s="391">
        <v>21</v>
      </c>
      <c r="O15" s="459">
        <f>IFERROR(INDEX('[2]CN BC'!$J$10:$J$276,MATCH(B15,'[2]CN BC'!$H$10:$H$276,0)),"")</f>
        <v>27</v>
      </c>
      <c r="P15" s="515">
        <f t="shared" si="4"/>
        <v>15408000.000000004</v>
      </c>
      <c r="Q15" s="480"/>
      <c r="R15" s="377">
        <f t="shared" ref="R15:R23" si="9">Q15*$G$8*1</f>
        <v>0</v>
      </c>
      <c r="S15" s="385"/>
      <c r="T15" s="377">
        <f t="shared" si="5"/>
        <v>0</v>
      </c>
      <c r="U15" s="377">
        <f t="shared" si="6"/>
        <v>96300</v>
      </c>
      <c r="V15" s="386">
        <f t="shared" si="7"/>
        <v>15504300.000000004</v>
      </c>
      <c r="W15" s="459">
        <v>30</v>
      </c>
      <c r="X15" s="606">
        <f t="shared" si="8"/>
        <v>4</v>
      </c>
      <c r="Y15" s="514">
        <f>IFERROR(INDEX('[2]CN BC'!$M$10:$M$276,MATCH(B15,'[2]CN BC'!$H$10:$H$276,0)),"")</f>
        <v>0</v>
      </c>
      <c r="Z15" s="147" t="s">
        <v>2014</v>
      </c>
      <c r="AA15" s="520"/>
      <c r="AB15" s="548"/>
      <c r="AC15" s="161"/>
      <c r="AD15" s="114"/>
      <c r="AE15" s="114"/>
      <c r="AF15" s="114"/>
      <c r="AG15" s="114"/>
      <c r="AH15" s="114"/>
      <c r="AI15" s="114"/>
    </row>
    <row r="16" spans="1:39" s="387" customFormat="1" ht="27.75" customHeight="1">
      <c r="A16" s="394">
        <f>_xlfn.AGGREGATE(4,7,A$11:A15)+1</f>
        <v>5</v>
      </c>
      <c r="B16" s="378" t="s">
        <v>1458</v>
      </c>
      <c r="C16" s="390" t="s">
        <v>891</v>
      </c>
      <c r="D16" s="33" t="s">
        <v>1995</v>
      </c>
      <c r="E16" s="450" t="s">
        <v>1577</v>
      </c>
      <c r="F16" s="381">
        <v>4.9800000000000004</v>
      </c>
      <c r="G16" s="382">
        <v>0.05</v>
      </c>
      <c r="H16" s="383">
        <f t="shared" si="0"/>
        <v>5.2290000000000001</v>
      </c>
      <c r="I16" s="383">
        <v>0.45</v>
      </c>
      <c r="J16" s="384">
        <f t="shared" si="1"/>
        <v>5.6790000000000003</v>
      </c>
      <c r="K16" s="377">
        <f t="shared" si="2"/>
        <v>10222200</v>
      </c>
      <c r="L16" s="381" t="str">
        <f>VLOOKUP(B16,'[1]Gui chi Quynh'!$B$7:$F$397,5,FALSE)</f>
        <v>A1</v>
      </c>
      <c r="M16" s="515">
        <f t="shared" si="3"/>
        <v>16355520</v>
      </c>
      <c r="N16" s="391">
        <v>21</v>
      </c>
      <c r="O16" s="459">
        <f>IFERROR(INDEX('[2]CN BC'!$J$10:$J$276,MATCH(B16,'[2]CN BC'!$H$10:$H$276,0)),"")</f>
        <v>29</v>
      </c>
      <c r="P16" s="515">
        <f t="shared" si="4"/>
        <v>16355520</v>
      </c>
      <c r="Q16" s="409"/>
      <c r="R16" s="377">
        <f t="shared" si="9"/>
        <v>0</v>
      </c>
      <c r="S16" s="401"/>
      <c r="T16" s="377">
        <f t="shared" si="5"/>
        <v>0</v>
      </c>
      <c r="U16" s="377">
        <f t="shared" si="6"/>
        <v>102222</v>
      </c>
      <c r="V16" s="386">
        <f t="shared" si="7"/>
        <v>16457742</v>
      </c>
      <c r="W16" s="459">
        <v>30</v>
      </c>
      <c r="X16" s="606">
        <f t="shared" si="8"/>
        <v>5</v>
      </c>
      <c r="Y16" s="514">
        <f>IFERROR(INDEX('[2]CN BC'!$M$10:$M$276,MATCH(B16,'[2]CN BC'!$H$10:$H$276,0)),"")</f>
        <v>0</v>
      </c>
      <c r="Z16" s="147" t="s">
        <v>2015</v>
      </c>
      <c r="AA16" s="520"/>
      <c r="AB16" s="548"/>
      <c r="AC16" s="161"/>
      <c r="AD16" s="114"/>
      <c r="AE16" s="114"/>
      <c r="AF16" s="114"/>
      <c r="AG16" s="114"/>
      <c r="AH16" s="114"/>
      <c r="AI16" s="114"/>
      <c r="AJ16" s="114"/>
      <c r="AK16" s="114"/>
      <c r="AL16" s="114"/>
      <c r="AM16" s="114"/>
    </row>
    <row r="17" spans="1:39" s="387" customFormat="1" ht="26.25" customHeight="1">
      <c r="A17" s="394">
        <f>_xlfn.AGGREGATE(4,7,A$11:A16)+1</f>
        <v>6</v>
      </c>
      <c r="B17" s="464" t="s">
        <v>1596</v>
      </c>
      <c r="C17" s="437" t="s">
        <v>979</v>
      </c>
      <c r="D17" s="436" t="s">
        <v>1623</v>
      </c>
      <c r="E17" s="444">
        <v>1603205353720</v>
      </c>
      <c r="F17" s="388">
        <v>3.33</v>
      </c>
      <c r="G17" s="382"/>
      <c r="H17" s="465">
        <f t="shared" si="0"/>
        <v>3.33</v>
      </c>
      <c r="I17" s="383">
        <v>0.35</v>
      </c>
      <c r="J17" s="384">
        <f t="shared" si="1"/>
        <v>3.68</v>
      </c>
      <c r="K17" s="377">
        <f t="shared" si="2"/>
        <v>6624000</v>
      </c>
      <c r="L17" s="381" t="str">
        <f>VLOOKUP(B17,'[1]Gui chi Quynh'!$B$7:$F$397,5,FALSE)</f>
        <v>A2</v>
      </c>
      <c r="M17" s="515">
        <f t="shared" si="3"/>
        <v>9273600</v>
      </c>
      <c r="N17" s="391">
        <v>21</v>
      </c>
      <c r="O17" s="459">
        <f>IFERROR(INDEX('[2]CN BC'!$J$10:$J$276,MATCH(B17,'[2]CN BC'!$H$10:$H$276,0)),"")</f>
        <v>21</v>
      </c>
      <c r="P17" s="515">
        <f t="shared" si="4"/>
        <v>9273600</v>
      </c>
      <c r="Q17" s="409"/>
      <c r="R17" s="377">
        <f t="shared" si="9"/>
        <v>0</v>
      </c>
      <c r="S17" s="385"/>
      <c r="T17" s="377">
        <f t="shared" si="5"/>
        <v>0</v>
      </c>
      <c r="U17" s="377">
        <f t="shared" si="6"/>
        <v>66240</v>
      </c>
      <c r="V17" s="386">
        <f t="shared" si="7"/>
        <v>9339840</v>
      </c>
      <c r="W17" s="459">
        <v>23.5</v>
      </c>
      <c r="X17" s="606">
        <f t="shared" si="8"/>
        <v>6</v>
      </c>
      <c r="Y17" s="514" t="str">
        <f>IFERROR(INDEX('[2]CN BC'!$M$10:$M$276,MATCH(B17,'[2]CN BC'!$H$10:$H$276,0)),"")</f>
        <v>Trừ 1 ngày nghỉ phép 1/12</v>
      </c>
      <c r="Z17" s="147" t="s">
        <v>2015</v>
      </c>
      <c r="AA17" s="491"/>
      <c r="AB17" s="548"/>
      <c r="AC17" s="161"/>
      <c r="AD17" s="114"/>
      <c r="AE17" s="114"/>
      <c r="AF17" s="114"/>
      <c r="AG17" s="114"/>
      <c r="AH17" s="114"/>
      <c r="AI17" s="114"/>
    </row>
    <row r="18" spans="1:39" s="387" customFormat="1" ht="27" customHeight="1">
      <c r="A18" s="394">
        <f>_xlfn.AGGREGATE(4,7,A$11:A17)+1</f>
        <v>7</v>
      </c>
      <c r="B18" s="378" t="s">
        <v>1464</v>
      </c>
      <c r="C18" s="390" t="s">
        <v>266</v>
      </c>
      <c r="D18" s="452" t="s">
        <v>1660</v>
      </c>
      <c r="E18" s="446">
        <v>1603205185719</v>
      </c>
      <c r="F18" s="388">
        <v>3</v>
      </c>
      <c r="G18" s="382"/>
      <c r="H18" s="383">
        <f t="shared" si="0"/>
        <v>3</v>
      </c>
      <c r="I18" s="383">
        <v>0.35</v>
      </c>
      <c r="J18" s="384">
        <f t="shared" si="1"/>
        <v>3.35</v>
      </c>
      <c r="K18" s="377">
        <f t="shared" si="2"/>
        <v>6030000</v>
      </c>
      <c r="L18" s="381" t="str">
        <f>VLOOKUP(B18,'[1]Gui chi Quynh'!$B$7:$F$397,5,FALSE)</f>
        <v>A1</v>
      </c>
      <c r="M18" s="515">
        <f t="shared" si="3"/>
        <v>9648000</v>
      </c>
      <c r="N18" s="391">
        <v>21</v>
      </c>
      <c r="O18" s="459">
        <f>IFERROR(INDEX('[2]CN BC'!$J$10:$J$276,MATCH(B18,'[2]CN BC'!$H$10:$H$276,0)),"")</f>
        <v>26.5</v>
      </c>
      <c r="P18" s="515">
        <f t="shared" si="4"/>
        <v>9648000</v>
      </c>
      <c r="Q18" s="480"/>
      <c r="R18" s="377">
        <f t="shared" si="9"/>
        <v>0</v>
      </c>
      <c r="S18" s="385"/>
      <c r="T18" s="377">
        <f t="shared" si="5"/>
        <v>0</v>
      </c>
      <c r="U18" s="377">
        <f t="shared" si="6"/>
        <v>60300</v>
      </c>
      <c r="V18" s="386">
        <f t="shared" si="7"/>
        <v>9708300</v>
      </c>
      <c r="W18" s="487">
        <v>27.5</v>
      </c>
      <c r="X18" s="606">
        <f t="shared" si="8"/>
        <v>7</v>
      </c>
      <c r="Y18" s="514">
        <f>IFERROR(INDEX('[2]CN BC'!$M$10:$M$276,MATCH(B18,'[2]CN BC'!$H$10:$H$276,0)),"")</f>
        <v>0</v>
      </c>
      <c r="Z18" s="147" t="s">
        <v>2015</v>
      </c>
      <c r="AA18" s="113"/>
      <c r="AB18" s="548"/>
      <c r="AC18" s="161"/>
      <c r="AD18" s="114"/>
      <c r="AE18" s="114"/>
      <c r="AF18" s="114"/>
      <c r="AG18" s="114"/>
      <c r="AH18" s="114"/>
      <c r="AI18" s="114"/>
    </row>
    <row r="19" spans="1:39" s="387" customFormat="1" ht="25.5" customHeight="1">
      <c r="A19" s="394">
        <f>_xlfn.AGGREGATE(4,7,A$11:A18)+1</f>
        <v>8</v>
      </c>
      <c r="B19" s="378" t="s">
        <v>1846</v>
      </c>
      <c r="C19" s="390" t="s">
        <v>996</v>
      </c>
      <c r="D19" s="452" t="s">
        <v>1618</v>
      </c>
      <c r="E19" s="441" t="s">
        <v>1264</v>
      </c>
      <c r="F19" s="381">
        <v>3.66</v>
      </c>
      <c r="G19" s="382"/>
      <c r="H19" s="383">
        <f t="shared" si="0"/>
        <v>3.66</v>
      </c>
      <c r="I19" s="383"/>
      <c r="J19" s="384">
        <f t="shared" si="1"/>
        <v>3.66</v>
      </c>
      <c r="K19" s="377">
        <f t="shared" si="2"/>
        <v>6588000</v>
      </c>
      <c r="L19" s="381" t="str">
        <f>VLOOKUP(B19,'[1]Gui chi Quynh'!$B$7:$F$397,5,FALSE)</f>
        <v>A1</v>
      </c>
      <c r="M19" s="515">
        <f t="shared" si="3"/>
        <v>10540800</v>
      </c>
      <c r="N19" s="391">
        <v>21</v>
      </c>
      <c r="O19" s="459">
        <f>IFERROR(INDEX('[2]CN BC'!$J$10:$J$276,MATCH(B19,'[2]CN BC'!$H$10:$H$276,0)),"")</f>
        <v>23</v>
      </c>
      <c r="P19" s="515">
        <f t="shared" si="4"/>
        <v>10540800</v>
      </c>
      <c r="Q19" s="480"/>
      <c r="R19" s="377">
        <f t="shared" si="9"/>
        <v>0</v>
      </c>
      <c r="S19" s="385"/>
      <c r="T19" s="377">
        <f t="shared" si="5"/>
        <v>0</v>
      </c>
      <c r="U19" s="377">
        <f t="shared" si="6"/>
        <v>65880</v>
      </c>
      <c r="V19" s="386">
        <f t="shared" si="7"/>
        <v>10606680</v>
      </c>
      <c r="W19" s="459">
        <v>24.5</v>
      </c>
      <c r="X19" s="606">
        <f t="shared" si="8"/>
        <v>8</v>
      </c>
      <c r="Y19" s="514">
        <f>IFERROR(INDEX('[2]CN BC'!$M$10:$M$276,MATCH(B19,'[2]CN BC'!$H$10:$H$276,0)),"")</f>
        <v>0</v>
      </c>
      <c r="Z19" s="147" t="s">
        <v>2015</v>
      </c>
      <c r="AA19" s="520"/>
      <c r="AB19" s="548"/>
      <c r="AC19" s="161"/>
      <c r="AD19" s="114"/>
      <c r="AE19" s="114"/>
      <c r="AF19" s="114"/>
      <c r="AG19" s="114"/>
      <c r="AH19" s="114"/>
      <c r="AI19" s="114"/>
    </row>
    <row r="20" spans="1:39" s="387" customFormat="1" ht="24.75" customHeight="1">
      <c r="A20" s="394">
        <f>_xlfn.AGGREGATE(4,7,A$11:A19)+1</f>
        <v>9</v>
      </c>
      <c r="B20" s="378" t="s">
        <v>1827</v>
      </c>
      <c r="C20" s="390" t="s">
        <v>1169</v>
      </c>
      <c r="D20" s="452" t="s">
        <v>1619</v>
      </c>
      <c r="E20" s="441" t="s">
        <v>1265</v>
      </c>
      <c r="F20" s="388">
        <v>3.66</v>
      </c>
      <c r="G20" s="382"/>
      <c r="H20" s="383">
        <f t="shared" si="0"/>
        <v>3.66</v>
      </c>
      <c r="I20" s="383"/>
      <c r="J20" s="384">
        <f t="shared" si="1"/>
        <v>3.66</v>
      </c>
      <c r="K20" s="377">
        <f t="shared" si="2"/>
        <v>6588000</v>
      </c>
      <c r="L20" s="381" t="str">
        <f>VLOOKUP(B20,'[1]Gui chi Quynh'!$B$7:$F$397,5,FALSE)</f>
        <v>A1</v>
      </c>
      <c r="M20" s="515">
        <f t="shared" si="3"/>
        <v>10540800</v>
      </c>
      <c r="N20" s="391">
        <v>21</v>
      </c>
      <c r="O20" s="459">
        <f>IFERROR(INDEX('[2]CN BC'!$J$10:$J$276,MATCH(B20,'[2]CN BC'!$H$10:$H$276,0)),"")</f>
        <v>23</v>
      </c>
      <c r="P20" s="515">
        <f t="shared" si="4"/>
        <v>10540800</v>
      </c>
      <c r="Q20" s="480"/>
      <c r="R20" s="377">
        <f t="shared" si="9"/>
        <v>0</v>
      </c>
      <c r="S20" s="385"/>
      <c r="T20" s="377">
        <f t="shared" si="5"/>
        <v>0</v>
      </c>
      <c r="U20" s="377">
        <f t="shared" si="6"/>
        <v>65880</v>
      </c>
      <c r="V20" s="386">
        <f t="shared" si="7"/>
        <v>10606680</v>
      </c>
      <c r="W20" s="459">
        <v>24.5</v>
      </c>
      <c r="X20" s="606">
        <f t="shared" si="8"/>
        <v>9</v>
      </c>
      <c r="Y20" s="514">
        <f>IFERROR(INDEX('[2]CN BC'!$M$10:$M$276,MATCH(B20,'[2]CN BC'!$H$10:$H$276,0)),"")</f>
        <v>0</v>
      </c>
      <c r="Z20" s="147" t="s">
        <v>2015</v>
      </c>
      <c r="AA20" s="520"/>
      <c r="AB20" s="548"/>
      <c r="AC20" s="161"/>
      <c r="AD20" s="114"/>
      <c r="AE20" s="114"/>
      <c r="AF20" s="114"/>
      <c r="AG20" s="114"/>
      <c r="AH20" s="114"/>
      <c r="AI20" s="114"/>
    </row>
    <row r="21" spans="1:39" s="387" customFormat="1" ht="26.25" customHeight="1">
      <c r="A21" s="394">
        <f>_xlfn.AGGREGATE(4,7,A$11:A20)+1</f>
        <v>10</v>
      </c>
      <c r="B21" s="378" t="s">
        <v>1448</v>
      </c>
      <c r="C21" s="390" t="s">
        <v>951</v>
      </c>
      <c r="D21" s="452" t="s">
        <v>1620</v>
      </c>
      <c r="E21" s="444" t="s">
        <v>1574</v>
      </c>
      <c r="F21" s="381">
        <v>3.46</v>
      </c>
      <c r="G21" s="382"/>
      <c r="H21" s="383">
        <f t="shared" si="0"/>
        <v>3.46</v>
      </c>
      <c r="I21" s="383"/>
      <c r="J21" s="384">
        <f t="shared" si="1"/>
        <v>3.46</v>
      </c>
      <c r="K21" s="377">
        <f t="shared" si="2"/>
        <v>6228000</v>
      </c>
      <c r="L21" s="381" t="str">
        <f>VLOOKUP(B21,'[1]Gui chi Quynh'!$B$7:$F$397,5,FALSE)</f>
        <v>A2</v>
      </c>
      <c r="M21" s="515">
        <f t="shared" si="3"/>
        <v>8719200</v>
      </c>
      <c r="N21" s="391">
        <v>21</v>
      </c>
      <c r="O21" s="459">
        <f>IFERROR(INDEX('[2]CN BC'!$J$10:$J$276,MATCH(B21,'[2]CN BC'!$H$10:$H$276,0)),"")</f>
        <v>22</v>
      </c>
      <c r="P21" s="515">
        <f t="shared" si="4"/>
        <v>8719200</v>
      </c>
      <c r="Q21" s="480"/>
      <c r="R21" s="377">
        <f t="shared" si="9"/>
        <v>0</v>
      </c>
      <c r="S21" s="385"/>
      <c r="T21" s="377">
        <f t="shared" si="5"/>
        <v>0</v>
      </c>
      <c r="U21" s="377">
        <f t="shared" si="6"/>
        <v>62280</v>
      </c>
      <c r="V21" s="386">
        <f t="shared" si="7"/>
        <v>8781480</v>
      </c>
      <c r="W21" s="459">
        <v>24.5</v>
      </c>
      <c r="X21" s="606">
        <f t="shared" si="8"/>
        <v>10</v>
      </c>
      <c r="Y21" s="514" t="str">
        <f>IFERROR(INDEX('[2]CN BC'!$M$10:$M$276,MATCH(B21,'[2]CN BC'!$H$10:$H$276,0)),"")</f>
        <v>Trừ 1 ngày nghỉ phép 25/12</v>
      </c>
      <c r="Z21" s="147" t="s">
        <v>2015</v>
      </c>
      <c r="AA21" s="113"/>
      <c r="AB21" s="548"/>
      <c r="AC21" s="161"/>
      <c r="AD21" s="114"/>
      <c r="AE21" s="114"/>
      <c r="AF21" s="114"/>
      <c r="AG21" s="114"/>
      <c r="AH21" s="114"/>
      <c r="AI21" s="114"/>
    </row>
    <row r="22" spans="1:39" s="387" customFormat="1" ht="27" customHeight="1">
      <c r="A22" s="394">
        <f>_xlfn.AGGREGATE(4,7,A$11:A21)+1</f>
        <v>11</v>
      </c>
      <c r="B22" s="378" t="s">
        <v>1449</v>
      </c>
      <c r="C22" s="390" t="s">
        <v>1436</v>
      </c>
      <c r="D22" s="424" t="s">
        <v>1621</v>
      </c>
      <c r="E22" s="445">
        <v>1603205280047</v>
      </c>
      <c r="F22" s="388">
        <v>3.66</v>
      </c>
      <c r="G22" s="393"/>
      <c r="H22" s="383">
        <f t="shared" si="0"/>
        <v>3.66</v>
      </c>
      <c r="I22" s="383"/>
      <c r="J22" s="384">
        <f t="shared" si="1"/>
        <v>3.66</v>
      </c>
      <c r="K22" s="377">
        <f t="shared" si="2"/>
        <v>6588000</v>
      </c>
      <c r="L22" s="381" t="str">
        <f>VLOOKUP(B22,'[1]Gui chi Quynh'!$B$7:$F$397,5,FALSE)</f>
        <v>A2</v>
      </c>
      <c r="M22" s="515">
        <f t="shared" si="3"/>
        <v>9223200</v>
      </c>
      <c r="N22" s="391">
        <v>21</v>
      </c>
      <c r="O22" s="459">
        <f>IFERROR(INDEX('[2]CN BC'!$J$10:$J$276,MATCH(B22,'[2]CN BC'!$H$10:$H$276,0)),"")</f>
        <v>21</v>
      </c>
      <c r="P22" s="515">
        <f t="shared" si="4"/>
        <v>9223200</v>
      </c>
      <c r="Q22" s="409"/>
      <c r="R22" s="377">
        <f t="shared" si="9"/>
        <v>0</v>
      </c>
      <c r="S22" s="401"/>
      <c r="T22" s="377">
        <f t="shared" si="5"/>
        <v>0</v>
      </c>
      <c r="U22" s="377">
        <f t="shared" si="6"/>
        <v>65880</v>
      </c>
      <c r="V22" s="386">
        <f t="shared" si="7"/>
        <v>9289080</v>
      </c>
      <c r="W22" s="459">
        <v>24</v>
      </c>
      <c r="X22" s="606">
        <f t="shared" si="8"/>
        <v>11</v>
      </c>
      <c r="Y22" s="514">
        <f>IFERROR(INDEX('[2]CN BC'!$M$10:$M$276,MATCH(B22,'[2]CN BC'!$H$10:$H$276,0)),"")</f>
        <v>0</v>
      </c>
      <c r="Z22" s="147" t="s">
        <v>2015</v>
      </c>
      <c r="AA22" s="113"/>
      <c r="AB22" s="114"/>
      <c r="AC22" s="161"/>
      <c r="AD22" s="114"/>
      <c r="AE22" s="114"/>
      <c r="AF22" s="114"/>
      <c r="AG22" s="114"/>
      <c r="AH22" s="114"/>
      <c r="AI22" s="114"/>
      <c r="AJ22" s="114"/>
      <c r="AK22" s="114"/>
      <c r="AL22" s="114"/>
      <c r="AM22" s="114"/>
    </row>
    <row r="23" spans="1:39" s="387" customFormat="1" ht="24" customHeight="1">
      <c r="A23" s="394">
        <f>_xlfn.AGGREGATE(4,7,A$11:A22)+1</f>
        <v>12</v>
      </c>
      <c r="B23" s="378" t="s">
        <v>1828</v>
      </c>
      <c r="C23" s="390" t="s">
        <v>996</v>
      </c>
      <c r="D23" s="452" t="s">
        <v>1622</v>
      </c>
      <c r="E23" s="446" t="s">
        <v>385</v>
      </c>
      <c r="F23" s="381">
        <v>3.33</v>
      </c>
      <c r="G23" s="382"/>
      <c r="H23" s="383">
        <f t="shared" si="0"/>
        <v>3.33</v>
      </c>
      <c r="I23" s="383"/>
      <c r="J23" s="384">
        <f t="shared" si="1"/>
        <v>3.33</v>
      </c>
      <c r="K23" s="377">
        <f t="shared" si="2"/>
        <v>5994000</v>
      </c>
      <c r="L23" s="381" t="str">
        <f>VLOOKUP(B23,'[1]Gui chi Quynh'!$B$7:$F$397,5,FALSE)</f>
        <v>A1</v>
      </c>
      <c r="M23" s="515">
        <f t="shared" si="3"/>
        <v>9590400</v>
      </c>
      <c r="N23" s="391">
        <v>21</v>
      </c>
      <c r="O23" s="459">
        <f>IFERROR(INDEX('[2]CN BC'!$J$10:$J$276,MATCH(B23,'[2]CN BC'!$H$10:$H$276,0)),"")</f>
        <v>21.5</v>
      </c>
      <c r="P23" s="515">
        <f t="shared" si="4"/>
        <v>9590400</v>
      </c>
      <c r="Q23" s="480"/>
      <c r="R23" s="377">
        <f t="shared" si="9"/>
        <v>0</v>
      </c>
      <c r="S23" s="385"/>
      <c r="T23" s="377">
        <f t="shared" si="5"/>
        <v>0</v>
      </c>
      <c r="U23" s="377">
        <f t="shared" si="6"/>
        <v>59940</v>
      </c>
      <c r="V23" s="386">
        <f t="shared" si="7"/>
        <v>9650340</v>
      </c>
      <c r="W23" s="459">
        <v>23</v>
      </c>
      <c r="X23" s="606">
        <f t="shared" si="8"/>
        <v>12</v>
      </c>
      <c r="Y23" s="514">
        <f>IFERROR(INDEX('[2]CN BC'!$M$10:$M$276,MATCH(B23,'[2]CN BC'!$H$10:$H$276,0)),"")</f>
        <v>0</v>
      </c>
      <c r="Z23" s="147" t="s">
        <v>2015</v>
      </c>
      <c r="AA23" s="113"/>
      <c r="AB23" s="114"/>
      <c r="AC23" s="161"/>
      <c r="AD23" s="114"/>
      <c r="AE23" s="114"/>
      <c r="AF23" s="114"/>
      <c r="AG23" s="114"/>
      <c r="AH23" s="114"/>
      <c r="AI23" s="114"/>
    </row>
    <row r="24" spans="1:39" s="387" customFormat="1" ht="25.5" customHeight="1">
      <c r="A24" s="394">
        <f>_xlfn.AGGREGATE(4,7,A$11:A23)+1</f>
        <v>13</v>
      </c>
      <c r="B24" s="378" t="s">
        <v>1847</v>
      </c>
      <c r="C24" s="390" t="s">
        <v>1094</v>
      </c>
      <c r="D24" s="424" t="s">
        <v>1643</v>
      </c>
      <c r="E24" s="441" t="s">
        <v>8</v>
      </c>
      <c r="F24" s="381">
        <v>3.66</v>
      </c>
      <c r="G24" s="382"/>
      <c r="H24" s="383">
        <f t="shared" si="0"/>
        <v>3.66</v>
      </c>
      <c r="I24" s="383"/>
      <c r="J24" s="384">
        <f t="shared" si="1"/>
        <v>3.66</v>
      </c>
      <c r="K24" s="377">
        <f t="shared" si="2"/>
        <v>6588000</v>
      </c>
      <c r="L24" s="381" t="str">
        <f>VLOOKUP(B24,'[1]Gui chi Quynh'!$B$7:$F$397,5,FALSE)</f>
        <v>A2</v>
      </c>
      <c r="M24" s="515">
        <f t="shared" si="3"/>
        <v>9223200</v>
      </c>
      <c r="N24" s="391">
        <v>21</v>
      </c>
      <c r="O24" s="459">
        <f>IFERROR(INDEX('[2]CN BC'!$J$10:$J$276,MATCH(B24,'[2]CN BC'!$H$10:$H$276,0)),"")</f>
        <v>21.5</v>
      </c>
      <c r="P24" s="515">
        <f t="shared" si="4"/>
        <v>9223200</v>
      </c>
      <c r="Q24" s="480"/>
      <c r="R24" s="377">
        <f>Q24*$G$8*1.4</f>
        <v>0</v>
      </c>
      <c r="S24" s="385"/>
      <c r="T24" s="377">
        <f t="shared" si="5"/>
        <v>0</v>
      </c>
      <c r="U24" s="377">
        <f t="shared" si="6"/>
        <v>65880</v>
      </c>
      <c r="V24" s="386">
        <f t="shared" si="7"/>
        <v>9289080</v>
      </c>
      <c r="W24" s="459">
        <v>25.5</v>
      </c>
      <c r="X24" s="606">
        <f t="shared" si="8"/>
        <v>13</v>
      </c>
      <c r="Y24" s="514">
        <f>IFERROR(INDEX('[2]CN BC'!$M$10:$M$276,MATCH(B24,'[2]CN BC'!$H$10:$H$276,0)),"")</f>
        <v>0</v>
      </c>
      <c r="Z24" s="147" t="s">
        <v>2015</v>
      </c>
      <c r="AA24" s="113"/>
      <c r="AB24" s="114"/>
      <c r="AC24" s="161"/>
      <c r="AD24" s="114"/>
      <c r="AE24" s="114"/>
      <c r="AF24" s="114"/>
      <c r="AG24" s="114"/>
      <c r="AH24" s="114"/>
      <c r="AI24" s="114"/>
      <c r="AJ24" s="114"/>
      <c r="AK24" s="114"/>
      <c r="AL24" s="114"/>
      <c r="AM24" s="114"/>
    </row>
    <row r="25" spans="1:39" s="387" customFormat="1" ht="26.25" customHeight="1">
      <c r="A25" s="394">
        <f>_xlfn.AGGREGATE(4,7,A$11:A24)+1</f>
        <v>14</v>
      </c>
      <c r="B25" s="378" t="s">
        <v>1848</v>
      </c>
      <c r="C25" s="390" t="s">
        <v>1431</v>
      </c>
      <c r="D25" s="452" t="s">
        <v>1644</v>
      </c>
      <c r="E25" s="444">
        <v>1603205360856</v>
      </c>
      <c r="F25" s="388">
        <v>3.33</v>
      </c>
      <c r="G25" s="382"/>
      <c r="H25" s="465">
        <f t="shared" si="0"/>
        <v>3.33</v>
      </c>
      <c r="I25" s="383"/>
      <c r="J25" s="384">
        <f t="shared" si="1"/>
        <v>3.33</v>
      </c>
      <c r="K25" s="377">
        <f t="shared" si="2"/>
        <v>5994000</v>
      </c>
      <c r="L25" s="381" t="str">
        <f>VLOOKUP(B25,'[1]Gui chi Quynh'!$B$7:$F$397,5,FALSE)</f>
        <v>A1</v>
      </c>
      <c r="M25" s="515">
        <f t="shared" si="3"/>
        <v>9590400</v>
      </c>
      <c r="N25" s="391">
        <v>21</v>
      </c>
      <c r="O25" s="459">
        <f>IFERROR(INDEX('[2]CN BC'!$J$10:$J$276,MATCH(B25,'[2]CN BC'!$H$10:$H$276,0)),"")</f>
        <v>21.5</v>
      </c>
      <c r="P25" s="515">
        <f t="shared" si="4"/>
        <v>9590400</v>
      </c>
      <c r="Q25" s="480"/>
      <c r="R25" s="377">
        <f t="shared" ref="R25:R36" si="10">Q25*$G$8*1</f>
        <v>0</v>
      </c>
      <c r="S25" s="385"/>
      <c r="T25" s="377">
        <f t="shared" si="5"/>
        <v>0</v>
      </c>
      <c r="U25" s="377">
        <f t="shared" si="6"/>
        <v>59940</v>
      </c>
      <c r="V25" s="386">
        <f t="shared" si="7"/>
        <v>9650340</v>
      </c>
      <c r="W25" s="487">
        <v>0</v>
      </c>
      <c r="X25" s="606">
        <f t="shared" si="8"/>
        <v>14</v>
      </c>
      <c r="Y25" s="514">
        <f>IFERROR(INDEX('[2]CN BC'!$M$10:$M$276,MATCH(B25,'[2]CN BC'!$H$10:$H$276,0)),"")</f>
        <v>0</v>
      </c>
      <c r="Z25" s="567" t="s">
        <v>2015</v>
      </c>
      <c r="AA25" s="568"/>
      <c r="AC25" s="508"/>
    </row>
    <row r="26" spans="1:39" s="387" customFormat="1" ht="26.25" customHeight="1">
      <c r="A26" s="394">
        <f>_xlfn.AGGREGATE(4,7,A$11:A25)+1</f>
        <v>15</v>
      </c>
      <c r="B26" s="464" t="s">
        <v>1603</v>
      </c>
      <c r="C26" s="437" t="s">
        <v>1602</v>
      </c>
      <c r="D26" s="436" t="s">
        <v>1624</v>
      </c>
      <c r="E26" s="444">
        <v>1603205545491</v>
      </c>
      <c r="F26" s="388">
        <v>2.41</v>
      </c>
      <c r="G26" s="382"/>
      <c r="H26" s="383">
        <f t="shared" si="0"/>
        <v>2.41</v>
      </c>
      <c r="I26" s="383"/>
      <c r="J26" s="384">
        <f t="shared" si="1"/>
        <v>2.41</v>
      </c>
      <c r="K26" s="377">
        <f t="shared" si="2"/>
        <v>4338000</v>
      </c>
      <c r="L26" s="381" t="str">
        <f>VLOOKUP(B26,'[1]Gui chi Quynh'!$B$7:$F$397,5,FALSE)</f>
        <v>A2</v>
      </c>
      <c r="M26" s="515">
        <f t="shared" si="3"/>
        <v>6073200</v>
      </c>
      <c r="N26" s="391">
        <v>21</v>
      </c>
      <c r="O26" s="459">
        <f>IFERROR(INDEX('[2]CN BC'!$J$10:$J$276,MATCH(B26,'[2]CN BC'!$H$10:$H$276,0)),"")</f>
        <v>24</v>
      </c>
      <c r="P26" s="515">
        <f t="shared" si="4"/>
        <v>6073200</v>
      </c>
      <c r="Q26" s="480"/>
      <c r="R26" s="377">
        <f t="shared" si="10"/>
        <v>0</v>
      </c>
      <c r="S26" s="385"/>
      <c r="T26" s="377">
        <f t="shared" si="5"/>
        <v>0</v>
      </c>
      <c r="U26" s="377">
        <f t="shared" si="6"/>
        <v>43380</v>
      </c>
      <c r="V26" s="386">
        <f t="shared" si="7"/>
        <v>6116580</v>
      </c>
      <c r="W26" s="459">
        <v>26</v>
      </c>
      <c r="X26" s="606">
        <f t="shared" si="8"/>
        <v>15</v>
      </c>
      <c r="Y26" s="514">
        <f>IFERROR(INDEX('[2]CN BC'!$M$10:$M$276,MATCH(B26,'[2]CN BC'!$H$10:$H$276,0)),"")</f>
        <v>0</v>
      </c>
      <c r="Z26" s="147"/>
      <c r="AA26" s="113"/>
      <c r="AB26" s="114"/>
      <c r="AC26" s="161"/>
      <c r="AD26" s="114"/>
      <c r="AE26" s="114"/>
      <c r="AF26" s="114"/>
      <c r="AG26" s="114"/>
      <c r="AH26" s="114"/>
      <c r="AI26" s="114"/>
    </row>
    <row r="27" spans="1:39" s="387" customFormat="1" ht="26.25" customHeight="1">
      <c r="A27" s="394">
        <f>_xlfn.AGGREGATE(4,7,A$11:A26)+1</f>
        <v>16</v>
      </c>
      <c r="B27" s="464" t="s">
        <v>2009</v>
      </c>
      <c r="C27" s="437"/>
      <c r="D27" s="436"/>
      <c r="E27" s="444"/>
      <c r="F27" s="388">
        <v>3.66</v>
      </c>
      <c r="G27" s="382"/>
      <c r="H27" s="383">
        <f t="shared" si="0"/>
        <v>3.66</v>
      </c>
      <c r="I27" s="383"/>
      <c r="J27" s="384">
        <f t="shared" si="1"/>
        <v>3.66</v>
      </c>
      <c r="K27" s="377">
        <f t="shared" si="2"/>
        <v>6588000</v>
      </c>
      <c r="L27" s="381" t="str">
        <f>VLOOKUP(B27,'[1]Gui chi Quynh'!$B$7:$F$397,5,FALSE)</f>
        <v>A2</v>
      </c>
      <c r="M27" s="515">
        <f t="shared" si="3"/>
        <v>9223200</v>
      </c>
      <c r="N27" s="391">
        <v>21</v>
      </c>
      <c r="O27" s="459">
        <f>IFERROR(INDEX('[2]CN BC'!$J$10:$J$276,MATCH(B27,'[2]CN BC'!$H$10:$H$276,0)),"")</f>
        <v>23</v>
      </c>
      <c r="P27" s="515">
        <f t="shared" si="4"/>
        <v>9223200</v>
      </c>
      <c r="Q27" s="480"/>
      <c r="R27" s="377">
        <f t="shared" si="10"/>
        <v>0</v>
      </c>
      <c r="S27" s="385"/>
      <c r="T27" s="377">
        <f t="shared" si="5"/>
        <v>0</v>
      </c>
      <c r="U27" s="377">
        <f t="shared" si="6"/>
        <v>65880</v>
      </c>
      <c r="V27" s="386">
        <f t="shared" si="7"/>
        <v>9289080</v>
      </c>
      <c r="W27" s="487"/>
      <c r="X27" s="606">
        <f t="shared" si="8"/>
        <v>16</v>
      </c>
      <c r="Y27" s="514">
        <f>IFERROR(INDEX('[2]CN BC'!$M$10:$M$276,MATCH(B27,'[2]CN BC'!$H$10:$H$276,0)),"")</f>
        <v>0</v>
      </c>
      <c r="Z27" s="567"/>
      <c r="AA27" s="568"/>
      <c r="AC27" s="508"/>
    </row>
    <row r="28" spans="1:39" s="387" customFormat="1" ht="26.25" customHeight="1">
      <c r="A28" s="394">
        <f>_xlfn.AGGREGATE(4,7,A$11:A27)+1</f>
        <v>17</v>
      </c>
      <c r="B28" s="378" t="s">
        <v>1450</v>
      </c>
      <c r="C28" s="390" t="s">
        <v>1440</v>
      </c>
      <c r="D28" s="424" t="s">
        <v>1625</v>
      </c>
      <c r="E28" s="440" t="s">
        <v>1441</v>
      </c>
      <c r="F28" s="381">
        <v>4.9800000000000004</v>
      </c>
      <c r="G28" s="382">
        <v>0.05</v>
      </c>
      <c r="H28" s="383">
        <f t="shared" si="0"/>
        <v>5.2290000000000001</v>
      </c>
      <c r="I28" s="383">
        <v>0.45</v>
      </c>
      <c r="J28" s="384">
        <f t="shared" si="1"/>
        <v>5.6790000000000003</v>
      </c>
      <c r="K28" s="377">
        <f t="shared" si="2"/>
        <v>10222200</v>
      </c>
      <c r="L28" s="381" t="str">
        <f>VLOOKUP(B28,'[1]Gui chi Quynh'!$B$7:$F$397,5,FALSE)</f>
        <v>A2</v>
      </c>
      <c r="M28" s="515">
        <f t="shared" si="3"/>
        <v>14311080</v>
      </c>
      <c r="N28" s="391">
        <v>21</v>
      </c>
      <c r="O28" s="459">
        <f>IFERROR(INDEX('[2]CN BC'!$J$10:$J$276,MATCH(B28,'[2]CN BC'!$H$10:$H$276,0)),"")</f>
        <v>26</v>
      </c>
      <c r="P28" s="515">
        <f t="shared" si="4"/>
        <v>14311080</v>
      </c>
      <c r="Q28" s="409"/>
      <c r="R28" s="377">
        <f t="shared" si="10"/>
        <v>0</v>
      </c>
      <c r="S28" s="401"/>
      <c r="T28" s="377">
        <f t="shared" si="5"/>
        <v>0</v>
      </c>
      <c r="U28" s="377">
        <f t="shared" si="6"/>
        <v>102222</v>
      </c>
      <c r="V28" s="386">
        <f t="shared" si="7"/>
        <v>14413302</v>
      </c>
      <c r="W28" s="459">
        <v>27</v>
      </c>
      <c r="X28" s="606">
        <f t="shared" si="8"/>
        <v>17</v>
      </c>
      <c r="Y28" s="514">
        <f>IFERROR(INDEX('[2]CN BC'!$M$10:$M$276,MATCH(B28,'[2]CN BC'!$H$10:$H$276,0)),"")</f>
        <v>0</v>
      </c>
      <c r="Z28" s="147"/>
      <c r="AA28" s="113"/>
      <c r="AB28" s="114"/>
      <c r="AC28" s="161"/>
      <c r="AD28" s="114"/>
      <c r="AE28" s="114"/>
      <c r="AF28" s="114"/>
      <c r="AG28" s="114"/>
      <c r="AH28" s="114"/>
      <c r="AI28" s="114"/>
      <c r="AJ28" s="114"/>
      <c r="AK28" s="114"/>
      <c r="AL28" s="114"/>
      <c r="AM28" s="114"/>
    </row>
    <row r="29" spans="1:39" s="387" customFormat="1" ht="25.5" customHeight="1">
      <c r="A29" s="394">
        <f>_xlfn.AGGREGATE(4,7,A$11:A28)+1</f>
        <v>18</v>
      </c>
      <c r="B29" s="378" t="s">
        <v>1996</v>
      </c>
      <c r="C29" s="390" t="s">
        <v>1028</v>
      </c>
      <c r="D29" s="424" t="s">
        <v>1626</v>
      </c>
      <c r="E29" s="441" t="s">
        <v>1393</v>
      </c>
      <c r="F29" s="381">
        <v>4.9800000000000004</v>
      </c>
      <c r="G29" s="382">
        <v>7.0000000000000007E-2</v>
      </c>
      <c r="H29" s="383">
        <f t="shared" si="0"/>
        <v>5.3286000000000007</v>
      </c>
      <c r="I29" s="383">
        <v>0.35</v>
      </c>
      <c r="J29" s="384">
        <f t="shared" si="1"/>
        <v>5.6786000000000003</v>
      </c>
      <c r="K29" s="377">
        <f t="shared" si="2"/>
        <v>10221480</v>
      </c>
      <c r="L29" s="381" t="str">
        <f>VLOOKUP(B29,'[1]Gui chi Quynh'!$B$7:$F$397,5,FALSE)</f>
        <v>A2</v>
      </c>
      <c r="M29" s="515">
        <f t="shared" si="3"/>
        <v>14310072</v>
      </c>
      <c r="N29" s="391">
        <v>21</v>
      </c>
      <c r="O29" s="459">
        <f>IFERROR(INDEX('[2]CN BC'!$J$10:$J$276,MATCH(B29,'[2]CN BC'!$H$10:$H$276,0)),"")</f>
        <v>26</v>
      </c>
      <c r="P29" s="515">
        <f t="shared" si="4"/>
        <v>14310072</v>
      </c>
      <c r="Q29" s="409"/>
      <c r="R29" s="377">
        <f t="shared" si="10"/>
        <v>0</v>
      </c>
      <c r="S29" s="401"/>
      <c r="T29" s="377">
        <f t="shared" si="5"/>
        <v>0</v>
      </c>
      <c r="U29" s="377">
        <f t="shared" si="6"/>
        <v>102215</v>
      </c>
      <c r="V29" s="386">
        <f t="shared" si="7"/>
        <v>14412287</v>
      </c>
      <c r="W29" s="459">
        <v>26</v>
      </c>
      <c r="X29" s="606">
        <f t="shared" si="8"/>
        <v>18</v>
      </c>
      <c r="Y29" s="514">
        <f>IFERROR(INDEX('[2]CN BC'!$M$10:$M$276,MATCH(B29,'[2]CN BC'!$H$10:$H$276,0)),"")</f>
        <v>0</v>
      </c>
      <c r="Z29" s="147"/>
      <c r="AA29" s="113"/>
      <c r="AB29" s="114"/>
      <c r="AC29" s="161"/>
      <c r="AD29" s="114"/>
      <c r="AE29" s="114"/>
      <c r="AF29" s="114"/>
      <c r="AG29" s="114"/>
      <c r="AH29" s="114"/>
      <c r="AI29" s="114"/>
      <c r="AJ29" s="114"/>
      <c r="AK29" s="114"/>
      <c r="AL29" s="114"/>
      <c r="AM29" s="114"/>
    </row>
    <row r="30" spans="1:39" s="114" customFormat="1" ht="25.5" customHeight="1">
      <c r="A30" s="394">
        <f>_xlfn.AGGREGATE(4,7,A$11:A29)+1</f>
        <v>19</v>
      </c>
      <c r="B30" s="37" t="s">
        <v>1849</v>
      </c>
      <c r="C30" s="155" t="s">
        <v>1172</v>
      </c>
      <c r="D30" s="424" t="s">
        <v>1627</v>
      </c>
      <c r="E30" s="442" t="s">
        <v>1267</v>
      </c>
      <c r="F30" s="10">
        <v>3.65</v>
      </c>
      <c r="G30" s="163"/>
      <c r="H30" s="383">
        <f t="shared" si="0"/>
        <v>3.65</v>
      </c>
      <c r="I30" s="86">
        <v>0.25</v>
      </c>
      <c r="J30" s="384">
        <f t="shared" si="1"/>
        <v>3.9</v>
      </c>
      <c r="K30" s="377">
        <f t="shared" si="2"/>
        <v>7020000</v>
      </c>
      <c r="L30" s="381" t="str">
        <f>VLOOKUP(B30,'[1]Gui chi Quynh'!$B$7:$F$397,5,FALSE)</f>
        <v>A1</v>
      </c>
      <c r="M30" s="515">
        <f t="shared" si="3"/>
        <v>11232000</v>
      </c>
      <c r="N30" s="391">
        <v>21</v>
      </c>
      <c r="O30" s="459">
        <f>IFERROR(INDEX('[2]CN BC'!$J$10:$J$276,MATCH(B30,'[2]CN BC'!$H$10:$H$276,0)),"")</f>
        <v>23</v>
      </c>
      <c r="P30" s="515">
        <f t="shared" si="4"/>
        <v>11232000</v>
      </c>
      <c r="Q30" s="409"/>
      <c r="R30" s="377">
        <f t="shared" si="10"/>
        <v>0</v>
      </c>
      <c r="S30" s="401"/>
      <c r="T30" s="377">
        <f t="shared" si="5"/>
        <v>0</v>
      </c>
      <c r="U30" s="377">
        <f t="shared" si="6"/>
        <v>70200</v>
      </c>
      <c r="V30" s="386">
        <f t="shared" si="7"/>
        <v>11302200</v>
      </c>
      <c r="W30" s="459">
        <v>27</v>
      </c>
      <c r="X30" s="606">
        <f t="shared" si="8"/>
        <v>19</v>
      </c>
      <c r="Y30" s="514">
        <f>IFERROR(INDEX('[2]CN BC'!$M$10:$M$276,MATCH(B30,'[2]CN BC'!$H$10:$H$276,0)),"")</f>
        <v>0</v>
      </c>
      <c r="Z30" s="147"/>
      <c r="AA30" s="113"/>
      <c r="AC30" s="161"/>
    </row>
    <row r="31" spans="1:39" s="387" customFormat="1" ht="25.5" customHeight="1">
      <c r="A31" s="394">
        <f>_xlfn.AGGREGATE(4,7,A$11:A30)+1</f>
        <v>20</v>
      </c>
      <c r="B31" s="378" t="s">
        <v>1850</v>
      </c>
      <c r="C31" s="390" t="s">
        <v>1035</v>
      </c>
      <c r="D31" s="452" t="s">
        <v>1628</v>
      </c>
      <c r="E31" s="441" t="s">
        <v>1268</v>
      </c>
      <c r="F31" s="381">
        <v>3.26</v>
      </c>
      <c r="G31" s="382"/>
      <c r="H31" s="383">
        <f t="shared" si="0"/>
        <v>3.26</v>
      </c>
      <c r="I31" s="383"/>
      <c r="J31" s="384">
        <f t="shared" si="1"/>
        <v>3.26</v>
      </c>
      <c r="K31" s="377">
        <f t="shared" si="2"/>
        <v>5868000</v>
      </c>
      <c r="L31" s="381" t="str">
        <f>VLOOKUP(B31,'[1]Gui chi Quynh'!$B$7:$F$397,5,FALSE)</f>
        <v>A3</v>
      </c>
      <c r="M31" s="515">
        <f t="shared" si="3"/>
        <v>7041600</v>
      </c>
      <c r="N31" s="391">
        <v>21</v>
      </c>
      <c r="O31" s="459">
        <f>IFERROR(INDEX('[2]CN BC'!$J$10:$J$276,MATCH(B31,'[2]CN BC'!$H$10:$H$276,0)),"")</f>
        <v>21</v>
      </c>
      <c r="P31" s="515">
        <f t="shared" si="4"/>
        <v>7041600</v>
      </c>
      <c r="Q31" s="480"/>
      <c r="R31" s="377">
        <f t="shared" si="10"/>
        <v>0</v>
      </c>
      <c r="S31" s="385"/>
      <c r="T31" s="377">
        <f t="shared" si="5"/>
        <v>0</v>
      </c>
      <c r="U31" s="377">
        <f t="shared" si="6"/>
        <v>58680</v>
      </c>
      <c r="V31" s="386">
        <f t="shared" si="7"/>
        <v>7100280</v>
      </c>
      <c r="W31" s="459">
        <v>23</v>
      </c>
      <c r="X31" s="606">
        <f t="shared" si="8"/>
        <v>20</v>
      </c>
      <c r="Y31" s="514">
        <f>IFERROR(INDEX('[2]CN BC'!$M$10:$M$276,MATCH(B31,'[2]CN BC'!$H$10:$H$276,0)),"")</f>
        <v>0</v>
      </c>
      <c r="Z31" s="147"/>
      <c r="AA31" s="113"/>
      <c r="AB31" s="114"/>
      <c r="AC31" s="161"/>
      <c r="AD31" s="114"/>
      <c r="AE31" s="114"/>
      <c r="AF31" s="114"/>
      <c r="AG31" s="114"/>
      <c r="AH31" s="114"/>
      <c r="AI31" s="114"/>
    </row>
    <row r="32" spans="1:39" s="114" customFormat="1" ht="27.75" customHeight="1">
      <c r="A32" s="394">
        <f>_xlfn.AGGREGATE(4,7,A$11:A31)+1</f>
        <v>21</v>
      </c>
      <c r="B32" s="37" t="s">
        <v>1451</v>
      </c>
      <c r="C32" s="155" t="s">
        <v>1087</v>
      </c>
      <c r="D32" s="424" t="s">
        <v>1629</v>
      </c>
      <c r="E32" s="449" t="s">
        <v>367</v>
      </c>
      <c r="F32" s="10">
        <v>3.46</v>
      </c>
      <c r="G32" s="163"/>
      <c r="H32" s="383">
        <f t="shared" si="0"/>
        <v>3.46</v>
      </c>
      <c r="I32" s="86"/>
      <c r="J32" s="384">
        <f t="shared" si="1"/>
        <v>3.46</v>
      </c>
      <c r="K32" s="377">
        <f t="shared" si="2"/>
        <v>6228000</v>
      </c>
      <c r="L32" s="381" t="str">
        <f>VLOOKUP(B32,'[1]Gui chi Quynh'!$B$7:$F$397,5,FALSE)</f>
        <v>A1</v>
      </c>
      <c r="M32" s="515">
        <f t="shared" si="3"/>
        <v>9964800</v>
      </c>
      <c r="N32" s="391">
        <v>21</v>
      </c>
      <c r="O32" s="459">
        <f>IFERROR(INDEX('[2]CN BC'!$J$10:$J$276,MATCH(B32,'[2]CN BC'!$H$10:$H$276,0)),"")</f>
        <v>21</v>
      </c>
      <c r="P32" s="515">
        <f t="shared" si="4"/>
        <v>9964800</v>
      </c>
      <c r="Q32" s="409"/>
      <c r="R32" s="377">
        <f t="shared" si="10"/>
        <v>0</v>
      </c>
      <c r="S32" s="401"/>
      <c r="T32" s="377">
        <f t="shared" si="5"/>
        <v>0</v>
      </c>
      <c r="U32" s="377">
        <f t="shared" si="6"/>
        <v>62280</v>
      </c>
      <c r="V32" s="386">
        <f t="shared" si="7"/>
        <v>10027080</v>
      </c>
      <c r="W32" s="459">
        <v>25</v>
      </c>
      <c r="X32" s="606">
        <f t="shared" si="8"/>
        <v>21</v>
      </c>
      <c r="Y32" s="514">
        <f>IFERROR(INDEX('[2]CN BC'!$M$10:$M$276,MATCH(B32,'[2]CN BC'!$H$10:$H$276,0)),"")</f>
        <v>0</v>
      </c>
      <c r="Z32" s="147"/>
      <c r="AA32" s="491"/>
      <c r="AC32" s="161"/>
    </row>
    <row r="33" spans="1:39" s="387" customFormat="1" ht="29.25" customHeight="1">
      <c r="A33" s="394">
        <f>_xlfn.AGGREGATE(4,7,A$11:A32)+1</f>
        <v>22</v>
      </c>
      <c r="B33" s="378" t="s">
        <v>1452</v>
      </c>
      <c r="C33" s="390" t="s">
        <v>876</v>
      </c>
      <c r="D33" s="452" t="s">
        <v>1630</v>
      </c>
      <c r="E33" s="444">
        <v>1603205348129</v>
      </c>
      <c r="F33" s="381">
        <v>3.34</v>
      </c>
      <c r="G33" s="382"/>
      <c r="H33" s="383">
        <f t="shared" si="0"/>
        <v>3.34</v>
      </c>
      <c r="I33" s="383"/>
      <c r="J33" s="384">
        <f t="shared" si="1"/>
        <v>3.34</v>
      </c>
      <c r="K33" s="377">
        <f t="shared" si="2"/>
        <v>6012000</v>
      </c>
      <c r="L33" s="381" t="str">
        <f>VLOOKUP(B33,'[1]Gui chi Quynh'!$B$7:$F$397,5,FALSE)</f>
        <v>A2</v>
      </c>
      <c r="M33" s="515">
        <f t="shared" si="3"/>
        <v>8416800</v>
      </c>
      <c r="N33" s="391">
        <v>21</v>
      </c>
      <c r="O33" s="459">
        <f>IFERROR(INDEX('[2]CN BC'!$J$10:$J$276,MATCH(B33,'[2]CN BC'!$H$10:$H$276,0)),"")</f>
        <v>22</v>
      </c>
      <c r="P33" s="515">
        <f t="shared" si="4"/>
        <v>8416800</v>
      </c>
      <c r="Q33" s="480"/>
      <c r="R33" s="377">
        <f t="shared" si="10"/>
        <v>0</v>
      </c>
      <c r="S33" s="385"/>
      <c r="T33" s="377">
        <f t="shared" si="5"/>
        <v>0</v>
      </c>
      <c r="U33" s="377">
        <f t="shared" si="6"/>
        <v>60120</v>
      </c>
      <c r="V33" s="386">
        <f t="shared" si="7"/>
        <v>8476920</v>
      </c>
      <c r="W33" s="459">
        <v>25</v>
      </c>
      <c r="X33" s="606">
        <f t="shared" si="8"/>
        <v>22</v>
      </c>
      <c r="Y33" s="514">
        <f>IFERROR(INDEX('[2]CN BC'!$M$10:$M$276,MATCH(B33,'[2]CN BC'!$H$10:$H$276,0)),"")</f>
        <v>0</v>
      </c>
      <c r="Z33" s="147"/>
      <c r="AA33" s="113"/>
      <c r="AB33" s="114"/>
      <c r="AC33" s="161"/>
      <c r="AD33" s="114"/>
      <c r="AE33" s="114"/>
      <c r="AF33" s="114"/>
      <c r="AG33" s="114"/>
      <c r="AH33" s="114"/>
      <c r="AI33" s="114"/>
    </row>
    <row r="34" spans="1:39" s="114" customFormat="1" ht="24.75" customHeight="1">
      <c r="A34" s="394">
        <f>_xlfn.AGGREGATE(4,7,A$11:A33)+1</f>
        <v>23</v>
      </c>
      <c r="B34" s="37" t="s">
        <v>1453</v>
      </c>
      <c r="C34" s="155" t="s">
        <v>939</v>
      </c>
      <c r="D34" s="424" t="s">
        <v>1631</v>
      </c>
      <c r="E34" s="449" t="s">
        <v>384</v>
      </c>
      <c r="F34" s="88">
        <v>3.66</v>
      </c>
      <c r="G34" s="163"/>
      <c r="H34" s="465">
        <f t="shared" si="0"/>
        <v>3.66</v>
      </c>
      <c r="I34" s="86"/>
      <c r="J34" s="384">
        <f t="shared" si="1"/>
        <v>3.66</v>
      </c>
      <c r="K34" s="377">
        <f t="shared" si="2"/>
        <v>6588000</v>
      </c>
      <c r="L34" s="381" t="str">
        <f>VLOOKUP(B34,'[1]Gui chi Quynh'!$B$7:$F$397,5,FALSE)</f>
        <v>A3</v>
      </c>
      <c r="M34" s="515">
        <f t="shared" si="3"/>
        <v>7905600</v>
      </c>
      <c r="N34" s="391">
        <v>21</v>
      </c>
      <c r="O34" s="459">
        <f>IFERROR(INDEX('[2]CN BC'!$J$10:$J$276,MATCH(B34,'[2]CN BC'!$H$10:$H$276,0)),"")</f>
        <v>21</v>
      </c>
      <c r="P34" s="515">
        <f t="shared" si="4"/>
        <v>7905600</v>
      </c>
      <c r="Q34" s="409"/>
      <c r="R34" s="377">
        <f t="shared" si="10"/>
        <v>0</v>
      </c>
      <c r="S34" s="401"/>
      <c r="T34" s="377">
        <f t="shared" si="5"/>
        <v>0</v>
      </c>
      <c r="U34" s="377">
        <f t="shared" si="6"/>
        <v>65880</v>
      </c>
      <c r="V34" s="386">
        <f t="shared" si="7"/>
        <v>7971480</v>
      </c>
      <c r="W34" s="459">
        <v>23</v>
      </c>
      <c r="X34" s="606">
        <f t="shared" si="8"/>
        <v>23</v>
      </c>
      <c r="Y34" s="514">
        <f>IFERROR(INDEX('[2]CN BC'!$M$10:$M$276,MATCH(B34,'[2]CN BC'!$H$10:$H$276,0)),"")</f>
        <v>0</v>
      </c>
      <c r="Z34" s="147"/>
      <c r="AA34" s="113"/>
      <c r="AC34" s="161"/>
    </row>
    <row r="35" spans="1:39" s="387" customFormat="1" ht="25.5" customHeight="1">
      <c r="A35" s="394">
        <f>_xlfn.AGGREGATE(4,7,A$11:A34)+1</f>
        <v>24</v>
      </c>
      <c r="B35" s="378" t="s">
        <v>1522</v>
      </c>
      <c r="C35" s="396" t="s">
        <v>891</v>
      </c>
      <c r="D35" s="452" t="s">
        <v>1633</v>
      </c>
      <c r="E35" s="448">
        <v>1603205357238</v>
      </c>
      <c r="F35" s="381">
        <v>3.03</v>
      </c>
      <c r="G35" s="382"/>
      <c r="H35" s="383">
        <f t="shared" si="0"/>
        <v>3.03</v>
      </c>
      <c r="I35" s="383"/>
      <c r="J35" s="384">
        <f t="shared" si="1"/>
        <v>3.03</v>
      </c>
      <c r="K35" s="377">
        <f t="shared" si="2"/>
        <v>5454000</v>
      </c>
      <c r="L35" s="381" t="str">
        <f>VLOOKUP(B35,'[1]Gui chi Quynh'!$B$7:$F$397,5,FALSE)</f>
        <v>A3</v>
      </c>
      <c r="M35" s="515">
        <f t="shared" si="3"/>
        <v>6544800</v>
      </c>
      <c r="N35" s="391">
        <v>21</v>
      </c>
      <c r="O35" s="459">
        <f>IFERROR(INDEX('[2]CN BC'!$J$10:$J$276,MATCH(B35,'[2]CN BC'!$H$10:$H$276,0)),"")</f>
        <v>27</v>
      </c>
      <c r="P35" s="515">
        <f t="shared" si="4"/>
        <v>6544800</v>
      </c>
      <c r="Q35" s="480"/>
      <c r="R35" s="377">
        <f t="shared" si="10"/>
        <v>0</v>
      </c>
      <c r="S35" s="385"/>
      <c r="T35" s="377">
        <f t="shared" si="5"/>
        <v>0</v>
      </c>
      <c r="U35" s="377">
        <f t="shared" si="6"/>
        <v>54540</v>
      </c>
      <c r="V35" s="386">
        <f t="shared" si="7"/>
        <v>6599340</v>
      </c>
      <c r="W35" s="459">
        <v>24</v>
      </c>
      <c r="X35" s="606">
        <f t="shared" si="8"/>
        <v>24</v>
      </c>
      <c r="Y35" s="514">
        <f>IFERROR(INDEX('[2]CN BC'!$M$10:$M$276,MATCH(B35,'[2]CN BC'!$H$10:$H$276,0)),"")</f>
        <v>0</v>
      </c>
      <c r="Z35" s="147"/>
      <c r="AA35" s="113"/>
      <c r="AB35" s="114"/>
      <c r="AC35" s="161"/>
      <c r="AD35" s="114"/>
      <c r="AE35" s="114"/>
      <c r="AF35" s="114"/>
      <c r="AG35" s="114"/>
      <c r="AH35" s="114"/>
      <c r="AI35" s="114"/>
    </row>
    <row r="36" spans="1:39" s="387" customFormat="1" ht="29.25" customHeight="1">
      <c r="A36" s="394">
        <f>_xlfn.AGGREGATE(4,7,A$11:A35)+1</f>
        <v>25</v>
      </c>
      <c r="B36" s="378" t="s">
        <v>1523</v>
      </c>
      <c r="C36" s="396" t="s">
        <v>876</v>
      </c>
      <c r="D36" s="452" t="s">
        <v>1634</v>
      </c>
      <c r="E36" s="444">
        <v>1603205302590</v>
      </c>
      <c r="F36" s="381">
        <v>3.34</v>
      </c>
      <c r="G36" s="382"/>
      <c r="H36" s="383">
        <f t="shared" si="0"/>
        <v>3.34</v>
      </c>
      <c r="I36" s="383"/>
      <c r="J36" s="384">
        <f t="shared" si="1"/>
        <v>3.34</v>
      </c>
      <c r="K36" s="377">
        <f t="shared" si="2"/>
        <v>6012000</v>
      </c>
      <c r="L36" s="381" t="str">
        <f>VLOOKUP(B36,'[1]Gui chi Quynh'!$B$7:$F$397,5,FALSE)</f>
        <v>A3</v>
      </c>
      <c r="M36" s="515">
        <f t="shared" si="3"/>
        <v>7214400</v>
      </c>
      <c r="N36" s="391">
        <v>21</v>
      </c>
      <c r="O36" s="459">
        <f>IFERROR(INDEX('[2]CN BC'!$J$10:$J$276,MATCH(B36,'[2]CN BC'!$H$10:$H$276,0)),"")</f>
        <v>26</v>
      </c>
      <c r="P36" s="515">
        <f t="shared" si="4"/>
        <v>7214400</v>
      </c>
      <c r="Q36" s="480"/>
      <c r="R36" s="377">
        <f t="shared" si="10"/>
        <v>0</v>
      </c>
      <c r="S36" s="385"/>
      <c r="T36" s="377">
        <f t="shared" si="5"/>
        <v>0</v>
      </c>
      <c r="U36" s="377">
        <f t="shared" si="6"/>
        <v>60120</v>
      </c>
      <c r="V36" s="386">
        <f t="shared" si="7"/>
        <v>7274520</v>
      </c>
      <c r="W36" s="459">
        <v>23</v>
      </c>
      <c r="X36" s="606">
        <f t="shared" si="8"/>
        <v>25</v>
      </c>
      <c r="Y36" s="514">
        <f>IFERROR(INDEX('[2]CN BC'!$M$10:$M$276,MATCH(B36,'[2]CN BC'!$H$10:$H$276,0)),"")</f>
        <v>0</v>
      </c>
      <c r="Z36" s="147"/>
      <c r="AA36" s="113"/>
      <c r="AB36" s="114"/>
      <c r="AC36" s="161"/>
      <c r="AD36" s="114"/>
      <c r="AE36" s="114"/>
      <c r="AF36" s="114"/>
      <c r="AG36" s="114"/>
      <c r="AH36" s="114"/>
      <c r="AI36" s="114"/>
    </row>
    <row r="37" spans="1:39" s="387" customFormat="1" ht="26.25" customHeight="1">
      <c r="A37" s="394">
        <f>_xlfn.AGGREGATE(4,7,A$11:A36)+1</f>
        <v>26</v>
      </c>
      <c r="B37" s="464" t="s">
        <v>1606</v>
      </c>
      <c r="C37" s="437" t="s">
        <v>1605</v>
      </c>
      <c r="D37" s="436" t="s">
        <v>1635</v>
      </c>
      <c r="E37" s="509" t="s">
        <v>1604</v>
      </c>
      <c r="F37" s="388">
        <v>3</v>
      </c>
      <c r="G37" s="382"/>
      <c r="H37" s="465">
        <f t="shared" si="0"/>
        <v>3</v>
      </c>
      <c r="I37" s="383">
        <v>0.35</v>
      </c>
      <c r="J37" s="384">
        <f t="shared" si="1"/>
        <v>3.35</v>
      </c>
      <c r="K37" s="377">
        <f t="shared" si="2"/>
        <v>6030000</v>
      </c>
      <c r="L37" s="381" t="str">
        <f>VLOOKUP(B37,'[1]Gui chi Quynh'!$B$7:$F$397,5,FALSE)</f>
        <v>A1</v>
      </c>
      <c r="M37" s="515">
        <f t="shared" si="3"/>
        <v>9648000</v>
      </c>
      <c r="N37" s="391">
        <v>21</v>
      </c>
      <c r="O37" s="459">
        <f>IFERROR(INDEX('[2]CN BC'!$J$10:$J$276,MATCH(B37,'[2]CN BC'!$H$10:$H$276,0)),"")</f>
        <v>31</v>
      </c>
      <c r="P37" s="515">
        <f t="shared" si="4"/>
        <v>9648000</v>
      </c>
      <c r="Q37" s="480"/>
      <c r="R37" s="377">
        <f>Q37*$G$8*1.6</f>
        <v>0</v>
      </c>
      <c r="S37" s="385"/>
      <c r="T37" s="377">
        <f t="shared" si="5"/>
        <v>0</v>
      </c>
      <c r="U37" s="377">
        <f t="shared" si="6"/>
        <v>60300</v>
      </c>
      <c r="V37" s="386">
        <f t="shared" si="7"/>
        <v>9708300</v>
      </c>
      <c r="W37" s="487">
        <v>24</v>
      </c>
      <c r="X37" s="606">
        <f t="shared" si="8"/>
        <v>26</v>
      </c>
      <c r="Y37" s="514">
        <f>IFERROR(INDEX('[2]CN BC'!$M$10:$M$276,MATCH(B37,'[2]CN BC'!$H$10:$H$276,0)),"")</f>
        <v>0</v>
      </c>
      <c r="Z37" s="147"/>
      <c r="AA37" s="113"/>
      <c r="AB37" s="114"/>
      <c r="AC37" s="161"/>
    </row>
    <row r="38" spans="1:39" s="387" customFormat="1" ht="26.25" customHeight="1">
      <c r="A38" s="394">
        <f>_xlfn.AGGREGATE(4,7,A$11:A37)+1</f>
        <v>27</v>
      </c>
      <c r="B38" s="464" t="s">
        <v>1843</v>
      </c>
      <c r="C38" s="437"/>
      <c r="D38" s="436" t="s">
        <v>1955</v>
      </c>
      <c r="E38" s="500" t="s">
        <v>1936</v>
      </c>
      <c r="F38" s="381">
        <v>2.67</v>
      </c>
      <c r="G38" s="382"/>
      <c r="H38" s="383">
        <f t="shared" si="0"/>
        <v>2.67</v>
      </c>
      <c r="I38" s="383"/>
      <c r="J38" s="384">
        <f t="shared" si="1"/>
        <v>2.67</v>
      </c>
      <c r="K38" s="377">
        <f t="shared" si="2"/>
        <v>4806000</v>
      </c>
      <c r="L38" s="381" t="str">
        <f>VLOOKUP(B38,'[1]Gui chi Quynh'!$B$7:$F$397,5,FALSE)</f>
        <v>A1</v>
      </c>
      <c r="M38" s="515">
        <f t="shared" si="3"/>
        <v>7689600</v>
      </c>
      <c r="N38" s="391">
        <v>21</v>
      </c>
      <c r="O38" s="459">
        <f>IFERROR(INDEX('[2]CN BC'!$J$10:$J$276,MATCH(B38,'[2]CN BC'!$H$10:$H$276,0)),"")</f>
        <v>24</v>
      </c>
      <c r="P38" s="515">
        <f t="shared" si="4"/>
        <v>7689600</v>
      </c>
      <c r="Q38" s="480"/>
      <c r="R38" s="377">
        <f>Q38*$G$8*1</f>
        <v>0</v>
      </c>
      <c r="S38" s="385"/>
      <c r="T38" s="377">
        <f t="shared" si="5"/>
        <v>0</v>
      </c>
      <c r="U38" s="377">
        <f t="shared" si="6"/>
        <v>48060</v>
      </c>
      <c r="V38" s="386">
        <f t="shared" si="7"/>
        <v>7737660</v>
      </c>
      <c r="W38" s="459">
        <v>24</v>
      </c>
      <c r="X38" s="606">
        <f t="shared" si="8"/>
        <v>27</v>
      </c>
      <c r="Y38" s="514">
        <f>IFERROR(INDEX('[2]CN BC'!$M$10:$M$276,MATCH(B38,'[2]CN BC'!$H$10:$H$276,0)),"")</f>
        <v>0</v>
      </c>
      <c r="Z38" s="147"/>
      <c r="AA38" s="113"/>
      <c r="AB38" s="114"/>
      <c r="AC38" s="161"/>
      <c r="AD38" s="114"/>
      <c r="AE38" s="114"/>
      <c r="AF38" s="114"/>
      <c r="AG38" s="114"/>
      <c r="AH38" s="114"/>
      <c r="AI38" s="114"/>
    </row>
    <row r="39" spans="1:39" s="114" customFormat="1" ht="27" customHeight="1">
      <c r="A39" s="394">
        <f>_xlfn.AGGREGATE(4,7,A$11:A38)+1</f>
        <v>28</v>
      </c>
      <c r="B39" s="37" t="s">
        <v>1856</v>
      </c>
      <c r="C39" s="155" t="s">
        <v>880</v>
      </c>
      <c r="D39" s="424" t="s">
        <v>1652</v>
      </c>
      <c r="E39" s="442" t="s">
        <v>1293</v>
      </c>
      <c r="F39" s="10">
        <v>4.9800000000000004</v>
      </c>
      <c r="G39" s="163">
        <v>0.05</v>
      </c>
      <c r="H39" s="383">
        <f t="shared" si="0"/>
        <v>5.2290000000000001</v>
      </c>
      <c r="I39" s="383">
        <v>0.25</v>
      </c>
      <c r="J39" s="384">
        <f t="shared" si="1"/>
        <v>5.4790000000000001</v>
      </c>
      <c r="K39" s="377">
        <f t="shared" si="2"/>
        <v>9862200</v>
      </c>
      <c r="L39" s="381" t="str">
        <f>VLOOKUP(B39,'[1]Gui chi Quynh'!$B$7:$F$397,5,FALSE)</f>
        <v>A3</v>
      </c>
      <c r="M39" s="515">
        <f t="shared" si="3"/>
        <v>11834640</v>
      </c>
      <c r="N39" s="391">
        <v>21</v>
      </c>
      <c r="O39" s="459">
        <f>IFERROR(INDEX('[2]CN BC'!$J$10:$J$276,MATCH(B39,'[2]CN BC'!$H$10:$H$276,0)),"")</f>
        <v>26</v>
      </c>
      <c r="P39" s="515">
        <f t="shared" si="4"/>
        <v>11834640</v>
      </c>
      <c r="Q39" s="409"/>
      <c r="R39" s="377">
        <f>Q39*$G$8*1</f>
        <v>0</v>
      </c>
      <c r="S39" s="401"/>
      <c r="T39" s="377">
        <f t="shared" si="5"/>
        <v>0</v>
      </c>
      <c r="U39" s="377">
        <f t="shared" si="6"/>
        <v>98622</v>
      </c>
      <c r="V39" s="386">
        <f t="shared" si="7"/>
        <v>11933262</v>
      </c>
      <c r="W39" s="459">
        <v>27</v>
      </c>
      <c r="X39" s="606">
        <f t="shared" si="8"/>
        <v>28</v>
      </c>
      <c r="Y39" s="514">
        <f>IFERROR(INDEX('[2]CN BC'!$M$10:$M$276,MATCH(B39,'[2]CN BC'!$H$10:$H$276,0)),"")</f>
        <v>0</v>
      </c>
      <c r="Z39" s="147"/>
      <c r="AA39" s="113"/>
      <c r="AC39" s="161"/>
    </row>
    <row r="40" spans="1:39" s="387" customFormat="1" ht="27" customHeight="1">
      <c r="A40" s="394">
        <f>_xlfn.AGGREGATE(4,7,A$11:A39)+1</f>
        <v>29</v>
      </c>
      <c r="B40" s="378" t="s">
        <v>1462</v>
      </c>
      <c r="C40" s="390" t="s">
        <v>962</v>
      </c>
      <c r="D40" s="452" t="s">
        <v>1654</v>
      </c>
      <c r="E40" s="446">
        <v>1603205182619</v>
      </c>
      <c r="F40" s="381">
        <v>3.66</v>
      </c>
      <c r="G40" s="382"/>
      <c r="H40" s="383">
        <f t="shared" si="0"/>
        <v>3.66</v>
      </c>
      <c r="I40" s="383"/>
      <c r="J40" s="384">
        <f t="shared" si="1"/>
        <v>3.66</v>
      </c>
      <c r="K40" s="377">
        <f t="shared" si="2"/>
        <v>6588000</v>
      </c>
      <c r="L40" s="381" t="str">
        <f>VLOOKUP(B40,'[1]Gui chi Quynh'!$B$7:$F$397,5,FALSE)</f>
        <v>A4</v>
      </c>
      <c r="M40" s="515">
        <f t="shared" si="3"/>
        <v>6588000</v>
      </c>
      <c r="N40" s="391">
        <v>21</v>
      </c>
      <c r="O40" s="459">
        <f>IFERROR(INDEX('[2]CN BC'!$J$10:$J$276,MATCH(B40,'[2]CN BC'!$H$10:$H$276,0)),"")</f>
        <v>23</v>
      </c>
      <c r="P40" s="515">
        <f t="shared" si="4"/>
        <v>6588000</v>
      </c>
      <c r="Q40" s="480"/>
      <c r="R40" s="377">
        <f>Q40*$G$8*0.8</f>
        <v>0</v>
      </c>
      <c r="S40" s="385"/>
      <c r="T40" s="377">
        <f t="shared" si="5"/>
        <v>0</v>
      </c>
      <c r="U40" s="377">
        <f t="shared" si="6"/>
        <v>65880</v>
      </c>
      <c r="V40" s="386">
        <f t="shared" si="7"/>
        <v>6653880</v>
      </c>
      <c r="W40" s="487">
        <v>23</v>
      </c>
      <c r="X40" s="606">
        <f t="shared" si="8"/>
        <v>29</v>
      </c>
      <c r="Y40" s="514">
        <f>IFERROR(INDEX('[2]CN BC'!$M$10:$M$276,MATCH(B40,'[2]CN BC'!$H$10:$H$276,0)),"")</f>
        <v>0</v>
      </c>
      <c r="Z40" s="574"/>
      <c r="AA40" s="568"/>
      <c r="AC40" s="508"/>
    </row>
    <row r="41" spans="1:39" s="387" customFormat="1" ht="27" customHeight="1">
      <c r="A41" s="394">
        <f>_xlfn.AGGREGATE(4,7,A$11:A40)+1</f>
        <v>30</v>
      </c>
      <c r="B41" s="378" t="s">
        <v>2012</v>
      </c>
      <c r="C41" s="390"/>
      <c r="D41" s="452"/>
      <c r="E41" s="446"/>
      <c r="F41" s="381">
        <v>4.0599999999999996</v>
      </c>
      <c r="G41" s="382">
        <v>0.1</v>
      </c>
      <c r="H41" s="383">
        <f t="shared" si="0"/>
        <v>4.4659999999999993</v>
      </c>
      <c r="I41" s="383">
        <v>0.35</v>
      </c>
      <c r="J41" s="384">
        <f t="shared" si="1"/>
        <v>4.8159999999999989</v>
      </c>
      <c r="K41" s="377">
        <f t="shared" si="2"/>
        <v>8668799.9999999981</v>
      </c>
      <c r="L41" s="381" t="str">
        <f>VLOOKUP(B41,'[1]Gui chi Quynh'!$B$7:$F$397,5,FALSE)</f>
        <v>A3</v>
      </c>
      <c r="M41" s="515">
        <f t="shared" si="3"/>
        <v>10402559.999999998</v>
      </c>
      <c r="N41" s="391">
        <v>21</v>
      </c>
      <c r="O41" s="459">
        <f>IFERROR(INDEX('[2]CN BC'!$J$10:$J$276,MATCH(B41,'[2]CN BC'!$H$10:$H$276,0)),"")</f>
        <v>25</v>
      </c>
      <c r="P41" s="515">
        <f t="shared" si="4"/>
        <v>10402559.999999998</v>
      </c>
      <c r="Q41" s="480"/>
      <c r="R41" s="377">
        <f>Q41*$G$8*0.8</f>
        <v>0</v>
      </c>
      <c r="S41" s="385"/>
      <c r="T41" s="377">
        <f t="shared" si="5"/>
        <v>0</v>
      </c>
      <c r="U41" s="377">
        <f t="shared" si="6"/>
        <v>86688</v>
      </c>
      <c r="V41" s="386">
        <f t="shared" si="7"/>
        <v>10489247.999999998</v>
      </c>
      <c r="W41" s="487"/>
      <c r="X41" s="606">
        <f t="shared" si="8"/>
        <v>30</v>
      </c>
      <c r="Y41" s="514" t="str">
        <f>IFERROR(INDEX('[2]CN BC'!$M$10:$M$276,MATCH(B41,'[2]CN BC'!$H$10:$H$276,0)),"")</f>
        <v>Cộng 4 ngày đi học</v>
      </c>
      <c r="Z41" s="574"/>
      <c r="AA41" s="568"/>
      <c r="AC41" s="508"/>
    </row>
    <row r="42" spans="1:39" s="114" customFormat="1" ht="27" customHeight="1">
      <c r="A42" s="394">
        <f>_xlfn.AGGREGATE(4,7,A$11:A41)+1</f>
        <v>31</v>
      </c>
      <c r="B42" s="37" t="s">
        <v>1852</v>
      </c>
      <c r="C42" s="155" t="s">
        <v>900</v>
      </c>
      <c r="D42" s="424" t="s">
        <v>1636</v>
      </c>
      <c r="E42" s="442" t="s">
        <v>1258</v>
      </c>
      <c r="F42" s="88">
        <v>4.6500000000000004</v>
      </c>
      <c r="G42" s="167"/>
      <c r="H42" s="383">
        <f t="shared" si="0"/>
        <v>4.6500000000000004</v>
      </c>
      <c r="I42" s="86">
        <v>0.45</v>
      </c>
      <c r="J42" s="384">
        <f t="shared" si="1"/>
        <v>5.1000000000000005</v>
      </c>
      <c r="K42" s="377">
        <f t="shared" si="2"/>
        <v>9180000.0000000019</v>
      </c>
      <c r="L42" s="381" t="str">
        <f>VLOOKUP(B42,'[1]Gui chi Quynh'!$B$7:$F$397,5,FALSE)</f>
        <v>A3</v>
      </c>
      <c r="M42" s="515">
        <f t="shared" si="3"/>
        <v>11016000.000000002</v>
      </c>
      <c r="N42" s="391">
        <v>21</v>
      </c>
      <c r="O42" s="459">
        <f>IFERROR(INDEX('[2]CN BC'!$J$10:$J$276,MATCH(B42,'[2]CN BC'!$H$10:$H$276,0)),"")</f>
        <v>26</v>
      </c>
      <c r="P42" s="515">
        <f t="shared" si="4"/>
        <v>11016000.000000002</v>
      </c>
      <c r="Q42" s="409"/>
      <c r="R42" s="377">
        <f>Q42*$G$8*1</f>
        <v>0</v>
      </c>
      <c r="S42" s="401"/>
      <c r="T42" s="377">
        <f t="shared" si="5"/>
        <v>0</v>
      </c>
      <c r="U42" s="377">
        <f t="shared" si="6"/>
        <v>91800</v>
      </c>
      <c r="V42" s="386">
        <f t="shared" si="7"/>
        <v>11107800.000000002</v>
      </c>
      <c r="W42" s="459">
        <v>26</v>
      </c>
      <c r="X42" s="606">
        <f t="shared" si="8"/>
        <v>31</v>
      </c>
      <c r="Y42" s="514">
        <f>IFERROR(INDEX('[2]CN BC'!$M$10:$M$276,MATCH(B42,'[2]CN BC'!$H$10:$H$276,0)),"")</f>
        <v>0</v>
      </c>
      <c r="Z42" s="147"/>
      <c r="AA42" s="113"/>
      <c r="AC42" s="161"/>
    </row>
    <row r="43" spans="1:39" s="114" customFormat="1" ht="27" customHeight="1">
      <c r="A43" s="394">
        <f>_xlfn.AGGREGATE(4,7,A$11:A42)+1</f>
        <v>32</v>
      </c>
      <c r="B43" s="37" t="s">
        <v>1454</v>
      </c>
      <c r="C43" s="155" t="s">
        <v>885</v>
      </c>
      <c r="D43" s="424" t="s">
        <v>1637</v>
      </c>
      <c r="E43" s="449">
        <v>1603205247426</v>
      </c>
      <c r="F43" s="10">
        <v>3.66</v>
      </c>
      <c r="G43" s="163"/>
      <c r="H43" s="383">
        <f t="shared" si="0"/>
        <v>3.66</v>
      </c>
      <c r="I43" s="86"/>
      <c r="J43" s="384">
        <f t="shared" si="1"/>
        <v>3.66</v>
      </c>
      <c r="K43" s="377">
        <f t="shared" si="2"/>
        <v>6588000</v>
      </c>
      <c r="L43" s="381" t="str">
        <f>VLOOKUP(B43,'[1]Gui chi Quynh'!$B$7:$F$397,5,FALSE)</f>
        <v>A2</v>
      </c>
      <c r="M43" s="515">
        <f t="shared" si="3"/>
        <v>9223200</v>
      </c>
      <c r="N43" s="391">
        <v>21</v>
      </c>
      <c r="O43" s="459">
        <f>IFERROR(INDEX('[2]CN BC'!$J$10:$J$276,MATCH(B43,'[2]CN BC'!$H$10:$H$276,0)),"")</f>
        <v>26</v>
      </c>
      <c r="P43" s="515">
        <f t="shared" si="4"/>
        <v>9223200</v>
      </c>
      <c r="Q43" s="409"/>
      <c r="R43" s="377">
        <f>Q43*$G$8*1</f>
        <v>0</v>
      </c>
      <c r="S43" s="401"/>
      <c r="T43" s="377">
        <f t="shared" si="5"/>
        <v>0</v>
      </c>
      <c r="U43" s="377">
        <f t="shared" si="6"/>
        <v>65880</v>
      </c>
      <c r="V43" s="386">
        <f t="shared" si="7"/>
        <v>9289080</v>
      </c>
      <c r="W43" s="459">
        <v>27</v>
      </c>
      <c r="X43" s="606">
        <f t="shared" si="8"/>
        <v>32</v>
      </c>
      <c r="Y43" s="514">
        <f>IFERROR(INDEX('[2]CN BC'!$M$10:$M$276,MATCH(B43,'[2]CN BC'!$H$10:$H$276,0)),"")</f>
        <v>0</v>
      </c>
      <c r="Z43" s="147"/>
      <c r="AA43" s="113"/>
      <c r="AC43" s="161"/>
    </row>
    <row r="44" spans="1:39" s="387" customFormat="1" ht="27" customHeight="1">
      <c r="A44" s="394">
        <f>_xlfn.AGGREGATE(4,7,A$11:A43)+1</f>
        <v>33</v>
      </c>
      <c r="B44" s="378" t="s">
        <v>1445</v>
      </c>
      <c r="C44" s="390" t="s">
        <v>1443</v>
      </c>
      <c r="D44" s="424" t="s">
        <v>1638</v>
      </c>
      <c r="E44" s="440" t="s">
        <v>1576</v>
      </c>
      <c r="F44" s="388">
        <v>4.9800000000000004</v>
      </c>
      <c r="G44" s="382">
        <v>0.37</v>
      </c>
      <c r="H44" s="383">
        <f t="shared" si="0"/>
        <v>6.8226000000000004</v>
      </c>
      <c r="I44" s="383">
        <v>0.45</v>
      </c>
      <c r="J44" s="384">
        <f t="shared" si="1"/>
        <v>7.2726000000000006</v>
      </c>
      <c r="K44" s="377">
        <f t="shared" si="2"/>
        <v>13090680.000000002</v>
      </c>
      <c r="L44" s="381" t="str">
        <f>VLOOKUP(B44,'[1]Gui chi Quynh'!$B$7:$F$397,5,FALSE)</f>
        <v>A1</v>
      </c>
      <c r="M44" s="515">
        <f t="shared" si="3"/>
        <v>20945088.000000004</v>
      </c>
      <c r="N44" s="391">
        <v>21</v>
      </c>
      <c r="O44" s="459">
        <f>IFERROR(INDEX('[2]CN BC'!$J$10:$J$276,MATCH(B44,'[2]CN BC'!$H$10:$H$276,0)),"")</f>
        <v>26</v>
      </c>
      <c r="P44" s="515">
        <f t="shared" si="4"/>
        <v>20945088.000000004</v>
      </c>
      <c r="Q44" s="409"/>
      <c r="R44" s="377">
        <f>Q44*$G$8*1</f>
        <v>0</v>
      </c>
      <c r="S44" s="401"/>
      <c r="T44" s="377">
        <f t="shared" si="5"/>
        <v>0</v>
      </c>
      <c r="U44" s="377">
        <f t="shared" si="6"/>
        <v>130907</v>
      </c>
      <c r="V44" s="386">
        <f t="shared" si="7"/>
        <v>21075995.000000004</v>
      </c>
      <c r="W44" s="459">
        <v>29</v>
      </c>
      <c r="X44" s="606">
        <f t="shared" si="8"/>
        <v>33</v>
      </c>
      <c r="Y44" s="514">
        <f>IFERROR(INDEX('[2]CN BC'!$M$10:$M$276,MATCH(B44,'[2]CN BC'!$H$10:$H$276,0)),"")</f>
        <v>0</v>
      </c>
      <c r="Z44" s="147"/>
      <c r="AA44" s="113"/>
      <c r="AB44" s="114"/>
      <c r="AC44" s="161"/>
      <c r="AD44" s="114"/>
      <c r="AE44" s="114"/>
      <c r="AF44" s="114"/>
      <c r="AG44" s="114"/>
      <c r="AH44" s="114"/>
      <c r="AI44" s="114"/>
      <c r="AJ44" s="114"/>
      <c r="AK44" s="114"/>
      <c r="AL44" s="114"/>
      <c r="AM44" s="114"/>
    </row>
    <row r="45" spans="1:39" s="114" customFormat="1" ht="26.25" customHeight="1">
      <c r="A45" s="394">
        <f>_xlfn.AGGREGATE(4,7,A$11:A44)+1</f>
        <v>34</v>
      </c>
      <c r="B45" s="37" t="s">
        <v>1455</v>
      </c>
      <c r="C45" s="155" t="s">
        <v>912</v>
      </c>
      <c r="D45" s="424" t="s">
        <v>1640</v>
      </c>
      <c r="E45" s="442" t="s">
        <v>368</v>
      </c>
      <c r="F45" s="10">
        <v>3.99</v>
      </c>
      <c r="G45" s="163"/>
      <c r="H45" s="383">
        <f t="shared" ref="H45:H76" si="11">F45+(F45*G45)</f>
        <v>3.99</v>
      </c>
      <c r="I45" s="86"/>
      <c r="J45" s="384">
        <f t="shared" ref="J45:J76" si="12">H45+I45</f>
        <v>3.99</v>
      </c>
      <c r="K45" s="377">
        <f t="shared" ref="K45:K76" si="13">J45*$G$8</f>
        <v>7182000</v>
      </c>
      <c r="L45" s="381" t="str">
        <f>VLOOKUP(B45,'[1]Gui chi Quynh'!$B$7:$F$397,5,FALSE)</f>
        <v>A1</v>
      </c>
      <c r="M45" s="515">
        <f t="shared" ref="M45:M76" si="14">IF(L45="A1",K45*1.6,IF(L45="A2",K45*1.4,IF(L45="A3",K45*1.2,IF(L45="A4",K45*1,IF(L45="B1",K45*0.7,IF(L45="B2",K45*0.5,IF(L45="C1",K45*0.3,IF(L45="C2",K45*0.2,0))))))))</f>
        <v>11491200</v>
      </c>
      <c r="N45" s="391">
        <v>21</v>
      </c>
      <c r="O45" s="459">
        <f>IFERROR(INDEX('[2]CN BC'!$J$10:$J$276,MATCH(B45,'[2]CN BC'!$H$10:$H$276,0)),"")</f>
        <v>26</v>
      </c>
      <c r="P45" s="515">
        <f t="shared" ref="P45:P76" si="15">IF(O45&gt;=N45,M45,M45/N45*O45)</f>
        <v>11491200</v>
      </c>
      <c r="Q45" s="409"/>
      <c r="R45" s="377">
        <f>Q45*$G$8*1</f>
        <v>0</v>
      </c>
      <c r="S45" s="401"/>
      <c r="T45" s="377">
        <f t="shared" ref="T45:T76" si="16">S45*$G$8*1</f>
        <v>0</v>
      </c>
      <c r="U45" s="377">
        <f t="shared" ref="U45:U76" si="17">IF(OR(L45="A DN",L45="KXL", L45=""),"0",ROUND(J45*0.01*$G$8+Q45*1%*$G$8+S45*1%*$G$8,))</f>
        <v>71820</v>
      </c>
      <c r="V45" s="386">
        <f t="shared" ref="V45:V76" si="18">(P45+R45+T45+U45)</f>
        <v>11563020</v>
      </c>
      <c r="W45" s="459">
        <v>27</v>
      </c>
      <c r="X45" s="606">
        <f t="shared" ref="X45:X76" si="19">A45</f>
        <v>34</v>
      </c>
      <c r="Y45" s="514">
        <f>IFERROR(INDEX('[2]CN BC'!$M$10:$M$276,MATCH(B45,'[2]CN BC'!$H$10:$H$276,0)),"")</f>
        <v>0</v>
      </c>
      <c r="Z45" s="147"/>
      <c r="AA45" s="113"/>
      <c r="AC45" s="161"/>
    </row>
    <row r="46" spans="1:39" s="387" customFormat="1" ht="27" customHeight="1">
      <c r="A46" s="394">
        <f>_xlfn.AGGREGATE(4,7,A$11:A45)+1</f>
        <v>35</v>
      </c>
      <c r="B46" s="378" t="s">
        <v>1456</v>
      </c>
      <c r="C46" s="390" t="s">
        <v>494</v>
      </c>
      <c r="D46" s="452" t="s">
        <v>1641</v>
      </c>
      <c r="E46" s="446">
        <v>1603205178873</v>
      </c>
      <c r="F46" s="381">
        <v>3.66</v>
      </c>
      <c r="G46" s="382"/>
      <c r="H46" s="383">
        <f t="shared" si="11"/>
        <v>3.66</v>
      </c>
      <c r="I46" s="383"/>
      <c r="J46" s="384">
        <f t="shared" si="12"/>
        <v>3.66</v>
      </c>
      <c r="K46" s="377">
        <f t="shared" si="13"/>
        <v>6588000</v>
      </c>
      <c r="L46" s="381" t="str">
        <f>VLOOKUP(B46,'[1]Gui chi Quynh'!$B$7:$F$397,5,FALSE)</f>
        <v>A1</v>
      </c>
      <c r="M46" s="515">
        <f t="shared" si="14"/>
        <v>10540800</v>
      </c>
      <c r="N46" s="391">
        <v>21</v>
      </c>
      <c r="O46" s="459">
        <f>IFERROR(INDEX('[2]CN BC'!$J$10:$J$276,MATCH(B46,'[2]CN BC'!$H$10:$H$276,0)),"")</f>
        <v>25</v>
      </c>
      <c r="P46" s="515">
        <f t="shared" si="15"/>
        <v>10540800</v>
      </c>
      <c r="Q46" s="480"/>
      <c r="R46" s="377">
        <f>Q46*$G$8*1.6</f>
        <v>0</v>
      </c>
      <c r="S46" s="385"/>
      <c r="T46" s="377">
        <f t="shared" si="16"/>
        <v>0</v>
      </c>
      <c r="U46" s="377">
        <f t="shared" si="17"/>
        <v>65880</v>
      </c>
      <c r="V46" s="386">
        <f t="shared" si="18"/>
        <v>10606680</v>
      </c>
      <c r="W46" s="487">
        <v>27</v>
      </c>
      <c r="X46" s="606">
        <f t="shared" si="19"/>
        <v>35</v>
      </c>
      <c r="Y46" s="514">
        <f>IFERROR(INDEX('[2]CN BC'!$M$10:$M$276,MATCH(B46,'[2]CN BC'!$H$10:$H$276,0)),"")</f>
        <v>0</v>
      </c>
      <c r="Z46" s="147"/>
      <c r="AA46" s="113"/>
      <c r="AB46" s="114"/>
      <c r="AC46" s="161"/>
      <c r="AD46" s="114"/>
      <c r="AE46" s="114"/>
      <c r="AF46" s="114"/>
      <c r="AG46" s="114"/>
      <c r="AH46" s="114"/>
      <c r="AI46" s="114"/>
    </row>
    <row r="47" spans="1:39" s="387" customFormat="1" ht="27" customHeight="1">
      <c r="A47" s="394">
        <f>_xlfn.AGGREGATE(4,7,A$11:A46)+1</f>
        <v>36</v>
      </c>
      <c r="B47" s="378" t="s">
        <v>1457</v>
      </c>
      <c r="C47" s="390" t="s">
        <v>1178</v>
      </c>
      <c r="D47" s="452" t="s">
        <v>1642</v>
      </c>
      <c r="E47" s="444">
        <v>1603205372861</v>
      </c>
      <c r="F47" s="381">
        <v>2.67</v>
      </c>
      <c r="G47" s="382"/>
      <c r="H47" s="383">
        <f t="shared" si="11"/>
        <v>2.67</v>
      </c>
      <c r="I47" s="383"/>
      <c r="J47" s="384">
        <f t="shared" si="12"/>
        <v>2.67</v>
      </c>
      <c r="K47" s="377">
        <f t="shared" si="13"/>
        <v>4806000</v>
      </c>
      <c r="L47" s="381" t="str">
        <f>VLOOKUP(B47,'[1]Gui chi Quynh'!$B$7:$F$397,5,FALSE)</f>
        <v>A1</v>
      </c>
      <c r="M47" s="515">
        <f t="shared" si="14"/>
        <v>7689600</v>
      </c>
      <c r="N47" s="391">
        <v>21</v>
      </c>
      <c r="O47" s="459">
        <f>IFERROR(INDEX('[2]CN BC'!$J$10:$J$276,MATCH(B47,'[2]CN BC'!$H$10:$H$276,0)),"")</f>
        <v>25</v>
      </c>
      <c r="P47" s="515">
        <f t="shared" si="15"/>
        <v>7689600</v>
      </c>
      <c r="Q47" s="480"/>
      <c r="R47" s="377">
        <f>Q47*$G$8*1</f>
        <v>0</v>
      </c>
      <c r="S47" s="385"/>
      <c r="T47" s="377">
        <f t="shared" si="16"/>
        <v>0</v>
      </c>
      <c r="U47" s="377">
        <f t="shared" si="17"/>
        <v>48060</v>
      </c>
      <c r="V47" s="386">
        <f t="shared" si="18"/>
        <v>7737660</v>
      </c>
      <c r="W47" s="487">
        <v>24</v>
      </c>
      <c r="X47" s="606">
        <f t="shared" si="19"/>
        <v>36</v>
      </c>
      <c r="Y47" s="514">
        <f>IFERROR(INDEX('[2]CN BC'!$M$10:$M$276,MATCH(B47,'[2]CN BC'!$H$10:$H$276,0)),"")</f>
        <v>0</v>
      </c>
      <c r="Z47" s="147"/>
      <c r="AA47" s="113"/>
      <c r="AB47" s="114"/>
      <c r="AC47" s="161"/>
      <c r="AD47" s="114"/>
      <c r="AE47" s="114"/>
      <c r="AF47" s="114"/>
      <c r="AG47" s="114"/>
      <c r="AH47" s="114"/>
      <c r="AI47" s="114"/>
    </row>
    <row r="48" spans="1:39" s="387" customFormat="1" ht="27" customHeight="1">
      <c r="A48" s="394">
        <f>_xlfn.AGGREGATE(4,7,A$11:A47)+1</f>
        <v>37</v>
      </c>
      <c r="B48" s="378" t="s">
        <v>1859</v>
      </c>
      <c r="C48" s="390" t="s">
        <v>986</v>
      </c>
      <c r="D48" s="452" t="s">
        <v>1665</v>
      </c>
      <c r="E48" s="448">
        <v>1603205185357</v>
      </c>
      <c r="F48" s="388">
        <v>3.66</v>
      </c>
      <c r="G48" s="382"/>
      <c r="H48" s="383">
        <f t="shared" si="11"/>
        <v>3.66</v>
      </c>
      <c r="I48" s="383"/>
      <c r="J48" s="384">
        <f t="shared" si="12"/>
        <v>3.66</v>
      </c>
      <c r="K48" s="377">
        <f t="shared" si="13"/>
        <v>6588000</v>
      </c>
      <c r="L48" s="381" t="str">
        <f>VLOOKUP(B48,'[1]Gui chi Quynh'!$B$7:$F$397,5,FALSE)</f>
        <v>A1</v>
      </c>
      <c r="M48" s="515">
        <f t="shared" si="14"/>
        <v>10540800</v>
      </c>
      <c r="N48" s="391">
        <v>21</v>
      </c>
      <c r="O48" s="459">
        <f>IFERROR(INDEX('[2]CN BC'!$J$10:$J$276,MATCH(B48,'[2]CN BC'!$H$10:$H$276,0)),"")</f>
        <v>26</v>
      </c>
      <c r="P48" s="515">
        <f t="shared" si="15"/>
        <v>10540800</v>
      </c>
      <c r="Q48" s="480"/>
      <c r="R48" s="377">
        <f>Q48*$G$8*1</f>
        <v>0</v>
      </c>
      <c r="S48" s="569"/>
      <c r="T48" s="377">
        <f t="shared" si="16"/>
        <v>0</v>
      </c>
      <c r="U48" s="377">
        <f t="shared" si="17"/>
        <v>65880</v>
      </c>
      <c r="V48" s="386">
        <f t="shared" si="18"/>
        <v>10606680</v>
      </c>
      <c r="W48" s="487">
        <v>26</v>
      </c>
      <c r="X48" s="606">
        <f t="shared" si="19"/>
        <v>37</v>
      </c>
      <c r="Y48" s="514">
        <f>IFERROR(INDEX('[2]CN BC'!$M$10:$M$276,MATCH(B48,'[2]CN BC'!$H$10:$H$276,0)),"")</f>
        <v>0</v>
      </c>
      <c r="Z48" s="567"/>
      <c r="AA48" s="568"/>
      <c r="AC48" s="508"/>
    </row>
    <row r="49" spans="1:39" s="387" customFormat="1" ht="24.75" customHeight="1">
      <c r="A49" s="394">
        <f>_xlfn.AGGREGATE(4,7,A$11:A48)+1</f>
        <v>38</v>
      </c>
      <c r="B49" s="378" t="s">
        <v>1459</v>
      </c>
      <c r="C49" s="390" t="s">
        <v>1437</v>
      </c>
      <c r="D49" s="452" t="s">
        <v>1645</v>
      </c>
      <c r="E49" s="444" t="s">
        <v>1578</v>
      </c>
      <c r="F49" s="381">
        <v>4.32</v>
      </c>
      <c r="G49" s="382"/>
      <c r="H49" s="383">
        <f t="shared" si="11"/>
        <v>4.32</v>
      </c>
      <c r="I49" s="383">
        <v>0.45</v>
      </c>
      <c r="J49" s="384">
        <f t="shared" si="12"/>
        <v>4.7700000000000005</v>
      </c>
      <c r="K49" s="377">
        <f t="shared" si="13"/>
        <v>8586000</v>
      </c>
      <c r="L49" s="381" t="str">
        <f>VLOOKUP(B49,'[1]Gui chi Quynh'!$B$7:$F$397,5,FALSE)</f>
        <v>A3</v>
      </c>
      <c r="M49" s="515">
        <f t="shared" si="14"/>
        <v>10303200</v>
      </c>
      <c r="N49" s="391">
        <v>21</v>
      </c>
      <c r="O49" s="459">
        <f>IFERROR(INDEX('[2]CN BC'!$J$10:$J$276,MATCH(B49,'[2]CN BC'!$H$10:$H$276,0)),"")</f>
        <v>25</v>
      </c>
      <c r="P49" s="515">
        <f t="shared" si="15"/>
        <v>10303200</v>
      </c>
      <c r="Q49" s="480"/>
      <c r="R49" s="377">
        <v>0</v>
      </c>
      <c r="S49" s="385"/>
      <c r="T49" s="377">
        <f t="shared" si="16"/>
        <v>0</v>
      </c>
      <c r="U49" s="377">
        <f t="shared" si="17"/>
        <v>85860</v>
      </c>
      <c r="V49" s="386">
        <f t="shared" si="18"/>
        <v>10389060</v>
      </c>
      <c r="W49" s="487">
        <v>25</v>
      </c>
      <c r="X49" s="606">
        <f t="shared" si="19"/>
        <v>38</v>
      </c>
      <c r="Y49" s="514">
        <f>IFERROR(INDEX('[2]CN BC'!$M$10:$M$276,MATCH(B49,'[2]CN BC'!$H$10:$H$276,0)),"")</f>
        <v>0</v>
      </c>
      <c r="Z49" s="147"/>
      <c r="AA49" s="113"/>
      <c r="AB49" s="114"/>
      <c r="AC49" s="161"/>
    </row>
    <row r="50" spans="1:39" s="387" customFormat="1" ht="29.25" customHeight="1">
      <c r="A50" s="394">
        <f>_xlfn.AGGREGATE(4,7,A$11:A49)+1</f>
        <v>39</v>
      </c>
      <c r="B50" s="378" t="s">
        <v>1541</v>
      </c>
      <c r="C50" s="379" t="s">
        <v>962</v>
      </c>
      <c r="D50" s="452" t="s">
        <v>1802</v>
      </c>
      <c r="E50" s="444">
        <v>1603205356140</v>
      </c>
      <c r="F50" s="381">
        <v>3.99</v>
      </c>
      <c r="G50" s="382"/>
      <c r="H50" s="383">
        <f t="shared" si="11"/>
        <v>3.99</v>
      </c>
      <c r="I50" s="383"/>
      <c r="J50" s="384">
        <f t="shared" si="12"/>
        <v>3.99</v>
      </c>
      <c r="K50" s="377">
        <f t="shared" si="13"/>
        <v>7182000</v>
      </c>
      <c r="L50" s="381" t="str">
        <f>VLOOKUP(B50,'[1]Gui chi Quynh'!$B$7:$F$397,5,FALSE)</f>
        <v>A3</v>
      </c>
      <c r="M50" s="515">
        <f t="shared" si="14"/>
        <v>8618400</v>
      </c>
      <c r="N50" s="391">
        <v>21</v>
      </c>
      <c r="O50" s="459">
        <f>IFERROR(INDEX('[2]CN BC'!$J$10:$J$276,MATCH(B50,'[2]CN BC'!$H$10:$H$276,0)),"")</f>
        <v>22</v>
      </c>
      <c r="P50" s="515">
        <f t="shared" si="15"/>
        <v>8618400</v>
      </c>
      <c r="Q50" s="480"/>
      <c r="R50" s="377">
        <f t="shared" ref="R50:R65" si="20">Q50*$G$8*1</f>
        <v>0</v>
      </c>
      <c r="S50" s="385"/>
      <c r="T50" s="377">
        <f t="shared" si="16"/>
        <v>0</v>
      </c>
      <c r="U50" s="377">
        <f t="shared" si="17"/>
        <v>71820</v>
      </c>
      <c r="V50" s="386">
        <f t="shared" si="18"/>
        <v>8690220</v>
      </c>
      <c r="W50" s="487">
        <v>23</v>
      </c>
      <c r="X50" s="606">
        <f t="shared" si="19"/>
        <v>39</v>
      </c>
      <c r="Y50" s="514">
        <f>IFERROR(INDEX('[2]CN BC'!$M$10:$M$276,MATCH(B50,'[2]CN BC'!$H$10:$H$276,0)),"")</f>
        <v>0</v>
      </c>
      <c r="Z50" s="567"/>
      <c r="AA50" s="568"/>
      <c r="AC50" s="508"/>
    </row>
    <row r="51" spans="1:39" s="387" customFormat="1" ht="24.75" customHeight="1">
      <c r="A51" s="394">
        <f>_xlfn.AGGREGATE(4,7,A$11:A50)+1</f>
        <v>40</v>
      </c>
      <c r="B51" s="392" t="s">
        <v>1556</v>
      </c>
      <c r="C51" s="379" t="s">
        <v>885</v>
      </c>
      <c r="D51" s="452" t="s">
        <v>1648</v>
      </c>
      <c r="E51" s="448">
        <v>1603205182727</v>
      </c>
      <c r="F51" s="388">
        <v>4.32</v>
      </c>
      <c r="G51" s="389"/>
      <c r="H51" s="383">
        <f t="shared" si="11"/>
        <v>4.32</v>
      </c>
      <c r="I51" s="381"/>
      <c r="J51" s="384">
        <f t="shared" si="12"/>
        <v>4.32</v>
      </c>
      <c r="K51" s="377">
        <f t="shared" si="13"/>
        <v>7776000.0000000009</v>
      </c>
      <c r="L51" s="381" t="str">
        <f>VLOOKUP(B51,'[1]Gui chi Quynh'!$B$7:$F$397,5,FALSE)</f>
        <v>A3</v>
      </c>
      <c r="M51" s="515">
        <f t="shared" si="14"/>
        <v>9331200</v>
      </c>
      <c r="N51" s="391">
        <v>21</v>
      </c>
      <c r="O51" s="459">
        <f>IFERROR(INDEX('[2]CN BC'!$J$10:$J$276,MATCH(B51,'[2]CN BC'!$H$10:$H$276,0)),"")</f>
        <v>22</v>
      </c>
      <c r="P51" s="515">
        <f t="shared" si="15"/>
        <v>9331200</v>
      </c>
      <c r="Q51" s="497">
        <v>0</v>
      </c>
      <c r="R51" s="377">
        <f t="shared" si="20"/>
        <v>0</v>
      </c>
      <c r="S51" s="385"/>
      <c r="T51" s="377">
        <f t="shared" si="16"/>
        <v>0</v>
      </c>
      <c r="U51" s="377">
        <f t="shared" si="17"/>
        <v>77760</v>
      </c>
      <c r="V51" s="386">
        <f t="shared" si="18"/>
        <v>9408960</v>
      </c>
      <c r="W51" s="487">
        <v>24</v>
      </c>
      <c r="X51" s="606">
        <f t="shared" si="19"/>
        <v>40</v>
      </c>
      <c r="Y51" s="514" t="str">
        <f>IFERROR(INDEX('[2]CN BC'!$M$10:$M$276,MATCH(B51,'[2]CN BC'!$H$10:$H$276,0)),"")</f>
        <v>Trừ 1 ngày nghỉ phép 13/11</v>
      </c>
      <c r="Z51" s="147"/>
      <c r="AA51" s="113"/>
      <c r="AB51" s="114"/>
      <c r="AC51" s="161"/>
      <c r="AD51" s="114"/>
      <c r="AE51" s="114"/>
      <c r="AF51" s="114"/>
      <c r="AG51" s="114"/>
      <c r="AH51" s="114"/>
      <c r="AI51" s="114"/>
    </row>
    <row r="52" spans="1:39" s="387" customFormat="1" ht="29.25" customHeight="1">
      <c r="A52" s="394">
        <f>_xlfn.AGGREGATE(4,7,A$11:A51)+1</f>
        <v>41</v>
      </c>
      <c r="B52" s="378" t="s">
        <v>1854</v>
      </c>
      <c r="C52" s="390" t="s">
        <v>903</v>
      </c>
      <c r="D52" s="424" t="s">
        <v>1616</v>
      </c>
      <c r="E52" s="441" t="s">
        <v>1260</v>
      </c>
      <c r="F52" s="381">
        <v>4.9800000000000004</v>
      </c>
      <c r="G52" s="382">
        <v>7.0000000000000007E-2</v>
      </c>
      <c r="H52" s="383">
        <f t="shared" si="11"/>
        <v>5.3286000000000007</v>
      </c>
      <c r="I52" s="383">
        <v>0.45</v>
      </c>
      <c r="J52" s="384">
        <f t="shared" si="12"/>
        <v>5.7786000000000008</v>
      </c>
      <c r="K52" s="377">
        <f t="shared" si="13"/>
        <v>10401480.000000002</v>
      </c>
      <c r="L52" s="381" t="str">
        <f>VLOOKUP(B52,'[1]Gui chi Quynh'!$B$7:$F$397,5,FALSE)</f>
        <v>A4</v>
      </c>
      <c r="M52" s="515">
        <f t="shared" si="14"/>
        <v>10401480.000000002</v>
      </c>
      <c r="N52" s="391">
        <v>21</v>
      </c>
      <c r="O52" s="459">
        <f>IFERROR(INDEX('[2]CN BC'!$J$10:$J$276,MATCH(B52,'[2]CN BC'!$H$10:$H$276,0)),"")</f>
        <v>23</v>
      </c>
      <c r="P52" s="515">
        <f t="shared" si="15"/>
        <v>10401480.000000002</v>
      </c>
      <c r="Q52" s="409"/>
      <c r="R52" s="377">
        <f t="shared" si="20"/>
        <v>0</v>
      </c>
      <c r="S52" s="401"/>
      <c r="T52" s="377">
        <f t="shared" si="16"/>
        <v>0</v>
      </c>
      <c r="U52" s="377">
        <f t="shared" si="17"/>
        <v>104015</v>
      </c>
      <c r="V52" s="386">
        <f t="shared" si="18"/>
        <v>10505495.000000002</v>
      </c>
      <c r="W52" s="459">
        <v>28</v>
      </c>
      <c r="X52" s="606">
        <f t="shared" si="19"/>
        <v>41</v>
      </c>
      <c r="Y52" s="514" t="str">
        <f>IFERROR(INDEX('[2]CN BC'!$M$10:$M$276,MATCH(B52,'[2]CN BC'!$H$10:$H$276,0)),"")</f>
        <v>Trừ 1 ngày nghỉ phép 25/12</v>
      </c>
      <c r="Z52" s="147"/>
      <c r="AA52" s="160"/>
      <c r="AB52" s="161"/>
      <c r="AC52" s="161">
        <v>5000000</v>
      </c>
      <c r="AD52" s="114"/>
      <c r="AE52" s="114"/>
      <c r="AF52" s="114"/>
      <c r="AG52" s="114"/>
      <c r="AH52" s="114"/>
      <c r="AI52" s="114"/>
      <c r="AJ52" s="114"/>
      <c r="AK52" s="114"/>
      <c r="AL52" s="114"/>
      <c r="AM52" s="114"/>
    </row>
    <row r="53" spans="1:39" s="387" customFormat="1" ht="28.5" customHeight="1">
      <c r="A53" s="394">
        <f>_xlfn.AGGREGATE(4,7,A$11:A52)+1</f>
        <v>42</v>
      </c>
      <c r="B53" s="378" t="s">
        <v>1460</v>
      </c>
      <c r="C53" s="390" t="s">
        <v>885</v>
      </c>
      <c r="D53" s="452" t="s">
        <v>1650</v>
      </c>
      <c r="E53" s="446">
        <v>1603205189653</v>
      </c>
      <c r="F53" s="381">
        <v>3.99</v>
      </c>
      <c r="G53" s="382"/>
      <c r="H53" s="383">
        <f t="shared" si="11"/>
        <v>3.99</v>
      </c>
      <c r="I53" s="383"/>
      <c r="J53" s="384">
        <f t="shared" si="12"/>
        <v>3.99</v>
      </c>
      <c r="K53" s="377">
        <f t="shared" si="13"/>
        <v>7182000</v>
      </c>
      <c r="L53" s="381" t="str">
        <f>VLOOKUP(B53,'[1]Gui chi Quynh'!$B$7:$F$397,5,FALSE)</f>
        <v>A2</v>
      </c>
      <c r="M53" s="515">
        <f t="shared" si="14"/>
        <v>10054800</v>
      </c>
      <c r="N53" s="391">
        <v>21</v>
      </c>
      <c r="O53" s="459">
        <f>IFERROR(INDEX('[2]CN BC'!$J$10:$J$276,MATCH(B53,'[2]CN BC'!$H$10:$H$276,0)),"")</f>
        <v>22</v>
      </c>
      <c r="P53" s="515">
        <f t="shared" si="15"/>
        <v>10054800</v>
      </c>
      <c r="Q53" s="480"/>
      <c r="R53" s="377">
        <f t="shared" si="20"/>
        <v>0</v>
      </c>
      <c r="S53" s="385"/>
      <c r="T53" s="377">
        <f t="shared" si="16"/>
        <v>0</v>
      </c>
      <c r="U53" s="377">
        <f t="shared" si="17"/>
        <v>71820</v>
      </c>
      <c r="V53" s="386">
        <f t="shared" si="18"/>
        <v>10126620</v>
      </c>
      <c r="W53" s="487">
        <v>25</v>
      </c>
      <c r="X53" s="606">
        <f t="shared" si="19"/>
        <v>42</v>
      </c>
      <c r="Y53" s="514" t="str">
        <f>IFERROR(INDEX('[2]CN BC'!$M$10:$M$276,MATCH(B53,'[2]CN BC'!$H$10:$H$276,0)),"")</f>
        <v>Trừ 1 ngày nghỉ phép 5/12</v>
      </c>
      <c r="Z53" s="567"/>
      <c r="AA53" s="568"/>
      <c r="AC53" s="508"/>
    </row>
    <row r="54" spans="1:39" s="387" customFormat="1" ht="27" customHeight="1">
      <c r="A54" s="394">
        <f>_xlfn.AGGREGATE(4,7,A$11:A53)+1</f>
        <v>43</v>
      </c>
      <c r="B54" s="378" t="s">
        <v>1855</v>
      </c>
      <c r="C54" s="390" t="s">
        <v>939</v>
      </c>
      <c r="D54" s="452" t="s">
        <v>1651</v>
      </c>
      <c r="E54" s="441" t="s">
        <v>1292</v>
      </c>
      <c r="F54" s="381">
        <v>4.9800000000000004</v>
      </c>
      <c r="G54" s="382">
        <v>0.06</v>
      </c>
      <c r="H54" s="383">
        <f t="shared" si="11"/>
        <v>5.2788000000000004</v>
      </c>
      <c r="I54" s="383">
        <v>0.35</v>
      </c>
      <c r="J54" s="384">
        <f t="shared" si="12"/>
        <v>5.6288</v>
      </c>
      <c r="K54" s="377">
        <f t="shared" si="13"/>
        <v>10131840</v>
      </c>
      <c r="L54" s="381" t="str">
        <f>VLOOKUP(B54,'[1]Gui chi Quynh'!$B$7:$F$397,5,FALSE)</f>
        <v>A4</v>
      </c>
      <c r="M54" s="515">
        <f t="shared" si="14"/>
        <v>10131840</v>
      </c>
      <c r="N54" s="391">
        <v>21</v>
      </c>
      <c r="O54" s="459">
        <f>IFERROR(INDEX('[2]CN BC'!$J$10:$J$276,MATCH(B54,'[2]CN BC'!$H$10:$H$276,0)),"")</f>
        <v>26</v>
      </c>
      <c r="P54" s="515">
        <f t="shared" si="15"/>
        <v>10131840</v>
      </c>
      <c r="Q54" s="480"/>
      <c r="R54" s="377">
        <f t="shared" si="20"/>
        <v>0</v>
      </c>
      <c r="S54" s="385"/>
      <c r="T54" s="377">
        <f t="shared" si="16"/>
        <v>0</v>
      </c>
      <c r="U54" s="377">
        <f t="shared" si="17"/>
        <v>101318</v>
      </c>
      <c r="V54" s="386">
        <f t="shared" si="18"/>
        <v>10233158</v>
      </c>
      <c r="W54" s="487">
        <v>27</v>
      </c>
      <c r="X54" s="606">
        <f t="shared" si="19"/>
        <v>43</v>
      </c>
      <c r="Y54" s="514">
        <f>IFERROR(INDEX('[2]CN BC'!$M$10:$M$276,MATCH(B54,'[2]CN BC'!$H$10:$H$276,0)),"")</f>
        <v>0</v>
      </c>
      <c r="Z54" s="147"/>
      <c r="AA54" s="113"/>
      <c r="AB54" s="114"/>
      <c r="AC54" s="161"/>
    </row>
    <row r="55" spans="1:39" s="387" customFormat="1" ht="27" customHeight="1">
      <c r="A55" s="394">
        <f>_xlfn.AGGREGATE(4,7,A$11:A54)+1</f>
        <v>44</v>
      </c>
      <c r="B55" s="378" t="s">
        <v>1461</v>
      </c>
      <c r="C55" s="390" t="s">
        <v>270</v>
      </c>
      <c r="D55" s="452" t="s">
        <v>1653</v>
      </c>
      <c r="E55" s="441" t="s">
        <v>370</v>
      </c>
      <c r="F55" s="388">
        <v>3.66</v>
      </c>
      <c r="G55" s="382"/>
      <c r="H55" s="383">
        <f t="shared" si="11"/>
        <v>3.66</v>
      </c>
      <c r="I55" s="383"/>
      <c r="J55" s="384">
        <f t="shared" si="12"/>
        <v>3.66</v>
      </c>
      <c r="K55" s="377">
        <f t="shared" si="13"/>
        <v>6588000</v>
      </c>
      <c r="L55" s="381" t="str">
        <f>VLOOKUP(B55,'[1]Gui chi Quynh'!$B$7:$F$397,5,FALSE)</f>
        <v>A3</v>
      </c>
      <c r="M55" s="515">
        <f t="shared" si="14"/>
        <v>7905600</v>
      </c>
      <c r="N55" s="391">
        <v>21</v>
      </c>
      <c r="O55" s="459">
        <f>IFERROR(INDEX('[2]CN BC'!$J$10:$J$276,MATCH(B55,'[2]CN BC'!$H$10:$H$276,0)),"")</f>
        <v>21</v>
      </c>
      <c r="P55" s="515">
        <f t="shared" si="15"/>
        <v>7905600</v>
      </c>
      <c r="Q55" s="480"/>
      <c r="R55" s="377">
        <f t="shared" si="20"/>
        <v>0</v>
      </c>
      <c r="S55" s="385"/>
      <c r="T55" s="377">
        <f t="shared" si="16"/>
        <v>0</v>
      </c>
      <c r="U55" s="377">
        <f t="shared" si="17"/>
        <v>65880</v>
      </c>
      <c r="V55" s="386">
        <f t="shared" si="18"/>
        <v>7971480</v>
      </c>
      <c r="W55" s="459">
        <v>24</v>
      </c>
      <c r="X55" s="606">
        <f t="shared" si="19"/>
        <v>44</v>
      </c>
      <c r="Y55" s="514">
        <f>IFERROR(INDEX('[2]CN BC'!$M$10:$M$276,MATCH(B55,'[2]CN BC'!$H$10:$H$276,0)),"")</f>
        <v>0</v>
      </c>
      <c r="Z55" s="489"/>
      <c r="AA55" s="113"/>
      <c r="AB55" s="114"/>
      <c r="AC55" s="161"/>
      <c r="AD55" s="114"/>
      <c r="AE55" s="114"/>
      <c r="AF55" s="114"/>
      <c r="AG55" s="114"/>
      <c r="AH55" s="114"/>
      <c r="AI55" s="114"/>
    </row>
    <row r="56" spans="1:39" s="387" customFormat="1" ht="27" customHeight="1">
      <c r="A56" s="394">
        <f>_xlfn.AGGREGATE(4,7,A$11:A55)+1</f>
        <v>45</v>
      </c>
      <c r="B56" s="378" t="s">
        <v>848</v>
      </c>
      <c r="C56" s="390" t="s">
        <v>883</v>
      </c>
      <c r="D56" s="452" t="s">
        <v>1655</v>
      </c>
      <c r="E56" s="441" t="s">
        <v>1263</v>
      </c>
      <c r="F56" s="381">
        <v>4.32</v>
      </c>
      <c r="G56" s="382"/>
      <c r="H56" s="383">
        <f t="shared" si="11"/>
        <v>4.32</v>
      </c>
      <c r="I56" s="383"/>
      <c r="J56" s="384">
        <f t="shared" si="12"/>
        <v>4.32</v>
      </c>
      <c r="K56" s="377">
        <f t="shared" si="13"/>
        <v>7776000.0000000009</v>
      </c>
      <c r="L56" s="381" t="str">
        <f>VLOOKUP(B56,'[1]Gui chi Quynh'!$B$7:$F$397,5,FALSE)</f>
        <v>A2</v>
      </c>
      <c r="M56" s="515">
        <f t="shared" si="14"/>
        <v>10886400</v>
      </c>
      <c r="N56" s="391">
        <v>21</v>
      </c>
      <c r="O56" s="459">
        <f>IFERROR(INDEX('[2]CN BC'!$J$10:$J$276,MATCH(B56,'[2]CN BC'!$H$10:$H$276,0)),"")</f>
        <v>25</v>
      </c>
      <c r="P56" s="515">
        <f t="shared" si="15"/>
        <v>10886400</v>
      </c>
      <c r="Q56" s="480"/>
      <c r="R56" s="377">
        <f t="shared" si="20"/>
        <v>0</v>
      </c>
      <c r="S56" s="385"/>
      <c r="T56" s="377">
        <f t="shared" si="16"/>
        <v>0</v>
      </c>
      <c r="U56" s="377">
        <f t="shared" si="17"/>
        <v>77760</v>
      </c>
      <c r="V56" s="386">
        <f t="shared" si="18"/>
        <v>10964160</v>
      </c>
      <c r="W56" s="459">
        <v>26</v>
      </c>
      <c r="X56" s="606">
        <f t="shared" si="19"/>
        <v>45</v>
      </c>
      <c r="Y56" s="514">
        <f>IFERROR(INDEX('[2]CN BC'!$M$10:$M$276,MATCH(B56,'[2]CN BC'!$H$10:$H$276,0)),"")</f>
        <v>0</v>
      </c>
      <c r="Z56" s="147"/>
      <c r="AA56" s="113"/>
      <c r="AB56" s="114"/>
      <c r="AC56" s="161"/>
      <c r="AD56" s="114"/>
      <c r="AE56" s="114"/>
      <c r="AF56" s="114"/>
      <c r="AG56" s="114"/>
      <c r="AH56" s="114"/>
      <c r="AI56" s="114"/>
    </row>
    <row r="57" spans="1:39" s="387" customFormat="1" ht="27" customHeight="1">
      <c r="A57" s="394">
        <f>_xlfn.AGGREGATE(4,7,A$11:A56)+1</f>
        <v>46</v>
      </c>
      <c r="B57" s="378" t="s">
        <v>1857</v>
      </c>
      <c r="C57" s="390" t="s">
        <v>942</v>
      </c>
      <c r="D57" s="452" t="s">
        <v>1656</v>
      </c>
      <c r="E57" s="446" t="s">
        <v>1358</v>
      </c>
      <c r="F57" s="381">
        <v>4.32</v>
      </c>
      <c r="G57" s="382"/>
      <c r="H57" s="383">
        <f t="shared" si="11"/>
        <v>4.32</v>
      </c>
      <c r="I57" s="383"/>
      <c r="J57" s="384">
        <f t="shared" si="12"/>
        <v>4.32</v>
      </c>
      <c r="K57" s="377">
        <f t="shared" si="13"/>
        <v>7776000.0000000009</v>
      </c>
      <c r="L57" s="381" t="str">
        <f>VLOOKUP(B57,'[1]Gui chi Quynh'!$B$7:$F$397,5,FALSE)</f>
        <v>A4</v>
      </c>
      <c r="M57" s="515">
        <f t="shared" si="14"/>
        <v>7776000.0000000009</v>
      </c>
      <c r="N57" s="391">
        <v>21</v>
      </c>
      <c r="O57" s="459">
        <f>IFERROR(INDEX('[2]CN BC'!$J$10:$J$276,MATCH(B57,'[2]CN BC'!$H$10:$H$276,0)),"")</f>
        <v>22</v>
      </c>
      <c r="P57" s="515">
        <f t="shared" si="15"/>
        <v>7776000.0000000009</v>
      </c>
      <c r="Q57" s="480"/>
      <c r="R57" s="377">
        <f t="shared" si="20"/>
        <v>0</v>
      </c>
      <c r="S57" s="385"/>
      <c r="T57" s="377">
        <f t="shared" si="16"/>
        <v>0</v>
      </c>
      <c r="U57" s="377">
        <f t="shared" si="17"/>
        <v>77760</v>
      </c>
      <c r="V57" s="386">
        <f t="shared" si="18"/>
        <v>7853760.0000000009</v>
      </c>
      <c r="W57" s="459">
        <v>25</v>
      </c>
      <c r="X57" s="606">
        <f t="shared" si="19"/>
        <v>46</v>
      </c>
      <c r="Y57" s="514">
        <f>IFERROR(INDEX('[2]CN BC'!$M$10:$M$276,MATCH(B57,'[2]CN BC'!$H$10:$H$276,0)),"")</f>
        <v>0</v>
      </c>
      <c r="Z57" s="147"/>
      <c r="AA57" s="113"/>
      <c r="AB57" s="114"/>
      <c r="AC57" s="161"/>
      <c r="AD57" s="114"/>
      <c r="AE57" s="114"/>
      <c r="AF57" s="114"/>
      <c r="AG57" s="114"/>
      <c r="AH57" s="114"/>
      <c r="AI57" s="114"/>
    </row>
    <row r="58" spans="1:39" s="387" customFormat="1" ht="27" customHeight="1">
      <c r="A58" s="394">
        <f>_xlfn.AGGREGATE(4,7,A$11:A57)+1</f>
        <v>47</v>
      </c>
      <c r="B58" s="378" t="s">
        <v>1851</v>
      </c>
      <c r="C58" s="390" t="s">
        <v>886</v>
      </c>
      <c r="D58" s="424" t="s">
        <v>1632</v>
      </c>
      <c r="E58" s="447" t="s">
        <v>1575</v>
      </c>
      <c r="F58" s="388">
        <v>3.66</v>
      </c>
      <c r="G58" s="382"/>
      <c r="H58" s="465">
        <f t="shared" si="11"/>
        <v>3.66</v>
      </c>
      <c r="I58" s="383"/>
      <c r="J58" s="384">
        <f t="shared" si="12"/>
        <v>3.66</v>
      </c>
      <c r="K58" s="377">
        <f t="shared" si="13"/>
        <v>6588000</v>
      </c>
      <c r="L58" s="381" t="str">
        <f>VLOOKUP(B58,'[1]Gui chi Quynh'!$B$7:$F$397,5,FALSE)</f>
        <v>A4</v>
      </c>
      <c r="M58" s="515">
        <f t="shared" si="14"/>
        <v>6588000</v>
      </c>
      <c r="N58" s="391">
        <v>21</v>
      </c>
      <c r="O58" s="459">
        <f>IFERROR(INDEX('[2]CN BC'!$J$10:$J$276,MATCH(B58,'[2]CN BC'!$H$10:$H$276,0)),"")</f>
        <v>21</v>
      </c>
      <c r="P58" s="515">
        <f t="shared" si="15"/>
        <v>6588000</v>
      </c>
      <c r="Q58" s="409"/>
      <c r="R58" s="377">
        <f t="shared" si="20"/>
        <v>0</v>
      </c>
      <c r="S58" s="385"/>
      <c r="T58" s="377">
        <f t="shared" si="16"/>
        <v>0</v>
      </c>
      <c r="U58" s="377">
        <f t="shared" si="17"/>
        <v>65880</v>
      </c>
      <c r="V58" s="386">
        <f t="shared" si="18"/>
        <v>6653880</v>
      </c>
      <c r="W58" s="459">
        <v>25</v>
      </c>
      <c r="X58" s="606">
        <f t="shared" si="19"/>
        <v>47</v>
      </c>
      <c r="Y58" s="514">
        <f>IFERROR(INDEX('[2]CN BC'!$M$10:$M$276,MATCH(B58,'[2]CN BC'!$H$10:$H$276,0)),"")</f>
        <v>0</v>
      </c>
      <c r="Z58" s="147"/>
      <c r="AA58" s="113"/>
      <c r="AB58" s="114"/>
      <c r="AC58" s="161"/>
      <c r="AD58" s="114"/>
      <c r="AE58" s="114"/>
      <c r="AF58" s="114"/>
      <c r="AG58" s="114"/>
      <c r="AH58" s="114"/>
      <c r="AI58" s="114"/>
      <c r="AJ58" s="114"/>
      <c r="AK58" s="114"/>
      <c r="AL58" s="114"/>
      <c r="AM58" s="114"/>
    </row>
    <row r="59" spans="1:39" s="387" customFormat="1" ht="27" customHeight="1">
      <c r="A59" s="394">
        <f>_xlfn.AGGREGATE(4,7,A$11:A58)+1</f>
        <v>48</v>
      </c>
      <c r="B59" s="378" t="s">
        <v>1561</v>
      </c>
      <c r="C59" s="390" t="s">
        <v>915</v>
      </c>
      <c r="D59" s="452" t="s">
        <v>1657</v>
      </c>
      <c r="E59" s="440" t="s">
        <v>1562</v>
      </c>
      <c r="F59" s="388">
        <v>3.66</v>
      </c>
      <c r="G59" s="382"/>
      <c r="H59" s="383">
        <f t="shared" si="11"/>
        <v>3.66</v>
      </c>
      <c r="I59" s="383"/>
      <c r="J59" s="384">
        <f t="shared" si="12"/>
        <v>3.66</v>
      </c>
      <c r="K59" s="377">
        <f t="shared" si="13"/>
        <v>6588000</v>
      </c>
      <c r="L59" s="381" t="str">
        <f>VLOOKUP(B59,'[1]Gui chi Quynh'!$B$7:$F$397,5,FALSE)</f>
        <v>A3</v>
      </c>
      <c r="M59" s="515">
        <f t="shared" si="14"/>
        <v>7905600</v>
      </c>
      <c r="N59" s="391">
        <v>21</v>
      </c>
      <c r="O59" s="459">
        <f>IFERROR(INDEX('[2]CN BC'!$J$10:$J$276,MATCH(B59,'[2]CN BC'!$H$10:$H$276,0)),"")</f>
        <v>21</v>
      </c>
      <c r="P59" s="515">
        <f t="shared" si="15"/>
        <v>7905600</v>
      </c>
      <c r="Q59" s="480"/>
      <c r="R59" s="377">
        <f t="shared" si="20"/>
        <v>0</v>
      </c>
      <c r="S59" s="385"/>
      <c r="T59" s="377">
        <f t="shared" si="16"/>
        <v>0</v>
      </c>
      <c r="U59" s="377">
        <f t="shared" si="17"/>
        <v>65880</v>
      </c>
      <c r="V59" s="386">
        <f t="shared" si="18"/>
        <v>7971480</v>
      </c>
      <c r="W59" s="487">
        <v>30</v>
      </c>
      <c r="X59" s="606">
        <f t="shared" si="19"/>
        <v>48</v>
      </c>
      <c r="Y59" s="514" t="str">
        <f>IFERROR(INDEX('[2]CN BC'!$M$10:$M$276,MATCH(B59,'[2]CN BC'!$H$10:$H$276,0)),"")</f>
        <v>Trừ 1 ngày nghỉ phép 12/12</v>
      </c>
      <c r="Z59" s="147"/>
      <c r="AA59" s="113"/>
      <c r="AB59" s="114"/>
      <c r="AC59" s="508"/>
    </row>
    <row r="60" spans="1:39" s="387" customFormat="1" ht="30" customHeight="1">
      <c r="A60" s="394">
        <f>_xlfn.AGGREGATE(4,7,A$11:A59)+1</f>
        <v>49</v>
      </c>
      <c r="B60" s="378" t="s">
        <v>1463</v>
      </c>
      <c r="C60" s="390" t="s">
        <v>1030</v>
      </c>
      <c r="D60" s="452" t="s">
        <v>1617</v>
      </c>
      <c r="E60" s="441" t="s">
        <v>1573</v>
      </c>
      <c r="F60" s="388">
        <v>4.4000000000000004</v>
      </c>
      <c r="G60" s="382"/>
      <c r="H60" s="383">
        <f t="shared" si="11"/>
        <v>4.4000000000000004</v>
      </c>
      <c r="I60" s="383">
        <v>0.45</v>
      </c>
      <c r="J60" s="384">
        <f t="shared" si="12"/>
        <v>4.8500000000000005</v>
      </c>
      <c r="K60" s="377">
        <f t="shared" si="13"/>
        <v>8730000.0000000019</v>
      </c>
      <c r="L60" s="381" t="str">
        <f>VLOOKUP(B60,'[1]Gui chi Quynh'!$B$7:$F$397,5,FALSE)</f>
        <v>A2</v>
      </c>
      <c r="M60" s="515">
        <f t="shared" si="14"/>
        <v>12222000.000000002</v>
      </c>
      <c r="N60" s="391">
        <v>21</v>
      </c>
      <c r="O60" s="459">
        <f>IFERROR(INDEX('[2]CN BC'!$J$10:$J$276,MATCH(B60,'[2]CN BC'!$H$10:$H$276,0)),"")</f>
        <v>24.5</v>
      </c>
      <c r="P60" s="515">
        <f t="shared" si="15"/>
        <v>12222000.000000002</v>
      </c>
      <c r="Q60" s="480"/>
      <c r="R60" s="377">
        <f>Q60*$G$8*1.6</f>
        <v>0</v>
      </c>
      <c r="S60" s="385"/>
      <c r="T60" s="377">
        <f t="shared" si="16"/>
        <v>0</v>
      </c>
      <c r="U60" s="377">
        <f t="shared" si="17"/>
        <v>87300</v>
      </c>
      <c r="V60" s="386">
        <f t="shared" si="18"/>
        <v>12309300.000000002</v>
      </c>
      <c r="W60" s="459">
        <v>29</v>
      </c>
      <c r="X60" s="606">
        <f t="shared" si="19"/>
        <v>49</v>
      </c>
      <c r="Y60" s="514">
        <f>IFERROR(INDEX('[2]CN BC'!$M$10:$M$276,MATCH(B60,'[2]CN BC'!$H$10:$H$276,0)),"")</f>
        <v>0</v>
      </c>
      <c r="Z60" s="147"/>
      <c r="AA60" s="160"/>
      <c r="AB60" s="114"/>
      <c r="AC60" s="161"/>
      <c r="AD60" s="114"/>
      <c r="AE60" s="114"/>
      <c r="AF60" s="114"/>
      <c r="AG60" s="114"/>
      <c r="AH60" s="114"/>
      <c r="AI60" s="114"/>
    </row>
    <row r="61" spans="1:39" s="114" customFormat="1" ht="24.75" customHeight="1">
      <c r="A61" s="394">
        <f>_xlfn.AGGREGATE(4,7,A$11:A60)+1</f>
        <v>50</v>
      </c>
      <c r="B61" s="37" t="s">
        <v>1902</v>
      </c>
      <c r="C61" s="38" t="s">
        <v>1056</v>
      </c>
      <c r="D61" s="424" t="s">
        <v>1785</v>
      </c>
      <c r="E61" s="442" t="s">
        <v>1391</v>
      </c>
      <c r="F61" s="10">
        <v>4.32</v>
      </c>
      <c r="G61" s="163"/>
      <c r="H61" s="383">
        <f>F61+(F61*G61)</f>
        <v>4.32</v>
      </c>
      <c r="I61" s="86">
        <v>0.35</v>
      </c>
      <c r="J61" s="384">
        <f>H61+I61</f>
        <v>4.67</v>
      </c>
      <c r="K61" s="377">
        <f>J61*$G$8</f>
        <v>8406000</v>
      </c>
      <c r="L61" s="381" t="str">
        <f>VLOOKUP(B61,'[1]Gui chi Quynh'!$B$7:$F$397,5,FALSE)</f>
        <v>A2</v>
      </c>
      <c r="M61" s="515">
        <f>IF(L61="A1",K61*1.6,IF(L61="A2",K61*1.4,IF(L61="A3",K61*1.2,IF(L61="A4",K61*1,IF(L61="B1",K61*0.7,IF(L61="B2",K61*0.5,IF(L61="C1",K61*0.3,IF(L61="C2",K61*0.2,0))))))))</f>
        <v>11768400</v>
      </c>
      <c r="N61" s="391">
        <v>21</v>
      </c>
      <c r="O61" s="459">
        <f>IFERROR(INDEX('[2]CN BC'!$J$10:$J$276,MATCH(B61,'[2]CN BC'!$H$10:$H$276,0)),"")</f>
        <v>24.5</v>
      </c>
      <c r="P61" s="515">
        <f>IF(O61&gt;=N61,M61,M61/N61*O61)</f>
        <v>11768400</v>
      </c>
      <c r="Q61" s="409"/>
      <c r="R61" s="377">
        <f>Q61*$G$8*1</f>
        <v>0</v>
      </c>
      <c r="S61" s="401"/>
      <c r="T61" s="377">
        <f>S61*$G$8*1</f>
        <v>0</v>
      </c>
      <c r="U61" s="377">
        <f>IF(OR(L61="A DN",L61="KXL", L61=""),"0",ROUND(J61*0.01*$G$8+Q61*1%*$G$8+S61*1%*$G$8,))</f>
        <v>84060</v>
      </c>
      <c r="V61" s="386">
        <f>(P61+R61+T61+U61)</f>
        <v>11852460</v>
      </c>
      <c r="W61" s="459">
        <v>28</v>
      </c>
      <c r="X61" s="606">
        <f>A61</f>
        <v>50</v>
      </c>
      <c r="Y61" s="514">
        <f>IFERROR(INDEX('[2]CN BC'!$M$10:$M$276,MATCH(B61,'[2]CN BC'!$H$10:$H$276,0)),"")</f>
        <v>0</v>
      </c>
      <c r="Z61" s="550"/>
      <c r="AA61" s="113"/>
      <c r="AC61" s="161"/>
    </row>
    <row r="62" spans="1:39" s="387" customFormat="1" ht="29.25" customHeight="1">
      <c r="A62" s="394">
        <f>_xlfn.AGGREGATE(4,7,A$11:A61)+1</f>
        <v>51</v>
      </c>
      <c r="B62" s="378" t="s">
        <v>1858</v>
      </c>
      <c r="C62" s="390" t="s">
        <v>929</v>
      </c>
      <c r="D62" s="452" t="s">
        <v>1659</v>
      </c>
      <c r="E62" s="441" t="s">
        <v>1285</v>
      </c>
      <c r="F62" s="381">
        <v>4.6500000000000004</v>
      </c>
      <c r="G62" s="382"/>
      <c r="H62" s="383">
        <f t="shared" si="11"/>
        <v>4.6500000000000004</v>
      </c>
      <c r="I62" s="383"/>
      <c r="J62" s="384">
        <f t="shared" si="12"/>
        <v>4.6500000000000004</v>
      </c>
      <c r="K62" s="377">
        <f t="shared" si="13"/>
        <v>8370000.0000000009</v>
      </c>
      <c r="L62" s="381" t="str">
        <f>VLOOKUP(B62,'[1]Gui chi Quynh'!$B$7:$F$397,5,FALSE)</f>
        <v>A1</v>
      </c>
      <c r="M62" s="515">
        <f t="shared" si="14"/>
        <v>13392000.000000002</v>
      </c>
      <c r="N62" s="391">
        <v>21</v>
      </c>
      <c r="O62" s="459">
        <f>IFERROR(INDEX('[2]CN BC'!$J$10:$J$276,MATCH(B62,'[2]CN BC'!$H$10:$H$276,0)),"")</f>
        <v>23.5</v>
      </c>
      <c r="P62" s="515">
        <f t="shared" si="15"/>
        <v>13392000.000000002</v>
      </c>
      <c r="Q62" s="480"/>
      <c r="R62" s="377">
        <f t="shared" si="20"/>
        <v>0</v>
      </c>
      <c r="S62" s="385"/>
      <c r="T62" s="377">
        <f t="shared" si="16"/>
        <v>0</v>
      </c>
      <c r="U62" s="377">
        <f t="shared" si="17"/>
        <v>83700</v>
      </c>
      <c r="V62" s="386">
        <f t="shared" si="18"/>
        <v>13475700.000000002</v>
      </c>
      <c r="W62" s="487">
        <v>26</v>
      </c>
      <c r="X62" s="606">
        <f t="shared" si="19"/>
        <v>51</v>
      </c>
      <c r="Y62" s="514">
        <f>IFERROR(INDEX('[2]CN BC'!$M$10:$M$276,MATCH(B62,'[2]CN BC'!$H$10:$H$276,0)),"")</f>
        <v>0</v>
      </c>
      <c r="Z62" s="147"/>
      <c r="AA62" s="113"/>
      <c r="AB62" s="114"/>
      <c r="AC62" s="161"/>
      <c r="AD62" s="114"/>
      <c r="AE62" s="114"/>
      <c r="AF62" s="114"/>
      <c r="AG62" s="114"/>
      <c r="AH62" s="114"/>
      <c r="AI62" s="114"/>
    </row>
    <row r="63" spans="1:39" s="387" customFormat="1" ht="30.75" customHeight="1">
      <c r="A63" s="394">
        <f>_xlfn.AGGREGATE(4,7,A$11:A62)+1</f>
        <v>52</v>
      </c>
      <c r="B63" s="378" t="s">
        <v>1465</v>
      </c>
      <c r="C63" s="390" t="s">
        <v>1103</v>
      </c>
      <c r="D63" s="452" t="s">
        <v>1661</v>
      </c>
      <c r="E63" s="446">
        <v>1603205182394</v>
      </c>
      <c r="F63" s="381">
        <v>3.99</v>
      </c>
      <c r="G63" s="382"/>
      <c r="H63" s="383">
        <f t="shared" si="11"/>
        <v>3.99</v>
      </c>
      <c r="I63" s="383"/>
      <c r="J63" s="384">
        <f t="shared" si="12"/>
        <v>3.99</v>
      </c>
      <c r="K63" s="377">
        <f t="shared" si="13"/>
        <v>7182000</v>
      </c>
      <c r="L63" s="381" t="str">
        <f>VLOOKUP(B63,'[1]Gui chi Quynh'!$B$7:$F$397,5,FALSE)</f>
        <v>A3</v>
      </c>
      <c r="M63" s="515">
        <f t="shared" si="14"/>
        <v>8618400</v>
      </c>
      <c r="N63" s="391">
        <v>21</v>
      </c>
      <c r="O63" s="459">
        <f>IFERROR(INDEX('[2]CN BC'!$J$10:$J$276,MATCH(B63,'[2]CN BC'!$H$10:$H$276,0)),"")</f>
        <v>21</v>
      </c>
      <c r="P63" s="515">
        <f t="shared" si="15"/>
        <v>8618400</v>
      </c>
      <c r="Q63" s="480"/>
      <c r="R63" s="377">
        <f t="shared" si="20"/>
        <v>0</v>
      </c>
      <c r="S63" s="385"/>
      <c r="T63" s="377">
        <f t="shared" si="16"/>
        <v>0</v>
      </c>
      <c r="U63" s="377">
        <f t="shared" si="17"/>
        <v>71820</v>
      </c>
      <c r="V63" s="386">
        <f t="shared" si="18"/>
        <v>8690220</v>
      </c>
      <c r="W63" s="487">
        <v>26</v>
      </c>
      <c r="X63" s="606">
        <f t="shared" si="19"/>
        <v>52</v>
      </c>
      <c r="Y63" s="514" t="str">
        <f>IFERROR(INDEX('[2]CN BC'!$M$10:$M$276,MATCH(B63,'[2]CN BC'!$H$10:$H$276,0)),"")</f>
        <v>Trừ 2 ngày nghỉ phép 1+8/12</v>
      </c>
      <c r="Z63" s="147"/>
      <c r="AA63" s="113"/>
      <c r="AB63" s="114"/>
      <c r="AC63" s="161"/>
      <c r="AD63" s="114"/>
      <c r="AE63" s="114"/>
      <c r="AF63" s="114"/>
      <c r="AG63" s="114"/>
      <c r="AH63" s="114"/>
      <c r="AI63" s="114"/>
    </row>
    <row r="64" spans="1:39" s="387" customFormat="1" ht="27" customHeight="1">
      <c r="A64" s="394">
        <f>_xlfn.AGGREGATE(4,7,A$11:A63)+1</f>
        <v>53</v>
      </c>
      <c r="B64" s="378" t="s">
        <v>844</v>
      </c>
      <c r="C64" s="390" t="s">
        <v>267</v>
      </c>
      <c r="D64" s="452" t="s">
        <v>1662</v>
      </c>
      <c r="E64" s="446" t="s">
        <v>369</v>
      </c>
      <c r="F64" s="381">
        <v>3.33</v>
      </c>
      <c r="G64" s="382"/>
      <c r="H64" s="383">
        <f t="shared" si="11"/>
        <v>3.33</v>
      </c>
      <c r="I64" s="383"/>
      <c r="J64" s="384">
        <f t="shared" si="12"/>
        <v>3.33</v>
      </c>
      <c r="K64" s="377">
        <f t="shared" si="13"/>
        <v>5994000</v>
      </c>
      <c r="L64" s="381" t="str">
        <f>VLOOKUP(B64,'[1]Gui chi Quynh'!$B$7:$F$397,5,FALSE)</f>
        <v>A2</v>
      </c>
      <c r="M64" s="515">
        <f t="shared" si="14"/>
        <v>8391600</v>
      </c>
      <c r="N64" s="391">
        <v>21</v>
      </c>
      <c r="O64" s="459">
        <f>IFERROR(INDEX('[2]CN BC'!$J$10:$J$276,MATCH(B64,'[2]CN BC'!$H$10:$H$276,0)),"")</f>
        <v>22.5</v>
      </c>
      <c r="P64" s="515">
        <f t="shared" si="15"/>
        <v>8391600</v>
      </c>
      <c r="Q64" s="480">
        <v>0</v>
      </c>
      <c r="R64" s="377">
        <f t="shared" si="20"/>
        <v>0</v>
      </c>
      <c r="S64" s="385"/>
      <c r="T64" s="377">
        <f t="shared" si="16"/>
        <v>0</v>
      </c>
      <c r="U64" s="377">
        <f t="shared" si="17"/>
        <v>59940</v>
      </c>
      <c r="V64" s="386">
        <f t="shared" si="18"/>
        <v>8451540</v>
      </c>
      <c r="W64" s="487">
        <v>30</v>
      </c>
      <c r="X64" s="606">
        <f t="shared" si="19"/>
        <v>53</v>
      </c>
      <c r="Y64" s="514">
        <f>IFERROR(INDEX('[2]CN BC'!$M$10:$M$276,MATCH(B64,'[2]CN BC'!$H$10:$H$276,0)),"")</f>
        <v>0</v>
      </c>
      <c r="Z64" s="147"/>
      <c r="AA64" s="113"/>
      <c r="AB64" s="114"/>
      <c r="AC64" s="161"/>
      <c r="AD64" s="114"/>
      <c r="AE64" s="114"/>
      <c r="AF64" s="114"/>
      <c r="AG64" s="114"/>
      <c r="AH64" s="114"/>
      <c r="AI64" s="114"/>
    </row>
    <row r="65" spans="1:39" s="387" customFormat="1" ht="27" customHeight="1">
      <c r="A65" s="394">
        <f>_xlfn.AGGREGATE(4,7,A$11:A64)+1</f>
        <v>54</v>
      </c>
      <c r="B65" s="392" t="s">
        <v>1557</v>
      </c>
      <c r="C65" s="379" t="s">
        <v>272</v>
      </c>
      <c r="D65" s="452" t="s">
        <v>1664</v>
      </c>
      <c r="E65" s="448">
        <v>1603205182762</v>
      </c>
      <c r="F65" s="388">
        <v>3.96</v>
      </c>
      <c r="G65" s="389"/>
      <c r="H65" s="383">
        <f t="shared" si="11"/>
        <v>3.96</v>
      </c>
      <c r="I65" s="381"/>
      <c r="J65" s="384">
        <f t="shared" si="12"/>
        <v>3.96</v>
      </c>
      <c r="K65" s="377">
        <f t="shared" si="13"/>
        <v>7128000</v>
      </c>
      <c r="L65" s="381" t="str">
        <f>VLOOKUP(B65,'[1]Gui chi Quynh'!$B$7:$F$397,5,FALSE)</f>
        <v>A1</v>
      </c>
      <c r="M65" s="515">
        <f t="shared" si="14"/>
        <v>11404800</v>
      </c>
      <c r="N65" s="391">
        <v>21</v>
      </c>
      <c r="O65" s="459">
        <f>IFERROR(INDEX('[2]CN BC'!$J$10:$J$276,MATCH(B65,'[2]CN BC'!$H$10:$H$276,0)),"")</f>
        <v>24</v>
      </c>
      <c r="P65" s="515">
        <f t="shared" si="15"/>
        <v>11404800</v>
      </c>
      <c r="Q65" s="497"/>
      <c r="R65" s="377">
        <f t="shared" si="20"/>
        <v>0</v>
      </c>
      <c r="S65" s="385"/>
      <c r="T65" s="377">
        <f t="shared" si="16"/>
        <v>0</v>
      </c>
      <c r="U65" s="377">
        <f t="shared" si="17"/>
        <v>71280</v>
      </c>
      <c r="V65" s="386">
        <f t="shared" si="18"/>
        <v>11476080</v>
      </c>
      <c r="W65" s="487">
        <v>27</v>
      </c>
      <c r="X65" s="606">
        <f t="shared" si="19"/>
        <v>54</v>
      </c>
      <c r="Y65" s="514">
        <f>IFERROR(INDEX('[2]CN BC'!$M$10:$M$276,MATCH(B65,'[2]CN BC'!$H$10:$H$276,0)),"")</f>
        <v>0</v>
      </c>
      <c r="Z65" s="147"/>
      <c r="AA65" s="113"/>
      <c r="AB65" s="114"/>
      <c r="AC65" s="161"/>
      <c r="AD65" s="114"/>
      <c r="AE65" s="114"/>
      <c r="AF65" s="114"/>
      <c r="AG65" s="114"/>
      <c r="AH65" s="114"/>
      <c r="AI65" s="114"/>
    </row>
    <row r="66" spans="1:39" s="387" customFormat="1" ht="32.25" customHeight="1">
      <c r="A66" s="394">
        <f>_xlfn.AGGREGATE(4,7,A$11:A65)+1</f>
        <v>55</v>
      </c>
      <c r="B66" s="378" t="s">
        <v>1524</v>
      </c>
      <c r="C66" s="390" t="s">
        <v>883</v>
      </c>
      <c r="D66" s="452" t="s">
        <v>1666</v>
      </c>
      <c r="E66" s="446">
        <v>1603205182178</v>
      </c>
      <c r="F66" s="381">
        <v>3.66</v>
      </c>
      <c r="G66" s="382"/>
      <c r="H66" s="383">
        <f t="shared" si="11"/>
        <v>3.66</v>
      </c>
      <c r="I66" s="383"/>
      <c r="J66" s="384">
        <f t="shared" si="12"/>
        <v>3.66</v>
      </c>
      <c r="K66" s="377">
        <f t="shared" si="13"/>
        <v>6588000</v>
      </c>
      <c r="L66" s="381" t="str">
        <f>VLOOKUP(B66,'[1]Gui chi Quynh'!$B$7:$F$397,5,FALSE)</f>
        <v>A2</v>
      </c>
      <c r="M66" s="515">
        <f t="shared" si="14"/>
        <v>9223200</v>
      </c>
      <c r="N66" s="391">
        <v>21</v>
      </c>
      <c r="O66" s="459">
        <f>IFERROR(INDEX('[2]CN BC'!$J$10:$J$276,MATCH(B66,'[2]CN BC'!$H$10:$H$276,0)),"")</f>
        <v>23</v>
      </c>
      <c r="P66" s="515">
        <f t="shared" si="15"/>
        <v>9223200</v>
      </c>
      <c r="Q66" s="480"/>
      <c r="R66" s="377">
        <f>Q66*$G$8*1.6</f>
        <v>0</v>
      </c>
      <c r="S66" s="385"/>
      <c r="T66" s="377">
        <f t="shared" si="16"/>
        <v>0</v>
      </c>
      <c r="U66" s="377">
        <f t="shared" si="17"/>
        <v>65880</v>
      </c>
      <c r="V66" s="386">
        <f t="shared" si="18"/>
        <v>9289080</v>
      </c>
      <c r="W66" s="487">
        <v>26</v>
      </c>
      <c r="X66" s="606">
        <f t="shared" si="19"/>
        <v>55</v>
      </c>
      <c r="Y66" s="514">
        <f>IFERROR(INDEX('[2]CN BC'!$M$10:$M$276,MATCH(B66,'[2]CN BC'!$H$10:$H$276,0)),"")</f>
        <v>0</v>
      </c>
      <c r="Z66" s="147"/>
      <c r="AA66" s="113"/>
      <c r="AB66" s="114"/>
      <c r="AC66" s="161"/>
    </row>
    <row r="67" spans="1:39" s="387" customFormat="1" ht="28.5" customHeight="1">
      <c r="A67" s="394">
        <f>_xlfn.AGGREGATE(4,7,A$11:A66)+1</f>
        <v>56</v>
      </c>
      <c r="B67" s="464" t="s">
        <v>1860</v>
      </c>
      <c r="C67" s="437" t="s">
        <v>1601</v>
      </c>
      <c r="D67" s="436" t="s">
        <v>1667</v>
      </c>
      <c r="E67" s="444">
        <v>1603205351697</v>
      </c>
      <c r="F67" s="388">
        <v>3.33</v>
      </c>
      <c r="G67" s="382"/>
      <c r="H67" s="465">
        <f t="shared" si="11"/>
        <v>3.33</v>
      </c>
      <c r="I67" s="383"/>
      <c r="J67" s="384">
        <f t="shared" si="12"/>
        <v>3.33</v>
      </c>
      <c r="K67" s="377">
        <f t="shared" si="13"/>
        <v>5994000</v>
      </c>
      <c r="L67" s="381" t="str">
        <f>VLOOKUP(B67,'[1]Gui chi Quynh'!$B$7:$F$397,5,FALSE)</f>
        <v>A2</v>
      </c>
      <c r="M67" s="515">
        <f t="shared" si="14"/>
        <v>8391600</v>
      </c>
      <c r="N67" s="391">
        <v>21</v>
      </c>
      <c r="O67" s="459">
        <f>IFERROR(INDEX('[2]CN BC'!$J$10:$J$276,MATCH(B67,'[2]CN BC'!$H$10:$H$276,0)),"")</f>
        <v>22</v>
      </c>
      <c r="P67" s="515">
        <f t="shared" si="15"/>
        <v>8391600</v>
      </c>
      <c r="Q67" s="480"/>
      <c r="R67" s="377">
        <f>Q67*$G$8*1</f>
        <v>0</v>
      </c>
      <c r="S67" s="385"/>
      <c r="T67" s="377">
        <f t="shared" si="16"/>
        <v>0</v>
      </c>
      <c r="U67" s="377">
        <f t="shared" si="17"/>
        <v>59940</v>
      </c>
      <c r="V67" s="386">
        <f t="shared" si="18"/>
        <v>8451540</v>
      </c>
      <c r="W67" s="487">
        <v>28</v>
      </c>
      <c r="X67" s="606">
        <f t="shared" si="19"/>
        <v>56</v>
      </c>
      <c r="Y67" s="514">
        <f>IFERROR(INDEX('[2]CN BC'!$M$10:$M$276,MATCH(B67,'[2]CN BC'!$H$10:$H$276,0)),"")</f>
        <v>0</v>
      </c>
      <c r="Z67" s="147"/>
      <c r="AA67" s="491"/>
      <c r="AB67" s="114"/>
      <c r="AC67" s="161"/>
      <c r="AD67" s="114"/>
      <c r="AE67" s="114"/>
      <c r="AF67" s="114"/>
      <c r="AG67" s="114"/>
      <c r="AH67" s="114"/>
      <c r="AI67" s="114"/>
    </row>
    <row r="68" spans="1:39" s="387" customFormat="1" ht="29.25" customHeight="1">
      <c r="A68" s="394">
        <f>_xlfn.AGGREGATE(4,7,A$11:A67)+1</f>
        <v>57</v>
      </c>
      <c r="B68" s="378" t="s">
        <v>1484</v>
      </c>
      <c r="C68" s="396" t="s">
        <v>979</v>
      </c>
      <c r="D68" s="452" t="s">
        <v>1649</v>
      </c>
      <c r="E68" s="444">
        <v>1603205357194</v>
      </c>
      <c r="F68" s="510">
        <v>3.33</v>
      </c>
      <c r="G68" s="382"/>
      <c r="H68" s="465">
        <f t="shared" si="11"/>
        <v>3.33</v>
      </c>
      <c r="I68" s="383"/>
      <c r="J68" s="384">
        <f t="shared" si="12"/>
        <v>3.33</v>
      </c>
      <c r="K68" s="377">
        <f t="shared" si="13"/>
        <v>5994000</v>
      </c>
      <c r="L68" s="381" t="str">
        <f>VLOOKUP(B68,'[1]Gui chi Quynh'!$B$7:$F$397,5,FALSE)</f>
        <v>A2</v>
      </c>
      <c r="M68" s="515">
        <f t="shared" si="14"/>
        <v>8391600</v>
      </c>
      <c r="N68" s="391">
        <v>21</v>
      </c>
      <c r="O68" s="459">
        <f>IFERROR(INDEX('[2]CN BC'!$J$10:$J$276,MATCH(B68,'[2]CN BC'!$H$10:$H$276,0)),"")</f>
        <v>23</v>
      </c>
      <c r="P68" s="515">
        <f t="shared" si="15"/>
        <v>8391600</v>
      </c>
      <c r="Q68" s="480"/>
      <c r="R68" s="377">
        <f>Q68*$G$8*1</f>
        <v>0</v>
      </c>
      <c r="S68" s="385"/>
      <c r="T68" s="377">
        <f t="shared" si="16"/>
        <v>0</v>
      </c>
      <c r="U68" s="377">
        <f t="shared" si="17"/>
        <v>59940</v>
      </c>
      <c r="V68" s="386">
        <f t="shared" si="18"/>
        <v>8451540</v>
      </c>
      <c r="W68" s="487">
        <v>28</v>
      </c>
      <c r="X68" s="606">
        <f t="shared" si="19"/>
        <v>57</v>
      </c>
      <c r="Y68" s="514">
        <f>IFERROR(INDEX('[2]CN BC'!$M$10:$M$276,MATCH(B68,'[2]CN BC'!$H$10:$H$276,0)),"")</f>
        <v>0</v>
      </c>
      <c r="Z68" s="147"/>
      <c r="AA68" s="113"/>
      <c r="AB68" s="114"/>
      <c r="AC68" s="161"/>
    </row>
    <row r="69" spans="1:39" s="114" customFormat="1" ht="27" customHeight="1">
      <c r="A69" s="394">
        <f>_xlfn.AGGREGATE(4,7,A$11:A68)+1</f>
        <v>58</v>
      </c>
      <c r="B69" s="37" t="s">
        <v>1861</v>
      </c>
      <c r="C69" s="155" t="s">
        <v>1026</v>
      </c>
      <c r="D69" s="424" t="s">
        <v>1668</v>
      </c>
      <c r="E69" s="442" t="s">
        <v>1361</v>
      </c>
      <c r="F69" s="10">
        <v>4.6500000000000004</v>
      </c>
      <c r="G69" s="163"/>
      <c r="H69" s="383">
        <f t="shared" si="11"/>
        <v>4.6500000000000004</v>
      </c>
      <c r="I69" s="383">
        <v>0.45</v>
      </c>
      <c r="J69" s="384">
        <f t="shared" si="12"/>
        <v>5.1000000000000005</v>
      </c>
      <c r="K69" s="377">
        <f t="shared" si="13"/>
        <v>9180000.0000000019</v>
      </c>
      <c r="L69" s="381" t="str">
        <f>VLOOKUP(B69,'[1]Gui chi Quynh'!$B$7:$F$397,5,FALSE)</f>
        <v>A2</v>
      </c>
      <c r="M69" s="515">
        <f t="shared" si="14"/>
        <v>12852000.000000002</v>
      </c>
      <c r="N69" s="391">
        <v>21</v>
      </c>
      <c r="O69" s="459">
        <f>IFERROR(INDEX('[2]CN BC'!$J$10:$J$276,MATCH(B69,'[2]CN BC'!$H$10:$H$276,0)),"")</f>
        <v>25</v>
      </c>
      <c r="P69" s="515">
        <f t="shared" si="15"/>
        <v>12852000.000000002</v>
      </c>
      <c r="Q69" s="409"/>
      <c r="R69" s="377">
        <f>Q69*$G$8*1</f>
        <v>0</v>
      </c>
      <c r="S69" s="401"/>
      <c r="T69" s="377">
        <f t="shared" si="16"/>
        <v>0</v>
      </c>
      <c r="U69" s="377">
        <f t="shared" si="17"/>
        <v>91800</v>
      </c>
      <c r="V69" s="386">
        <f t="shared" si="18"/>
        <v>12943800.000000002</v>
      </c>
      <c r="W69" s="459">
        <v>27</v>
      </c>
      <c r="X69" s="606">
        <f t="shared" si="19"/>
        <v>58</v>
      </c>
      <c r="Y69" s="514">
        <f>IFERROR(INDEX('[2]CN BC'!$M$10:$M$276,MATCH(B69,'[2]CN BC'!$H$10:$H$276,0)),"")</f>
        <v>0</v>
      </c>
      <c r="Z69" s="147"/>
      <c r="AA69" s="113"/>
      <c r="AC69" s="161"/>
    </row>
    <row r="70" spans="1:39" s="114" customFormat="1" ht="27" customHeight="1">
      <c r="A70" s="394">
        <f>_xlfn.AGGREGATE(4,7,A$11:A69)+1</f>
        <v>59</v>
      </c>
      <c r="B70" s="37" t="s">
        <v>1853</v>
      </c>
      <c r="C70" s="155" t="s">
        <v>912</v>
      </c>
      <c r="D70" s="424" t="s">
        <v>1639</v>
      </c>
      <c r="E70" s="442" t="s">
        <v>1271</v>
      </c>
      <c r="F70" s="381">
        <v>4.32</v>
      </c>
      <c r="G70" s="163"/>
      <c r="H70" s="383">
        <f>F70+(F70*G70)</f>
        <v>4.32</v>
      </c>
      <c r="I70" s="86">
        <v>0.35</v>
      </c>
      <c r="J70" s="384">
        <f>H70+I70</f>
        <v>4.67</v>
      </c>
      <c r="K70" s="377">
        <f>J70*$G$8</f>
        <v>8406000</v>
      </c>
      <c r="L70" s="381" t="str">
        <f>VLOOKUP(B70,'[1]Gui chi Quynh'!$B$7:$F$397,5,FALSE)</f>
        <v>A3</v>
      </c>
      <c r="M70" s="515">
        <f>IF(L70="A1",K70*1.6,IF(L70="A2",K70*1.4,IF(L70="A3",K70*1.2,IF(L70="A4",K70*1,IF(L70="B1",K70*0.7,IF(L70="B2",K70*0.5,IF(L70="C1",K70*0.3,IF(L70="C2",K70*0.2,0))))))))</f>
        <v>10087200</v>
      </c>
      <c r="N70" s="391">
        <v>21</v>
      </c>
      <c r="O70" s="459">
        <f>IFERROR(INDEX('[2]CN BC'!$J$10:$J$276,MATCH(B70,'[2]CN BC'!$H$10:$H$276,0)),"")</f>
        <v>22</v>
      </c>
      <c r="P70" s="515">
        <f>IF(O70&gt;=N70,M70,M70/N70*O70)</f>
        <v>10087200</v>
      </c>
      <c r="Q70" s="409"/>
      <c r="R70" s="377">
        <f>Q70*$G$8*1</f>
        <v>0</v>
      </c>
      <c r="S70" s="401"/>
      <c r="T70" s="377">
        <f>S70*$G$8*1</f>
        <v>0</v>
      </c>
      <c r="U70" s="377">
        <f>IF(OR(L70="A DN",L70="KXL", L70=""),"0",ROUND(J70*0.01*$G$8+Q70*1%*$G$8+S70*1%*$G$8,))</f>
        <v>84060</v>
      </c>
      <c r="V70" s="386">
        <f>(P70+R70+T70+U70)</f>
        <v>10171260</v>
      </c>
      <c r="W70" s="459">
        <v>24</v>
      </c>
      <c r="X70" s="606">
        <f>A70</f>
        <v>59</v>
      </c>
      <c r="Y70" s="514">
        <f>IFERROR(INDEX('[2]CN BC'!$M$10:$M$276,MATCH(B70,'[2]CN BC'!$H$10:$H$276,0)),"")</f>
        <v>0</v>
      </c>
      <c r="Z70" s="147"/>
      <c r="AA70" s="456"/>
      <c r="AC70" s="161"/>
    </row>
    <row r="71" spans="1:39" s="387" customFormat="1" ht="27.75" customHeight="1">
      <c r="A71" s="394">
        <f>_xlfn.AGGREGATE(4,7,A$11:A70)+1</f>
        <v>60</v>
      </c>
      <c r="B71" s="378" t="s">
        <v>1862</v>
      </c>
      <c r="C71" s="390" t="s">
        <v>499</v>
      </c>
      <c r="D71" s="452" t="s">
        <v>1669</v>
      </c>
      <c r="E71" s="441" t="s">
        <v>497</v>
      </c>
      <c r="F71" s="381">
        <v>4.9800000000000004</v>
      </c>
      <c r="G71" s="393">
        <v>0.2</v>
      </c>
      <c r="H71" s="383">
        <f t="shared" si="11"/>
        <v>5.9760000000000009</v>
      </c>
      <c r="I71" s="383"/>
      <c r="J71" s="384">
        <f t="shared" si="12"/>
        <v>5.9760000000000009</v>
      </c>
      <c r="K71" s="377">
        <f t="shared" si="13"/>
        <v>10756800.000000002</v>
      </c>
      <c r="L71" s="381" t="str">
        <f>VLOOKUP(B71,'[1]Gui chi Quynh'!$B$7:$F$397,5,FALSE)</f>
        <v>A3</v>
      </c>
      <c r="M71" s="515">
        <f t="shared" si="14"/>
        <v>12908160.000000002</v>
      </c>
      <c r="N71" s="391">
        <v>21</v>
      </c>
      <c r="O71" s="459">
        <f>IFERROR(INDEX('[2]CN BC'!$J$10:$J$276,MATCH(B71,'[2]CN BC'!$H$10:$H$276,0)),"")</f>
        <v>21</v>
      </c>
      <c r="P71" s="515">
        <f t="shared" si="15"/>
        <v>12908160.000000002</v>
      </c>
      <c r="Q71" s="480"/>
      <c r="R71" s="377">
        <f>Q71*$G$8*1</f>
        <v>0</v>
      </c>
      <c r="S71" s="385"/>
      <c r="T71" s="377">
        <f t="shared" si="16"/>
        <v>0</v>
      </c>
      <c r="U71" s="377">
        <f t="shared" si="17"/>
        <v>107568</v>
      </c>
      <c r="V71" s="386">
        <f t="shared" si="18"/>
        <v>13015728.000000002</v>
      </c>
      <c r="W71" s="487">
        <v>23</v>
      </c>
      <c r="X71" s="606">
        <f t="shared" si="19"/>
        <v>60</v>
      </c>
      <c r="Y71" s="514">
        <f>IFERROR(INDEX('[2]CN BC'!$M$10:$M$276,MATCH(B71,'[2]CN BC'!$H$10:$H$276,0)),"")</f>
        <v>0</v>
      </c>
      <c r="Z71" s="567"/>
      <c r="AA71" s="568"/>
      <c r="AC71" s="508"/>
    </row>
    <row r="72" spans="1:39" s="387" customFormat="1" ht="27" customHeight="1">
      <c r="A72" s="394">
        <f>_xlfn.AGGREGATE(4,7,A$11:A71)+1</f>
        <v>61</v>
      </c>
      <c r="B72" s="378" t="s">
        <v>842</v>
      </c>
      <c r="C72" s="390" t="s">
        <v>874</v>
      </c>
      <c r="D72" s="452" t="s">
        <v>1671</v>
      </c>
      <c r="E72" s="441" t="s">
        <v>396</v>
      </c>
      <c r="F72" s="381">
        <v>3.66</v>
      </c>
      <c r="G72" s="382"/>
      <c r="H72" s="383">
        <f t="shared" si="11"/>
        <v>3.66</v>
      </c>
      <c r="I72" s="383"/>
      <c r="J72" s="384">
        <f t="shared" si="12"/>
        <v>3.66</v>
      </c>
      <c r="K72" s="377">
        <f t="shared" si="13"/>
        <v>6588000</v>
      </c>
      <c r="L72" s="381" t="str">
        <f>VLOOKUP(B72,'[1]Gui chi Quynh'!$B$7:$F$397,5,FALSE)</f>
        <v>A3</v>
      </c>
      <c r="M72" s="515">
        <f t="shared" si="14"/>
        <v>7905600</v>
      </c>
      <c r="N72" s="391">
        <v>21</v>
      </c>
      <c r="O72" s="459">
        <f>IFERROR(INDEX('[2]CN BC'!$J$10:$J$276,MATCH(B72,'[2]CN BC'!$H$10:$H$276,0)),"")</f>
        <v>22</v>
      </c>
      <c r="P72" s="515">
        <f t="shared" si="15"/>
        <v>7905600</v>
      </c>
      <c r="Q72" s="480"/>
      <c r="R72" s="377">
        <f>Q72*$G$8*0.8</f>
        <v>0</v>
      </c>
      <c r="S72" s="385"/>
      <c r="T72" s="377">
        <f t="shared" si="16"/>
        <v>0</v>
      </c>
      <c r="U72" s="377">
        <f t="shared" si="17"/>
        <v>65880</v>
      </c>
      <c r="V72" s="386">
        <f t="shared" si="18"/>
        <v>7971480</v>
      </c>
      <c r="W72" s="459">
        <v>24</v>
      </c>
      <c r="X72" s="606">
        <f t="shared" si="19"/>
        <v>61</v>
      </c>
      <c r="Y72" s="514">
        <f>IFERROR(INDEX('[2]CN BC'!$M$10:$M$276,MATCH(B72,'[2]CN BC'!$H$10:$H$276,0)),"")</f>
        <v>0</v>
      </c>
      <c r="Z72" s="147"/>
      <c r="AA72" s="113"/>
      <c r="AB72" s="114"/>
      <c r="AC72" s="161"/>
      <c r="AD72" s="114"/>
      <c r="AE72" s="114"/>
      <c r="AF72" s="114"/>
      <c r="AG72" s="114"/>
      <c r="AH72" s="114"/>
      <c r="AI72" s="114"/>
    </row>
    <row r="73" spans="1:39" s="387" customFormat="1" ht="27" customHeight="1">
      <c r="A73" s="394">
        <f>_xlfn.AGGREGATE(4,7,A$11:A72)+1</f>
        <v>62</v>
      </c>
      <c r="B73" s="378" t="s">
        <v>1551</v>
      </c>
      <c r="C73" s="390" t="s">
        <v>896</v>
      </c>
      <c r="D73" s="424" t="s">
        <v>1672</v>
      </c>
      <c r="E73" s="448">
        <v>1603205182756</v>
      </c>
      <c r="F73" s="381">
        <v>3.66</v>
      </c>
      <c r="G73" s="382"/>
      <c r="H73" s="383">
        <f t="shared" si="11"/>
        <v>3.66</v>
      </c>
      <c r="I73" s="383"/>
      <c r="J73" s="384">
        <f t="shared" si="12"/>
        <v>3.66</v>
      </c>
      <c r="K73" s="377">
        <f t="shared" si="13"/>
        <v>6588000</v>
      </c>
      <c r="L73" s="381" t="str">
        <f>VLOOKUP(B73,'[1]Gui chi Quynh'!$B$7:$F$397,5,FALSE)</f>
        <v>A2</v>
      </c>
      <c r="M73" s="515">
        <f t="shared" si="14"/>
        <v>9223200</v>
      </c>
      <c r="N73" s="391">
        <v>21</v>
      </c>
      <c r="O73" s="459">
        <f>IFERROR(INDEX('[2]CN BC'!$J$10:$J$276,MATCH(B73,'[2]CN BC'!$H$10:$H$276,0)),"")</f>
        <v>21</v>
      </c>
      <c r="P73" s="515">
        <f t="shared" si="15"/>
        <v>9223200</v>
      </c>
      <c r="Q73" s="480"/>
      <c r="R73" s="377">
        <f>Q73*$G$8*0.8</f>
        <v>0</v>
      </c>
      <c r="S73" s="385"/>
      <c r="T73" s="377">
        <f t="shared" si="16"/>
        <v>0</v>
      </c>
      <c r="U73" s="377">
        <f t="shared" si="17"/>
        <v>65880</v>
      </c>
      <c r="V73" s="386">
        <f t="shared" si="18"/>
        <v>9289080</v>
      </c>
      <c r="W73" s="459">
        <v>21</v>
      </c>
      <c r="X73" s="606">
        <f t="shared" si="19"/>
        <v>62</v>
      </c>
      <c r="Y73" s="514">
        <f>IFERROR(INDEX('[2]CN BC'!$M$10:$M$276,MATCH(B73,'[2]CN BC'!$H$10:$H$276,0)),"")</f>
        <v>0</v>
      </c>
      <c r="Z73" s="147"/>
      <c r="AA73" s="113"/>
      <c r="AB73" s="565"/>
      <c r="AC73" s="161"/>
      <c r="AD73" s="114"/>
      <c r="AE73" s="114"/>
      <c r="AF73" s="114"/>
      <c r="AG73" s="114"/>
      <c r="AH73" s="114"/>
      <c r="AI73" s="114"/>
      <c r="AJ73" s="114"/>
      <c r="AK73" s="114"/>
      <c r="AL73" s="114"/>
      <c r="AM73" s="114"/>
    </row>
    <row r="74" spans="1:39" s="387" customFormat="1" ht="27" customHeight="1">
      <c r="A74" s="394">
        <f>_xlfn.AGGREGATE(4,7,A$11:A73)+1</f>
        <v>63</v>
      </c>
      <c r="B74" s="378" t="s">
        <v>1521</v>
      </c>
      <c r="C74" s="396" t="s">
        <v>891</v>
      </c>
      <c r="D74" s="424" t="s">
        <v>1673</v>
      </c>
      <c r="E74" s="447">
        <v>1603205286752</v>
      </c>
      <c r="F74" s="388">
        <v>3.66</v>
      </c>
      <c r="G74" s="382"/>
      <c r="H74" s="465">
        <f t="shared" si="11"/>
        <v>3.66</v>
      </c>
      <c r="I74" s="383"/>
      <c r="J74" s="384">
        <f t="shared" si="12"/>
        <v>3.66</v>
      </c>
      <c r="K74" s="377">
        <f t="shared" si="13"/>
        <v>6588000</v>
      </c>
      <c r="L74" s="381" t="str">
        <f>VLOOKUP(B74,'[1]Gui chi Quynh'!$B$7:$F$397,5,FALSE)</f>
        <v>A2</v>
      </c>
      <c r="M74" s="515">
        <f t="shared" si="14"/>
        <v>9223200</v>
      </c>
      <c r="N74" s="391">
        <v>21</v>
      </c>
      <c r="O74" s="459">
        <f>IFERROR(INDEX('[2]CN BC'!$J$10:$J$276,MATCH(B74,'[2]CN BC'!$H$10:$H$276,0)),"")</f>
        <v>22</v>
      </c>
      <c r="P74" s="515">
        <f t="shared" si="15"/>
        <v>9223200</v>
      </c>
      <c r="Q74" s="409"/>
      <c r="R74" s="377">
        <f>Q74*$G$8*0.8</f>
        <v>0</v>
      </c>
      <c r="S74" s="401"/>
      <c r="T74" s="377">
        <f t="shared" si="16"/>
        <v>0</v>
      </c>
      <c r="U74" s="377">
        <f t="shared" si="17"/>
        <v>65880</v>
      </c>
      <c r="V74" s="386">
        <f t="shared" si="18"/>
        <v>9289080</v>
      </c>
      <c r="W74" s="459">
        <v>25</v>
      </c>
      <c r="X74" s="606">
        <f t="shared" si="19"/>
        <v>63</v>
      </c>
      <c r="Y74" s="514">
        <f>IFERROR(INDEX('[2]CN BC'!$M$10:$M$276,MATCH(B74,'[2]CN BC'!$H$10:$H$276,0)),"")</f>
        <v>0</v>
      </c>
      <c r="Z74" s="147"/>
      <c r="AA74" s="113"/>
      <c r="AB74" s="114"/>
      <c r="AC74" s="481"/>
      <c r="AD74" s="114"/>
      <c r="AE74" s="114"/>
      <c r="AF74" s="114"/>
      <c r="AG74" s="114"/>
      <c r="AH74" s="114"/>
      <c r="AI74" s="114"/>
      <c r="AJ74" s="114"/>
      <c r="AK74" s="114"/>
      <c r="AL74" s="114"/>
      <c r="AM74" s="114"/>
    </row>
    <row r="75" spans="1:39" s="387" customFormat="1" ht="27" customHeight="1">
      <c r="A75" s="394">
        <f>_xlfn.AGGREGATE(4,7,A$11:A74)+1</f>
        <v>64</v>
      </c>
      <c r="B75" s="378" t="s">
        <v>1841</v>
      </c>
      <c r="C75" s="379"/>
      <c r="D75" s="452" t="s">
        <v>1956</v>
      </c>
      <c r="E75" s="501" t="s">
        <v>1931</v>
      </c>
      <c r="F75" s="388">
        <v>3</v>
      </c>
      <c r="G75" s="382"/>
      <c r="H75" s="465">
        <f t="shared" si="11"/>
        <v>3</v>
      </c>
      <c r="I75" s="383">
        <v>0.35</v>
      </c>
      <c r="J75" s="384">
        <f t="shared" si="12"/>
        <v>3.35</v>
      </c>
      <c r="K75" s="377">
        <f t="shared" si="13"/>
        <v>6030000</v>
      </c>
      <c r="L75" s="381" t="str">
        <f>VLOOKUP(B75,'[1]Gui chi Quynh'!$B$7:$F$397,5,FALSE)</f>
        <v>A1</v>
      </c>
      <c r="M75" s="515">
        <f t="shared" si="14"/>
        <v>9648000</v>
      </c>
      <c r="N75" s="391">
        <v>21</v>
      </c>
      <c r="O75" s="459">
        <f>IFERROR(INDEX('[2]CN BC'!$J$10:$J$276,MATCH(B75,'[2]CN BC'!$H$10:$H$276,0)),"")</f>
        <v>26</v>
      </c>
      <c r="P75" s="515">
        <f t="shared" si="15"/>
        <v>9648000</v>
      </c>
      <c r="Q75" s="480"/>
      <c r="R75" s="377">
        <f>Q75*$G$8*1</f>
        <v>0</v>
      </c>
      <c r="S75" s="385"/>
      <c r="T75" s="377">
        <f t="shared" si="16"/>
        <v>0</v>
      </c>
      <c r="U75" s="377">
        <f t="shared" si="17"/>
        <v>60300</v>
      </c>
      <c r="V75" s="386">
        <f t="shared" si="18"/>
        <v>9708300</v>
      </c>
      <c r="W75" s="459">
        <v>23</v>
      </c>
      <c r="X75" s="606">
        <f t="shared" si="19"/>
        <v>64</v>
      </c>
      <c r="Y75" s="514">
        <f>IFERROR(INDEX('[2]CN BC'!$M$10:$M$276,MATCH(B75,'[2]CN BC'!$H$10:$H$276,0)),"")</f>
        <v>0</v>
      </c>
      <c r="Z75" s="147"/>
      <c r="AA75" s="113"/>
      <c r="AB75" s="114"/>
      <c r="AC75" s="161"/>
      <c r="AD75" s="114"/>
      <c r="AE75" s="114"/>
      <c r="AF75" s="114"/>
      <c r="AG75" s="114"/>
      <c r="AH75" s="114"/>
      <c r="AI75" s="114"/>
    </row>
    <row r="76" spans="1:39" s="114" customFormat="1" ht="27" customHeight="1">
      <c r="A76" s="394">
        <f>_xlfn.AGGREGATE(4,7,A$11:A75)+1</f>
        <v>65</v>
      </c>
      <c r="B76" s="37" t="s">
        <v>1863</v>
      </c>
      <c r="C76" s="155" t="s">
        <v>903</v>
      </c>
      <c r="D76" s="424" t="s">
        <v>1675</v>
      </c>
      <c r="E76" s="442" t="s">
        <v>1357</v>
      </c>
      <c r="F76" s="88">
        <v>3.66</v>
      </c>
      <c r="G76" s="163"/>
      <c r="H76" s="383">
        <f t="shared" si="11"/>
        <v>3.66</v>
      </c>
      <c r="I76" s="86">
        <v>0.45</v>
      </c>
      <c r="J76" s="384">
        <f t="shared" si="12"/>
        <v>4.1100000000000003</v>
      </c>
      <c r="K76" s="377">
        <f t="shared" si="13"/>
        <v>7398000.0000000009</v>
      </c>
      <c r="L76" s="381" t="str">
        <f>VLOOKUP(B76,'[1]Gui chi Quynh'!$B$7:$F$397,5,FALSE)</f>
        <v>A2</v>
      </c>
      <c r="M76" s="515">
        <f t="shared" si="14"/>
        <v>10357200</v>
      </c>
      <c r="N76" s="391">
        <v>21</v>
      </c>
      <c r="O76" s="459">
        <f>IFERROR(INDEX('[2]CN BC'!$J$10:$J$276,MATCH(B76,'[2]CN BC'!$H$10:$H$276,0)),"")</f>
        <v>28</v>
      </c>
      <c r="P76" s="515">
        <f t="shared" si="15"/>
        <v>10357200</v>
      </c>
      <c r="Q76" s="409"/>
      <c r="R76" s="377">
        <f>Q76*$G$8*1</f>
        <v>0</v>
      </c>
      <c r="S76" s="401"/>
      <c r="T76" s="377">
        <f t="shared" si="16"/>
        <v>0</v>
      </c>
      <c r="U76" s="377">
        <f t="shared" si="17"/>
        <v>73980</v>
      </c>
      <c r="V76" s="386">
        <f t="shared" si="18"/>
        <v>10431180</v>
      </c>
      <c r="W76" s="459">
        <v>29</v>
      </c>
      <c r="X76" s="606">
        <f t="shared" si="19"/>
        <v>65</v>
      </c>
      <c r="Y76" s="514">
        <f>IFERROR(INDEX('[2]CN BC'!$M$10:$M$276,MATCH(B76,'[2]CN BC'!$H$10:$H$276,0)),"")</f>
        <v>0</v>
      </c>
      <c r="Z76" s="147"/>
      <c r="AA76" s="113"/>
      <c r="AC76" s="161"/>
    </row>
    <row r="77" spans="1:39" s="387" customFormat="1" ht="27" customHeight="1">
      <c r="A77" s="394">
        <f>_xlfn.AGGREGATE(4,7,A$11:A76)+1</f>
        <v>66</v>
      </c>
      <c r="B77" s="378" t="s">
        <v>1470</v>
      </c>
      <c r="C77" s="396" t="s">
        <v>1434</v>
      </c>
      <c r="D77" s="424" t="s">
        <v>1679</v>
      </c>
      <c r="E77" s="444" t="s">
        <v>1438</v>
      </c>
      <c r="F77" s="381">
        <v>3.66</v>
      </c>
      <c r="G77" s="382"/>
      <c r="H77" s="383">
        <f t="shared" ref="H77:H109" si="21">F77+(F77*G77)</f>
        <v>3.66</v>
      </c>
      <c r="I77" s="383"/>
      <c r="J77" s="384">
        <f t="shared" ref="J77:J109" si="22">H77+I77</f>
        <v>3.66</v>
      </c>
      <c r="K77" s="377">
        <f t="shared" ref="K77:K106" si="23">J77*$G$8</f>
        <v>6588000</v>
      </c>
      <c r="L77" s="381" t="str">
        <f>VLOOKUP(B77,'[1]Gui chi Quynh'!$B$7:$F$397,5,FALSE)</f>
        <v>A1</v>
      </c>
      <c r="M77" s="515">
        <f t="shared" ref="M77:M109" si="24">IF(L77="A1",K77*1.6,IF(L77="A2",K77*1.4,IF(L77="A3",K77*1.2,IF(L77="A4",K77*1,IF(L77="B1",K77*0.7,IF(L77="B2",K77*0.5,IF(L77="C1",K77*0.3,IF(L77="C2",K77*0.2,0))))))))</f>
        <v>10540800</v>
      </c>
      <c r="N77" s="391">
        <v>21</v>
      </c>
      <c r="O77" s="459">
        <f>IFERROR(INDEX('[2]CN BC'!$J$10:$J$276,MATCH(B77,'[2]CN BC'!$H$10:$H$276,0)),"")</f>
        <v>24</v>
      </c>
      <c r="P77" s="515">
        <f t="shared" ref="P77:P109" si="25">IF(O77&gt;=N77,M77,M77/N77*O77)</f>
        <v>10540800</v>
      </c>
      <c r="Q77" s="409"/>
      <c r="R77" s="377">
        <f>Q77*$G$8*1</f>
        <v>0</v>
      </c>
      <c r="S77" s="401"/>
      <c r="T77" s="377">
        <f t="shared" ref="T77:T109" si="26">S77*$G$8*1</f>
        <v>0</v>
      </c>
      <c r="U77" s="377">
        <f t="shared" ref="U77:U109" si="27">IF(OR(L77="A DN",L77="KXL", L77=""),"0",ROUND(J77*0.01*$G$8+Q77*1%*$G$8+S77*1%*$G$8,))</f>
        <v>65880</v>
      </c>
      <c r="V77" s="386">
        <f t="shared" ref="V77:V109" si="28">(P77+R77+T77+U77)</f>
        <v>10606680</v>
      </c>
      <c r="W77" s="459">
        <v>27</v>
      </c>
      <c r="X77" s="606">
        <f t="shared" ref="X77:X107" si="29">A77</f>
        <v>66</v>
      </c>
      <c r="Y77" s="514">
        <f>IFERROR(INDEX('[2]CN BC'!$M$10:$M$276,MATCH(B77,'[2]CN BC'!$H$10:$H$276,0)),"")</f>
        <v>0</v>
      </c>
      <c r="Z77" s="147"/>
      <c r="AA77" s="456"/>
      <c r="AB77" s="114"/>
      <c r="AC77" s="481"/>
      <c r="AD77" s="114"/>
      <c r="AE77" s="114"/>
      <c r="AF77" s="114"/>
      <c r="AG77" s="114"/>
      <c r="AH77" s="114"/>
      <c r="AI77" s="114"/>
      <c r="AJ77" s="114"/>
      <c r="AK77" s="114"/>
      <c r="AL77" s="114"/>
      <c r="AM77" s="114"/>
    </row>
    <row r="78" spans="1:39" s="387" customFormat="1" ht="27" customHeight="1">
      <c r="A78" s="394">
        <f>_xlfn.AGGREGATE(4,7,A$11:A77)+1</f>
        <v>67</v>
      </c>
      <c r="B78" s="378" t="s">
        <v>1466</v>
      </c>
      <c r="C78" s="390" t="s">
        <v>1211</v>
      </c>
      <c r="D78" s="452" t="s">
        <v>1663</v>
      </c>
      <c r="E78" s="444" t="s">
        <v>1579</v>
      </c>
      <c r="F78" s="381">
        <v>3.26</v>
      </c>
      <c r="G78" s="382"/>
      <c r="H78" s="383">
        <f t="shared" si="21"/>
        <v>3.26</v>
      </c>
      <c r="I78" s="383"/>
      <c r="J78" s="384">
        <f t="shared" si="22"/>
        <v>3.26</v>
      </c>
      <c r="K78" s="377">
        <f t="shared" si="23"/>
        <v>5868000</v>
      </c>
      <c r="L78" s="381" t="str">
        <f>VLOOKUP(B78,'[1]Gui chi Quynh'!$B$7:$F$397,5,FALSE)</f>
        <v>A2</v>
      </c>
      <c r="M78" s="515">
        <f t="shared" si="24"/>
        <v>8215199.9999999991</v>
      </c>
      <c r="N78" s="391">
        <v>21</v>
      </c>
      <c r="O78" s="459">
        <f>IFERROR(INDEX('[2]CN BC'!$J$10:$J$276,MATCH(B78,'[2]CN BC'!$H$10:$H$276,0)),"")</f>
        <v>23</v>
      </c>
      <c r="P78" s="515">
        <f t="shared" si="25"/>
        <v>8215199.9999999991</v>
      </c>
      <c r="Q78" s="480"/>
      <c r="R78" s="377">
        <f>Q78*$G$8*1.2</f>
        <v>0</v>
      </c>
      <c r="S78" s="385"/>
      <c r="T78" s="377">
        <f t="shared" si="26"/>
        <v>0</v>
      </c>
      <c r="U78" s="377">
        <f t="shared" si="27"/>
        <v>58680</v>
      </c>
      <c r="V78" s="386">
        <f t="shared" si="28"/>
        <v>8273879.9999999991</v>
      </c>
      <c r="W78" s="459">
        <v>27</v>
      </c>
      <c r="X78" s="606">
        <f t="shared" si="29"/>
        <v>67</v>
      </c>
      <c r="Y78" s="514">
        <f>IFERROR(INDEX('[2]CN BC'!$M$10:$M$276,MATCH(B78,'[2]CN BC'!$H$10:$H$276,0)),"")</f>
        <v>0</v>
      </c>
      <c r="Z78" s="147"/>
      <c r="AA78" s="113"/>
      <c r="AB78" s="114"/>
      <c r="AC78" s="161"/>
      <c r="AD78" s="114"/>
      <c r="AE78" s="114"/>
      <c r="AF78" s="114"/>
      <c r="AG78" s="114"/>
      <c r="AH78" s="114"/>
      <c r="AI78" s="114"/>
    </row>
    <row r="79" spans="1:39" s="387" customFormat="1" ht="23.25" customHeight="1">
      <c r="A79" s="394">
        <f>_xlfn.AGGREGATE(4,7,A$11:A78)+1</f>
        <v>68</v>
      </c>
      <c r="B79" s="378" t="s">
        <v>1834</v>
      </c>
      <c r="C79" s="379"/>
      <c r="D79" s="452" t="s">
        <v>1967</v>
      </c>
      <c r="E79" s="501">
        <v>1603215005599</v>
      </c>
      <c r="F79" s="388">
        <v>3.66</v>
      </c>
      <c r="G79" s="382"/>
      <c r="H79" s="383">
        <f t="shared" si="21"/>
        <v>3.66</v>
      </c>
      <c r="I79" s="383">
        <v>0.45</v>
      </c>
      <c r="J79" s="384">
        <f t="shared" si="22"/>
        <v>4.1100000000000003</v>
      </c>
      <c r="K79" s="377">
        <f t="shared" si="23"/>
        <v>7398000.0000000009</v>
      </c>
      <c r="L79" s="381" t="str">
        <f>VLOOKUP(B79,'[1]Gui chi Quynh'!$B$7:$F$397,5,FALSE)</f>
        <v>A2</v>
      </c>
      <c r="M79" s="515">
        <f t="shared" si="24"/>
        <v>10357200</v>
      </c>
      <c r="N79" s="391">
        <v>21</v>
      </c>
      <c r="O79" s="459">
        <f>IFERROR(INDEX('[2]CN BC'!$J$10:$J$276,MATCH(B79,'[2]CN BC'!$H$10:$H$276,0)),"")</f>
        <v>20.5</v>
      </c>
      <c r="P79" s="515">
        <f t="shared" si="25"/>
        <v>10110600</v>
      </c>
      <c r="Q79" s="480"/>
      <c r="R79" s="377">
        <f t="shared" ref="R79:R111" si="30">Q79*$G$8*1</f>
        <v>0</v>
      </c>
      <c r="S79" s="385"/>
      <c r="T79" s="377">
        <f t="shared" si="26"/>
        <v>0</v>
      </c>
      <c r="U79" s="377">
        <f t="shared" si="27"/>
        <v>73980</v>
      </c>
      <c r="V79" s="386">
        <f t="shared" si="28"/>
        <v>10184580</v>
      </c>
      <c r="W79" s="487">
        <v>22</v>
      </c>
      <c r="X79" s="606">
        <f t="shared" si="29"/>
        <v>68</v>
      </c>
      <c r="Y79" s="514" t="str">
        <f>IFERROR(INDEX('[2]CN BC'!$M$10:$M$276,MATCH(B79,'[2]CN BC'!$H$10:$H$276,0)),"")</f>
        <v>Trừ 1,5 ngày nghỉ phép</v>
      </c>
      <c r="Z79" s="147"/>
      <c r="AA79" s="113"/>
      <c r="AB79" s="114"/>
      <c r="AC79" s="161"/>
      <c r="AD79" s="114"/>
      <c r="AE79" s="114"/>
      <c r="AF79" s="114"/>
      <c r="AG79" s="114"/>
      <c r="AH79" s="114"/>
      <c r="AI79" s="114"/>
    </row>
    <row r="80" spans="1:39" s="387" customFormat="1" ht="27" customHeight="1">
      <c r="A80" s="394">
        <f>_xlfn.AGGREGATE(4,7,A$11:A79)+1</f>
        <v>69</v>
      </c>
      <c r="B80" s="378" t="s">
        <v>1468</v>
      </c>
      <c r="C80" s="390" t="s">
        <v>883</v>
      </c>
      <c r="D80" s="452" t="s">
        <v>1676</v>
      </c>
      <c r="E80" s="444" t="s">
        <v>1580</v>
      </c>
      <c r="F80" s="388">
        <v>3.33</v>
      </c>
      <c r="G80" s="382"/>
      <c r="H80" s="465">
        <f t="shared" si="21"/>
        <v>3.33</v>
      </c>
      <c r="I80" s="383"/>
      <c r="J80" s="384">
        <f t="shared" si="22"/>
        <v>3.33</v>
      </c>
      <c r="K80" s="377">
        <f t="shared" si="23"/>
        <v>5994000</v>
      </c>
      <c r="L80" s="381" t="str">
        <f>VLOOKUP(B80,'[1]Gui chi Quynh'!$B$7:$F$397,5,FALSE)</f>
        <v>A3</v>
      </c>
      <c r="M80" s="515">
        <f t="shared" si="24"/>
        <v>7192800</v>
      </c>
      <c r="N80" s="391">
        <v>21</v>
      </c>
      <c r="O80" s="459">
        <f>IFERROR(INDEX('[2]CN BC'!$J$10:$J$276,MATCH(B80,'[2]CN BC'!$H$10:$H$276,0)),"")</f>
        <v>22</v>
      </c>
      <c r="P80" s="515">
        <f t="shared" si="25"/>
        <v>7192800</v>
      </c>
      <c r="Q80" s="409"/>
      <c r="R80" s="377">
        <f t="shared" si="30"/>
        <v>0</v>
      </c>
      <c r="S80" s="385"/>
      <c r="T80" s="377">
        <f t="shared" si="26"/>
        <v>0</v>
      </c>
      <c r="U80" s="377">
        <f t="shared" si="27"/>
        <v>59940</v>
      </c>
      <c r="V80" s="386">
        <f t="shared" si="28"/>
        <v>7252740</v>
      </c>
      <c r="W80" s="459">
        <v>25</v>
      </c>
      <c r="X80" s="606">
        <f t="shared" si="29"/>
        <v>69</v>
      </c>
      <c r="Y80" s="514">
        <f>IFERROR(INDEX('[2]CN BC'!$M$10:$M$276,MATCH(B80,'[2]CN BC'!$H$10:$H$276,0)),"")</f>
        <v>0</v>
      </c>
      <c r="Z80" s="147"/>
      <c r="AA80" s="113"/>
      <c r="AB80" s="114"/>
      <c r="AC80" s="161"/>
      <c r="AD80" s="114"/>
      <c r="AE80" s="114"/>
      <c r="AF80" s="114"/>
      <c r="AG80" s="114"/>
      <c r="AH80" s="114"/>
      <c r="AI80" s="114"/>
    </row>
    <row r="81" spans="1:62" s="387" customFormat="1" ht="27" customHeight="1">
      <c r="A81" s="394">
        <f>_xlfn.AGGREGATE(4,7,A$11:A80)+1</f>
        <v>70</v>
      </c>
      <c r="B81" s="378" t="s">
        <v>1469</v>
      </c>
      <c r="C81" s="390" t="s">
        <v>49</v>
      </c>
      <c r="D81" s="452" t="s">
        <v>1677</v>
      </c>
      <c r="E81" s="448">
        <v>1603205185623</v>
      </c>
      <c r="F81" s="388">
        <v>3.33</v>
      </c>
      <c r="G81" s="382"/>
      <c r="H81" s="465">
        <f t="shared" si="21"/>
        <v>3.33</v>
      </c>
      <c r="I81" s="383"/>
      <c r="J81" s="384">
        <f t="shared" si="22"/>
        <v>3.33</v>
      </c>
      <c r="K81" s="377">
        <f t="shared" si="23"/>
        <v>5994000</v>
      </c>
      <c r="L81" s="381" t="str">
        <f>VLOOKUP(B81,'[1]Gui chi Quynh'!$B$7:$F$397,5,FALSE)</f>
        <v>A2</v>
      </c>
      <c r="M81" s="515">
        <f t="shared" si="24"/>
        <v>8391600</v>
      </c>
      <c r="N81" s="391">
        <v>21</v>
      </c>
      <c r="O81" s="459">
        <f>IFERROR(INDEX('[2]CN BC'!$J$10:$J$276,MATCH(B81,'[2]CN BC'!$H$10:$H$276,0)),"")</f>
        <v>21</v>
      </c>
      <c r="P81" s="515">
        <f t="shared" si="25"/>
        <v>8391600</v>
      </c>
      <c r="Q81" s="480"/>
      <c r="R81" s="377">
        <f t="shared" si="30"/>
        <v>0</v>
      </c>
      <c r="S81" s="385"/>
      <c r="T81" s="377">
        <f t="shared" si="26"/>
        <v>0</v>
      </c>
      <c r="U81" s="377">
        <f t="shared" si="27"/>
        <v>59940</v>
      </c>
      <c r="V81" s="386">
        <f t="shared" si="28"/>
        <v>8451540</v>
      </c>
      <c r="W81" s="459">
        <v>23</v>
      </c>
      <c r="X81" s="606">
        <f t="shared" si="29"/>
        <v>70</v>
      </c>
      <c r="Y81" s="514">
        <f>IFERROR(INDEX('[2]CN BC'!$M$10:$M$276,MATCH(B81,'[2]CN BC'!$H$10:$H$276,0)),"")</f>
        <v>0</v>
      </c>
      <c r="Z81" s="490"/>
      <c r="AA81" s="113"/>
      <c r="AB81" s="114"/>
      <c r="AC81" s="161"/>
      <c r="AD81" s="114"/>
      <c r="AE81" s="114"/>
      <c r="AF81" s="114"/>
      <c r="AG81" s="114"/>
      <c r="AH81" s="114"/>
      <c r="AI81" s="114"/>
    </row>
    <row r="82" spans="1:62" s="387" customFormat="1" ht="27" customHeight="1">
      <c r="A82" s="394">
        <f>_xlfn.AGGREGATE(4,7,A$11:A81)+1</f>
        <v>71</v>
      </c>
      <c r="B82" s="378" t="s">
        <v>1864</v>
      </c>
      <c r="C82" s="396" t="s">
        <v>1066</v>
      </c>
      <c r="D82" s="452" t="s">
        <v>1678</v>
      </c>
      <c r="E82" s="441" t="s">
        <v>1402</v>
      </c>
      <c r="F82" s="381">
        <v>4.9800000000000004</v>
      </c>
      <c r="G82" s="382">
        <v>0.05</v>
      </c>
      <c r="H82" s="383">
        <f t="shared" si="21"/>
        <v>5.2290000000000001</v>
      </c>
      <c r="I82" s="383"/>
      <c r="J82" s="384">
        <f t="shared" si="22"/>
        <v>5.2290000000000001</v>
      </c>
      <c r="K82" s="377">
        <f t="shared" si="23"/>
        <v>9412200</v>
      </c>
      <c r="L82" s="381" t="str">
        <f>VLOOKUP(B82,'[1]Gui chi Quynh'!$B$7:$F$397,5,FALSE)</f>
        <v>A4</v>
      </c>
      <c r="M82" s="515">
        <f t="shared" si="24"/>
        <v>9412200</v>
      </c>
      <c r="N82" s="391">
        <v>21</v>
      </c>
      <c r="O82" s="459">
        <f>IFERROR(INDEX('[2]CN BC'!$J$10:$J$276,MATCH(B82,'[2]CN BC'!$H$10:$H$276,0)),"")</f>
        <v>21</v>
      </c>
      <c r="P82" s="515">
        <f t="shared" si="25"/>
        <v>9412200</v>
      </c>
      <c r="Q82" s="480"/>
      <c r="R82" s="377">
        <f t="shared" si="30"/>
        <v>0</v>
      </c>
      <c r="S82" s="385"/>
      <c r="T82" s="377">
        <f t="shared" si="26"/>
        <v>0</v>
      </c>
      <c r="U82" s="377">
        <f t="shared" si="27"/>
        <v>94122</v>
      </c>
      <c r="V82" s="386">
        <f t="shared" si="28"/>
        <v>9506322</v>
      </c>
      <c r="W82" s="487">
        <v>23</v>
      </c>
      <c r="X82" s="606">
        <f t="shared" si="29"/>
        <v>71</v>
      </c>
      <c r="Y82" s="514">
        <f>IFERROR(INDEX('[2]CN BC'!$M$10:$M$276,MATCH(B82,'[2]CN BC'!$H$10:$H$276,0)),"")</f>
        <v>0</v>
      </c>
      <c r="Z82" s="147"/>
      <c r="AA82" s="113"/>
      <c r="AB82" s="114"/>
      <c r="AC82" s="508"/>
    </row>
    <row r="83" spans="1:62" s="387" customFormat="1" ht="31.5" customHeight="1">
      <c r="A83" s="394">
        <f>_xlfn.AGGREGATE(4,7,A$11:A82)+1</f>
        <v>72</v>
      </c>
      <c r="B83" s="378" t="s">
        <v>1471</v>
      </c>
      <c r="C83" s="379" t="s">
        <v>1060</v>
      </c>
      <c r="D83" s="452" t="s">
        <v>1680</v>
      </c>
      <c r="E83" s="444" t="s">
        <v>1581</v>
      </c>
      <c r="F83" s="381">
        <v>4.9800000000000004</v>
      </c>
      <c r="G83" s="382"/>
      <c r="H83" s="383">
        <f t="shared" si="21"/>
        <v>4.9800000000000004</v>
      </c>
      <c r="I83" s="383">
        <v>0.45</v>
      </c>
      <c r="J83" s="384">
        <f t="shared" si="22"/>
        <v>5.4300000000000006</v>
      </c>
      <c r="K83" s="377">
        <f t="shared" si="23"/>
        <v>9774000.0000000019</v>
      </c>
      <c r="L83" s="381" t="str">
        <f>VLOOKUP(B83,'[1]Gui chi Quynh'!$B$7:$F$397,5,FALSE)</f>
        <v>A1</v>
      </c>
      <c r="M83" s="515">
        <f t="shared" si="24"/>
        <v>15638400.000000004</v>
      </c>
      <c r="N83" s="391">
        <v>21</v>
      </c>
      <c r="O83" s="459">
        <f>IFERROR(INDEX('[2]CN BC'!$J$10:$J$276,MATCH(B83,'[2]CN BC'!$H$10:$H$276,0)),"")</f>
        <v>21</v>
      </c>
      <c r="P83" s="515">
        <f t="shared" si="25"/>
        <v>15638400.000000004</v>
      </c>
      <c r="Q83" s="480"/>
      <c r="R83" s="377">
        <f t="shared" si="30"/>
        <v>0</v>
      </c>
      <c r="S83" s="385"/>
      <c r="T83" s="377">
        <f t="shared" si="26"/>
        <v>0</v>
      </c>
      <c r="U83" s="377">
        <f t="shared" si="27"/>
        <v>97740</v>
      </c>
      <c r="V83" s="386">
        <f t="shared" si="28"/>
        <v>15736140.000000004</v>
      </c>
      <c r="W83" s="487">
        <v>23</v>
      </c>
      <c r="X83" s="606">
        <f t="shared" si="29"/>
        <v>72</v>
      </c>
      <c r="Y83" s="514">
        <f>IFERROR(INDEX('[2]CN BC'!$M$10:$M$276,MATCH(B83,'[2]CN BC'!$H$10:$H$276,0)),"")</f>
        <v>0</v>
      </c>
      <c r="Z83" s="567"/>
      <c r="AA83" s="568"/>
      <c r="AC83" s="508"/>
    </row>
    <row r="84" spans="1:62" s="387" customFormat="1" ht="28.5" customHeight="1">
      <c r="A84" s="394">
        <f>_xlfn.AGGREGATE(4,7,A$11:A83)+1</f>
        <v>73</v>
      </c>
      <c r="B84" s="464" t="s">
        <v>1830</v>
      </c>
      <c r="C84" s="437" t="s">
        <v>1087</v>
      </c>
      <c r="D84" s="436" t="s">
        <v>1829</v>
      </c>
      <c r="E84" s="466">
        <v>1603205354978</v>
      </c>
      <c r="F84" s="381">
        <v>2.67</v>
      </c>
      <c r="G84" s="382"/>
      <c r="H84" s="383">
        <f>F84+(F84*G84)</f>
        <v>2.67</v>
      </c>
      <c r="I84" s="383">
        <v>0.45</v>
      </c>
      <c r="J84" s="384">
        <f>H84+I84</f>
        <v>3.12</v>
      </c>
      <c r="K84" s="377">
        <f>J84*CN!$G$8</f>
        <v>5616000</v>
      </c>
      <c r="L84" s="381" t="str">
        <f>VLOOKUP(B84,'[1]Gui chi Quynh'!$B$7:$F$397,5,FALSE)</f>
        <v>A1</v>
      </c>
      <c r="M84" s="515">
        <f t="shared" si="24"/>
        <v>8985600</v>
      </c>
      <c r="N84" s="391">
        <v>21</v>
      </c>
      <c r="O84" s="459">
        <f>IFERROR(INDEX('[2]CN BC'!$J$10:$J$276,MATCH(B84,'[2]CN BC'!$H$10:$H$276,0)),"")</f>
        <v>31</v>
      </c>
      <c r="P84" s="377">
        <f>IF(O84&gt;=N84,M84,M84/N84*O84)</f>
        <v>8985600</v>
      </c>
      <c r="Q84" s="409"/>
      <c r="R84" s="377">
        <f>Q84*CN!$G$8*1</f>
        <v>0</v>
      </c>
      <c r="S84" s="385"/>
      <c r="T84" s="377">
        <f>S84*[3]CN!$G$8*0.65</f>
        <v>0</v>
      </c>
      <c r="U84" s="377">
        <f>IF(OR(L84="A DN",L84="KXL", L84=""),"0",ROUND(J84*0.01*CN!$G$8+Q84*1%*CN!$G$8+S84*1%*CN!$G$8,))</f>
        <v>56160</v>
      </c>
      <c r="V84" s="386">
        <f>(P84+R84+T84+U84)</f>
        <v>9041760</v>
      </c>
      <c r="W84" s="459">
        <v>17</v>
      </c>
      <c r="X84" s="607">
        <f>A84</f>
        <v>73</v>
      </c>
      <c r="Y84" s="514">
        <f>IFERROR(INDEX('[2]CN BC'!$M$10:$M$276,MATCH(B84,'[2]CN BC'!$H$10:$H$276,0)),"")</f>
        <v>0</v>
      </c>
      <c r="Z84" s="114"/>
      <c r="AA84" s="161"/>
      <c r="AB84" s="114"/>
      <c r="AC84" s="114"/>
      <c r="AD84" s="114"/>
      <c r="AE84" s="114"/>
      <c r="AF84" s="114"/>
      <c r="AG84" s="114"/>
      <c r="AH84" s="114"/>
      <c r="AI84" s="114"/>
    </row>
    <row r="85" spans="1:62" s="113" customFormat="1" ht="28.5" customHeight="1">
      <c r="A85" s="394">
        <f>_xlfn.AGGREGATE(4,7,A$11:A84)+1</f>
        <v>74</v>
      </c>
      <c r="B85" s="37" t="s">
        <v>2005</v>
      </c>
      <c r="C85" s="155" t="s">
        <v>987</v>
      </c>
      <c r="D85" s="67" t="s">
        <v>1826</v>
      </c>
      <c r="E85" s="80" t="s">
        <v>12</v>
      </c>
      <c r="F85" s="86">
        <v>3.34</v>
      </c>
      <c r="G85" s="179"/>
      <c r="H85" s="86">
        <f>F85+(F85*G85)</f>
        <v>3.34</v>
      </c>
      <c r="I85" s="179">
        <v>0</v>
      </c>
      <c r="J85" s="10">
        <f>I85+H85</f>
        <v>3.34</v>
      </c>
      <c r="K85" s="377">
        <f>J85*CN!$G$8</f>
        <v>6012000</v>
      </c>
      <c r="L85" s="381" t="str">
        <f>VLOOKUP(B85,'[1]Gui chi Quynh'!$B$7:$F$397,5,FALSE)</f>
        <v>A4</v>
      </c>
      <c r="M85" s="515">
        <f t="shared" si="24"/>
        <v>6012000</v>
      </c>
      <c r="N85" s="391">
        <v>21</v>
      </c>
      <c r="O85" s="459">
        <f>IFERROR(INDEX('[2]CN BC'!$J$10:$J$276,MATCH(B85,'[2]CN BC'!$H$10:$H$276,0)),"")</f>
        <v>27</v>
      </c>
      <c r="P85" s="34">
        <f>IF(O85&gt;=N85,M85,M85/N85*O85)</f>
        <v>6012000</v>
      </c>
      <c r="Q85" s="543"/>
      <c r="R85" s="34">
        <f>Q85*$H$9*0.65</f>
        <v>0</v>
      </c>
      <c r="S85" s="79"/>
      <c r="T85" s="34">
        <f>S85*$H$9*0.65</f>
        <v>0</v>
      </c>
      <c r="U85" s="544">
        <f>K85*1%</f>
        <v>60120</v>
      </c>
      <c r="V85" s="386">
        <f>ROUND(P85+R85+T85+U85,0)</f>
        <v>6072120</v>
      </c>
      <c r="W85" s="67">
        <v>21</v>
      </c>
      <c r="X85" s="608">
        <f>A85</f>
        <v>74</v>
      </c>
      <c r="Y85" s="514">
        <f>IFERROR(INDEX('[2]CN BC'!$M$10:$M$276,MATCH(B85,'[2]CN BC'!$H$10:$H$276,0)),"")</f>
        <v>0</v>
      </c>
    </row>
    <row r="86" spans="1:62" s="387" customFormat="1" ht="27" customHeight="1">
      <c r="A86" s="394">
        <f>_xlfn.AGGREGATE(4,7,A$11:A85)+1</f>
        <v>75</v>
      </c>
      <c r="B86" s="464" t="s">
        <v>1607</v>
      </c>
      <c r="C86" s="437" t="s">
        <v>1009</v>
      </c>
      <c r="D86" s="436" t="s">
        <v>1957</v>
      </c>
      <c r="E86" s="502">
        <v>1603215003961</v>
      </c>
      <c r="F86" s="388">
        <v>3.66</v>
      </c>
      <c r="G86" s="382"/>
      <c r="H86" s="465">
        <f t="shared" si="21"/>
        <v>3.66</v>
      </c>
      <c r="I86" s="383">
        <v>0.45</v>
      </c>
      <c r="J86" s="384">
        <f t="shared" si="22"/>
        <v>4.1100000000000003</v>
      </c>
      <c r="K86" s="377">
        <f>J86*CN!$G$8</f>
        <v>7398000.0000000009</v>
      </c>
      <c r="L86" s="381" t="str">
        <f>VLOOKUP(B86,'[1]Gui chi Quynh'!$B$7:$F$397,5,FALSE)</f>
        <v>A3</v>
      </c>
      <c r="M86" s="515">
        <f t="shared" si="24"/>
        <v>8877600</v>
      </c>
      <c r="N86" s="391">
        <v>21</v>
      </c>
      <c r="O86" s="459">
        <f>IFERROR(INDEX('[2]CN BC'!$J$10:$J$276,MATCH(B86,'[2]CN BC'!$H$10:$H$276,0)),"")</f>
        <v>21</v>
      </c>
      <c r="P86" s="515">
        <f t="shared" si="25"/>
        <v>8877600</v>
      </c>
      <c r="Q86" s="409"/>
      <c r="R86" s="377">
        <f t="shared" si="30"/>
        <v>0</v>
      </c>
      <c r="S86" s="385"/>
      <c r="T86" s="377">
        <f t="shared" si="26"/>
        <v>0</v>
      </c>
      <c r="U86" s="377">
        <f t="shared" si="27"/>
        <v>73980</v>
      </c>
      <c r="V86" s="386">
        <f t="shared" si="28"/>
        <v>8951580</v>
      </c>
      <c r="W86" s="459">
        <v>23</v>
      </c>
      <c r="X86" s="606">
        <f t="shared" si="29"/>
        <v>75</v>
      </c>
      <c r="Y86" s="514">
        <f>IFERROR(INDEX('[2]CN BC'!$M$10:$M$276,MATCH(B86,'[2]CN BC'!$H$10:$H$276,0)),"")</f>
        <v>0</v>
      </c>
      <c r="Z86" s="147"/>
      <c r="AA86" s="113"/>
      <c r="AB86" s="114"/>
      <c r="AC86" s="161"/>
      <c r="AD86" s="114"/>
      <c r="AE86" s="114"/>
      <c r="AF86" s="114"/>
      <c r="AG86" s="114"/>
      <c r="AH86" s="114"/>
      <c r="AI86" s="114"/>
      <c r="AJ86" s="114"/>
      <c r="AK86" s="114"/>
      <c r="AL86" s="114"/>
      <c r="AM86" s="114"/>
      <c r="AN86" s="114"/>
      <c r="AO86" s="114"/>
      <c r="AP86" s="114"/>
      <c r="AQ86" s="114"/>
      <c r="AR86" s="114"/>
      <c r="AS86" s="114"/>
      <c r="AT86" s="114"/>
      <c r="AU86" s="114"/>
      <c r="AV86" s="114"/>
      <c r="AW86" s="114"/>
      <c r="AX86" s="114"/>
      <c r="AY86" s="114"/>
      <c r="AZ86" s="114"/>
      <c r="BA86" s="114"/>
      <c r="BB86" s="114"/>
      <c r="BC86" s="114"/>
      <c r="BD86" s="114"/>
      <c r="BE86" s="114"/>
      <c r="BF86" s="114"/>
      <c r="BG86" s="114"/>
      <c r="BH86" s="114"/>
      <c r="BI86" s="114"/>
      <c r="BJ86" s="114"/>
    </row>
    <row r="87" spans="1:62" s="387" customFormat="1" ht="25.5" customHeight="1">
      <c r="A87" s="394">
        <f>_xlfn.AGGREGATE(4,7,A$11:A86)+1</f>
        <v>76</v>
      </c>
      <c r="B87" s="378" t="s">
        <v>1924</v>
      </c>
      <c r="C87" s="379"/>
      <c r="D87" s="452" t="s">
        <v>1958</v>
      </c>
      <c r="E87" s="202" t="s">
        <v>1935</v>
      </c>
      <c r="F87" s="381">
        <v>2.67</v>
      </c>
      <c r="G87" s="382"/>
      <c r="H87" s="465">
        <f t="shared" si="21"/>
        <v>2.67</v>
      </c>
      <c r="I87" s="383"/>
      <c r="J87" s="384">
        <f t="shared" si="22"/>
        <v>2.67</v>
      </c>
      <c r="K87" s="377">
        <f t="shared" si="23"/>
        <v>4806000</v>
      </c>
      <c r="L87" s="381" t="str">
        <f>VLOOKUP(B87,'[1]Gui chi Quynh'!$B$7:$F$397,5,FALSE)</f>
        <v>A4</v>
      </c>
      <c r="M87" s="515">
        <f t="shared" si="24"/>
        <v>4806000</v>
      </c>
      <c r="N87" s="391">
        <v>21</v>
      </c>
      <c r="O87" s="459">
        <f>IFERROR(INDEX('[2]CN BC'!$J$10:$J$276,MATCH(B87,'[2]CN BC'!$H$10:$H$276,0)),"")</f>
        <v>21</v>
      </c>
      <c r="P87" s="515">
        <f t="shared" si="25"/>
        <v>4806000</v>
      </c>
      <c r="Q87" s="480"/>
      <c r="R87" s="377">
        <f t="shared" si="30"/>
        <v>0</v>
      </c>
      <c r="S87" s="385"/>
      <c r="T87" s="377">
        <f t="shared" si="26"/>
        <v>0</v>
      </c>
      <c r="U87" s="377">
        <f t="shared" si="27"/>
        <v>48060</v>
      </c>
      <c r="V87" s="386">
        <f t="shared" si="28"/>
        <v>4854060</v>
      </c>
      <c r="W87" s="459">
        <v>23</v>
      </c>
      <c r="X87" s="606">
        <f t="shared" si="29"/>
        <v>76</v>
      </c>
      <c r="Y87" s="514">
        <f>IFERROR(INDEX('[2]CN BC'!$M$10:$M$276,MATCH(B87,'[2]CN BC'!$H$10:$H$276,0)),"")</f>
        <v>0</v>
      </c>
      <c r="Z87" s="147"/>
      <c r="AA87" s="113"/>
      <c r="AB87" s="114"/>
      <c r="AC87" s="161"/>
      <c r="AD87" s="114"/>
      <c r="AE87" s="114"/>
      <c r="AF87" s="114"/>
      <c r="AG87" s="114"/>
      <c r="AH87" s="114"/>
      <c r="AI87" s="114"/>
    </row>
    <row r="88" spans="1:62" s="387" customFormat="1" ht="25.15" customHeight="1">
      <c r="A88" s="394">
        <f>_xlfn.AGGREGATE(4,7,A$11:A87)+1</f>
        <v>77</v>
      </c>
      <c r="B88" s="378" t="s">
        <v>1944</v>
      </c>
      <c r="C88" s="379"/>
      <c r="D88" s="452" t="s">
        <v>1959</v>
      </c>
      <c r="E88" s="500"/>
      <c r="F88" s="381">
        <v>2.34</v>
      </c>
      <c r="G88" s="382"/>
      <c r="H88" s="465">
        <f t="shared" si="21"/>
        <v>2.34</v>
      </c>
      <c r="I88" s="383"/>
      <c r="J88" s="384">
        <f t="shared" si="22"/>
        <v>2.34</v>
      </c>
      <c r="K88" s="377">
        <f t="shared" si="23"/>
        <v>4212000</v>
      </c>
      <c r="L88" s="381" t="str">
        <f>VLOOKUP(B88,'[1]Gui chi Quynh'!$B$7:$F$397,5,FALSE)</f>
        <v>A3</v>
      </c>
      <c r="M88" s="515">
        <f t="shared" si="24"/>
        <v>5054400</v>
      </c>
      <c r="N88" s="391">
        <v>21</v>
      </c>
      <c r="O88" s="459">
        <f>IFERROR(INDEX('[2]CN BC'!$J$10:$J$276,MATCH(B88,'[2]CN BC'!$H$10:$H$276,0)),"")</f>
        <v>21</v>
      </c>
      <c r="P88" s="515">
        <f t="shared" si="25"/>
        <v>5054400</v>
      </c>
      <c r="Q88" s="480"/>
      <c r="R88" s="377">
        <f t="shared" si="30"/>
        <v>0</v>
      </c>
      <c r="S88" s="385"/>
      <c r="T88" s="377">
        <f t="shared" si="26"/>
        <v>0</v>
      </c>
      <c r="U88" s="377">
        <f t="shared" si="27"/>
        <v>42120</v>
      </c>
      <c r="V88" s="386">
        <f t="shared" si="28"/>
        <v>5096520</v>
      </c>
      <c r="W88" s="487">
        <v>23</v>
      </c>
      <c r="X88" s="606">
        <f t="shared" si="29"/>
        <v>77</v>
      </c>
      <c r="Y88" s="514">
        <f>IFERROR(INDEX('[2]CN BC'!$M$10:$M$276,MATCH(B88,'[2]CN BC'!$H$10:$H$276,0)),"")</f>
        <v>0</v>
      </c>
      <c r="Z88" s="147"/>
      <c r="AA88" s="113"/>
      <c r="AB88" s="114"/>
      <c r="AC88" s="161"/>
      <c r="AD88" s="114"/>
      <c r="AE88" s="114"/>
      <c r="AF88" s="114"/>
      <c r="AG88" s="114"/>
      <c r="AH88" s="114"/>
      <c r="AI88" s="114"/>
    </row>
    <row r="89" spans="1:62" s="387" customFormat="1" ht="25.5" customHeight="1">
      <c r="A89" s="394">
        <f>_xlfn.AGGREGATE(4,7,A$11:A88)+1</f>
        <v>78</v>
      </c>
      <c r="B89" s="378" t="s">
        <v>1472</v>
      </c>
      <c r="C89" s="379" t="s">
        <v>939</v>
      </c>
      <c r="D89" s="424" t="s">
        <v>1682</v>
      </c>
      <c r="E89" s="444" t="s">
        <v>1582</v>
      </c>
      <c r="F89" s="388">
        <v>3.99</v>
      </c>
      <c r="G89" s="382"/>
      <c r="H89" s="383">
        <f t="shared" si="21"/>
        <v>3.99</v>
      </c>
      <c r="I89" s="383">
        <v>0.45</v>
      </c>
      <c r="J89" s="384">
        <f t="shared" si="22"/>
        <v>4.4400000000000004</v>
      </c>
      <c r="K89" s="377">
        <f t="shared" si="23"/>
        <v>7992000.0000000009</v>
      </c>
      <c r="L89" s="381" t="str">
        <f>VLOOKUP(B89,'[1]Gui chi Quynh'!$B$7:$F$397,5,FALSE)</f>
        <v>A1</v>
      </c>
      <c r="M89" s="515">
        <f t="shared" si="24"/>
        <v>12787200.000000002</v>
      </c>
      <c r="N89" s="391">
        <v>21</v>
      </c>
      <c r="O89" s="459">
        <f>IFERROR(INDEX('[2]CN BC'!$J$10:$J$276,MATCH(B89,'[2]CN BC'!$H$10:$H$276,0)),"")</f>
        <v>21</v>
      </c>
      <c r="P89" s="515">
        <f t="shared" si="25"/>
        <v>12787200.000000002</v>
      </c>
      <c r="Q89" s="409"/>
      <c r="R89" s="377">
        <f t="shared" si="30"/>
        <v>0</v>
      </c>
      <c r="S89" s="385"/>
      <c r="T89" s="377">
        <f t="shared" si="26"/>
        <v>0</v>
      </c>
      <c r="U89" s="377">
        <f t="shared" si="27"/>
        <v>79920</v>
      </c>
      <c r="V89" s="386">
        <f t="shared" si="28"/>
        <v>12867120.000000002</v>
      </c>
      <c r="W89" s="459">
        <v>23</v>
      </c>
      <c r="X89" s="606">
        <f t="shared" si="29"/>
        <v>78</v>
      </c>
      <c r="Y89" s="514">
        <f>IFERROR(INDEX('[2]CN BC'!$M$10:$M$276,MATCH(B89,'[2]CN BC'!$H$10:$H$276,0)),"")</f>
        <v>0</v>
      </c>
      <c r="Z89" s="550" t="s">
        <v>812</v>
      </c>
      <c r="AA89" s="113"/>
      <c r="AB89" s="114"/>
      <c r="AC89" s="161"/>
      <c r="AD89" s="114"/>
      <c r="AE89" s="114"/>
      <c r="AF89" s="114"/>
      <c r="AG89" s="114"/>
      <c r="AH89" s="114"/>
      <c r="AI89" s="114"/>
      <c r="AJ89" s="114"/>
      <c r="AK89" s="114"/>
      <c r="AL89" s="114"/>
      <c r="AM89" s="114"/>
    </row>
    <row r="90" spans="1:62" s="387" customFormat="1" ht="25.15" customHeight="1">
      <c r="A90" s="394">
        <f>_xlfn.AGGREGATE(4,7,A$11:A89)+1</f>
        <v>79</v>
      </c>
      <c r="B90" s="378" t="s">
        <v>1566</v>
      </c>
      <c r="C90" s="379"/>
      <c r="D90" s="452" t="s">
        <v>1681</v>
      </c>
      <c r="E90" s="453" t="s">
        <v>1567</v>
      </c>
      <c r="F90" s="384">
        <v>3</v>
      </c>
      <c r="G90" s="382"/>
      <c r="H90" s="465">
        <f t="shared" si="21"/>
        <v>3</v>
      </c>
      <c r="I90" s="383"/>
      <c r="J90" s="384">
        <f t="shared" si="22"/>
        <v>3</v>
      </c>
      <c r="K90" s="377">
        <f t="shared" si="23"/>
        <v>5400000</v>
      </c>
      <c r="L90" s="381" t="str">
        <f>VLOOKUP(B90,'[1]Gui chi Quynh'!$B$7:$F$397,5,FALSE)</f>
        <v>A4</v>
      </c>
      <c r="M90" s="515">
        <f t="shared" si="24"/>
        <v>5400000</v>
      </c>
      <c r="N90" s="391">
        <v>21</v>
      </c>
      <c r="O90" s="459">
        <f>IFERROR(INDEX('[2]CN BC'!$J$10:$J$276,MATCH(B90,'[2]CN BC'!$H$10:$H$276,0)),"")</f>
        <v>21</v>
      </c>
      <c r="P90" s="515">
        <f t="shared" si="25"/>
        <v>5400000</v>
      </c>
      <c r="Q90" s="480"/>
      <c r="R90" s="377">
        <f t="shared" si="30"/>
        <v>0</v>
      </c>
      <c r="S90" s="385"/>
      <c r="T90" s="377">
        <f t="shared" si="26"/>
        <v>0</v>
      </c>
      <c r="U90" s="377">
        <f t="shared" si="27"/>
        <v>54000</v>
      </c>
      <c r="V90" s="386">
        <f t="shared" si="28"/>
        <v>5454000</v>
      </c>
      <c r="W90" s="487">
        <v>23</v>
      </c>
      <c r="X90" s="606">
        <f t="shared" si="29"/>
        <v>79</v>
      </c>
      <c r="Y90" s="514">
        <f>IFERROR(INDEX('[2]CN BC'!$M$10:$M$276,MATCH(B90,'[2]CN BC'!$H$10:$H$276,0)),"")</f>
        <v>0</v>
      </c>
      <c r="Z90" s="550" t="s">
        <v>813</v>
      </c>
      <c r="AA90" s="113"/>
      <c r="AB90" s="114"/>
      <c r="AC90" s="161"/>
    </row>
    <row r="91" spans="1:62" s="387" customFormat="1" ht="25.15" customHeight="1">
      <c r="A91" s="394">
        <f>_xlfn.AGGREGATE(4,7,A$11:A90)+1</f>
        <v>80</v>
      </c>
      <c r="B91" s="378" t="s">
        <v>1831</v>
      </c>
      <c r="C91" s="379"/>
      <c r="D91" s="452" t="s">
        <v>1960</v>
      </c>
      <c r="E91" s="502">
        <v>1603215005603</v>
      </c>
      <c r="F91" s="384">
        <v>3</v>
      </c>
      <c r="G91" s="382"/>
      <c r="H91" s="465">
        <f t="shared" si="21"/>
        <v>3</v>
      </c>
      <c r="I91" s="383"/>
      <c r="J91" s="384">
        <f t="shared" si="22"/>
        <v>3</v>
      </c>
      <c r="K91" s="377">
        <f t="shared" si="23"/>
        <v>5400000</v>
      </c>
      <c r="L91" s="381" t="str">
        <f>VLOOKUP(B91,'[1]Gui chi Quynh'!$B$7:$F$397,5,FALSE)</f>
        <v>A4</v>
      </c>
      <c r="M91" s="515">
        <f t="shared" si="24"/>
        <v>5400000</v>
      </c>
      <c r="N91" s="391">
        <v>21</v>
      </c>
      <c r="O91" s="459">
        <f>IFERROR(INDEX('[2]CN BC'!$J$10:$J$276,MATCH(B91,'[2]CN BC'!$H$10:$H$276,0)),"")</f>
        <v>21</v>
      </c>
      <c r="P91" s="515">
        <f t="shared" si="25"/>
        <v>5400000</v>
      </c>
      <c r="Q91" s="480"/>
      <c r="R91" s="377">
        <f t="shared" si="30"/>
        <v>0</v>
      </c>
      <c r="S91" s="385"/>
      <c r="T91" s="377">
        <f t="shared" si="26"/>
        <v>0</v>
      </c>
      <c r="U91" s="377">
        <f t="shared" si="27"/>
        <v>54000</v>
      </c>
      <c r="V91" s="386">
        <f t="shared" si="28"/>
        <v>5454000</v>
      </c>
      <c r="W91" s="459">
        <v>23</v>
      </c>
      <c r="X91" s="606">
        <f t="shared" si="29"/>
        <v>80</v>
      </c>
      <c r="Y91" s="514">
        <f>IFERROR(INDEX('[2]CN BC'!$M$10:$M$276,MATCH(B91,'[2]CN BC'!$H$10:$H$276,0)),"")</f>
        <v>0</v>
      </c>
      <c r="Z91" s="550" t="s">
        <v>814</v>
      </c>
      <c r="AA91" s="113"/>
      <c r="AB91" s="114"/>
      <c r="AC91" s="161"/>
      <c r="AD91" s="114"/>
      <c r="AE91" s="114"/>
      <c r="AF91" s="114"/>
      <c r="AG91" s="114"/>
      <c r="AH91" s="114"/>
      <c r="AI91" s="114"/>
    </row>
    <row r="92" spans="1:62" s="387" customFormat="1" ht="26.25" customHeight="1">
      <c r="A92" s="394">
        <f>_xlfn.AGGREGATE(4,7,A$11:A91)+1</f>
        <v>81</v>
      </c>
      <c r="B92" s="378" t="s">
        <v>1473</v>
      </c>
      <c r="C92" s="379" t="s">
        <v>1444</v>
      </c>
      <c r="D92" s="452" t="s">
        <v>1683</v>
      </c>
      <c r="E92" s="444" t="s">
        <v>1583</v>
      </c>
      <c r="F92" s="388">
        <v>3.66</v>
      </c>
      <c r="G92" s="382"/>
      <c r="H92" s="383">
        <f t="shared" si="21"/>
        <v>3.66</v>
      </c>
      <c r="I92" s="383">
        <v>0.35</v>
      </c>
      <c r="J92" s="384">
        <f t="shared" si="22"/>
        <v>4.01</v>
      </c>
      <c r="K92" s="377">
        <f t="shared" si="23"/>
        <v>7218000</v>
      </c>
      <c r="L92" s="381" t="str">
        <f>VLOOKUP(B92,'[1]Gui chi Quynh'!$B$7:$F$397,5,FALSE)</f>
        <v>A1</v>
      </c>
      <c r="M92" s="515">
        <f t="shared" si="24"/>
        <v>11548800</v>
      </c>
      <c r="N92" s="391">
        <v>21</v>
      </c>
      <c r="O92" s="459">
        <f>IFERROR(INDEX('[2]CN BC'!$J$10:$J$276,MATCH(B92,'[2]CN BC'!$H$10:$H$276,0)),"")</f>
        <v>21</v>
      </c>
      <c r="P92" s="515">
        <f t="shared" si="25"/>
        <v>11548800</v>
      </c>
      <c r="Q92" s="480"/>
      <c r="R92" s="377">
        <f t="shared" si="30"/>
        <v>0</v>
      </c>
      <c r="S92" s="385"/>
      <c r="T92" s="377">
        <f t="shared" si="26"/>
        <v>0</v>
      </c>
      <c r="U92" s="377">
        <f t="shared" si="27"/>
        <v>72180</v>
      </c>
      <c r="V92" s="386">
        <f t="shared" si="28"/>
        <v>11620980</v>
      </c>
      <c r="W92" s="487">
        <v>23</v>
      </c>
      <c r="X92" s="606">
        <f t="shared" si="29"/>
        <v>81</v>
      </c>
      <c r="Y92" s="514">
        <f>IFERROR(INDEX('[2]CN BC'!$M$10:$M$276,MATCH(B92,'[2]CN BC'!$H$10:$H$276,0)),"")</f>
        <v>0</v>
      </c>
      <c r="Z92" s="572" t="s">
        <v>815</v>
      </c>
      <c r="AA92" s="568"/>
      <c r="AC92" s="508"/>
    </row>
    <row r="93" spans="1:62" s="387" customFormat="1" ht="26.25" customHeight="1">
      <c r="A93" s="394">
        <f>_xlfn.AGGREGATE(4,7,A$11:A92)+1</f>
        <v>82</v>
      </c>
      <c r="B93" s="482" t="s">
        <v>1928</v>
      </c>
      <c r="C93" s="379"/>
      <c r="D93" s="452" t="s">
        <v>1961</v>
      </c>
      <c r="E93" s="500" t="s">
        <v>1934</v>
      </c>
      <c r="F93" s="384">
        <v>2.34</v>
      </c>
      <c r="G93" s="382"/>
      <c r="H93" s="383">
        <f t="shared" si="21"/>
        <v>2.34</v>
      </c>
      <c r="I93" s="383"/>
      <c r="J93" s="384">
        <f t="shared" si="22"/>
        <v>2.34</v>
      </c>
      <c r="K93" s="377">
        <f t="shared" si="23"/>
        <v>4212000</v>
      </c>
      <c r="L93" s="381" t="str">
        <f>VLOOKUP(B93,'[1]Gui chi Quynh'!$B$7:$F$397,5,FALSE)</f>
        <v>A3</v>
      </c>
      <c r="M93" s="515">
        <f t="shared" si="24"/>
        <v>5054400</v>
      </c>
      <c r="N93" s="391">
        <v>21</v>
      </c>
      <c r="O93" s="459">
        <f>IFERROR(INDEX('[2]CN BC'!$J$10:$J$276,MATCH(B93,'[2]CN BC'!$H$10:$H$276,0)),"")</f>
        <v>21</v>
      </c>
      <c r="P93" s="515">
        <f t="shared" si="25"/>
        <v>5054400</v>
      </c>
      <c r="Q93" s="480"/>
      <c r="R93" s="377">
        <f t="shared" si="30"/>
        <v>0</v>
      </c>
      <c r="S93" s="385"/>
      <c r="T93" s="377">
        <f t="shared" si="26"/>
        <v>0</v>
      </c>
      <c r="U93" s="377">
        <f t="shared" si="27"/>
        <v>42120</v>
      </c>
      <c r="V93" s="386">
        <f>(P93+R93+T93+U93)</f>
        <v>5096520</v>
      </c>
      <c r="W93" s="487">
        <v>23</v>
      </c>
      <c r="X93" s="606">
        <f t="shared" si="29"/>
        <v>82</v>
      </c>
      <c r="Y93" s="514">
        <f>IFERROR(INDEX('[2]CN BC'!$M$10:$M$276,MATCH(B93,'[2]CN BC'!$H$10:$H$276,0)),"")</f>
        <v>0</v>
      </c>
      <c r="Z93" s="572" t="s">
        <v>816</v>
      </c>
      <c r="AA93" s="568"/>
      <c r="AC93" s="508"/>
    </row>
    <row r="94" spans="1:62" s="387" customFormat="1" ht="32.25" customHeight="1">
      <c r="A94" s="394">
        <f>_xlfn.AGGREGATE(4,7,A$11:A93)+1</f>
        <v>83</v>
      </c>
      <c r="B94" s="378" t="s">
        <v>1474</v>
      </c>
      <c r="C94" s="379" t="s">
        <v>1103</v>
      </c>
      <c r="D94" s="452" t="s">
        <v>1684</v>
      </c>
      <c r="E94" s="444" t="s">
        <v>1584</v>
      </c>
      <c r="F94" s="388">
        <v>3.33</v>
      </c>
      <c r="G94" s="382"/>
      <c r="H94" s="465">
        <f t="shared" si="21"/>
        <v>3.33</v>
      </c>
      <c r="I94" s="383"/>
      <c r="J94" s="384">
        <f t="shared" si="22"/>
        <v>3.33</v>
      </c>
      <c r="K94" s="377">
        <f t="shared" si="23"/>
        <v>5994000</v>
      </c>
      <c r="L94" s="381" t="str">
        <f>VLOOKUP(B94,'[1]Gui chi Quynh'!$B$7:$F$397,5,FALSE)</f>
        <v>A4</v>
      </c>
      <c r="M94" s="515">
        <f t="shared" si="24"/>
        <v>5994000</v>
      </c>
      <c r="N94" s="391">
        <v>21</v>
      </c>
      <c r="O94" s="459">
        <f>IFERROR(INDEX('[2]CN BC'!$J$10:$J$276,MATCH(B94,'[2]CN BC'!$H$10:$H$276,0)),"")</f>
        <v>21</v>
      </c>
      <c r="P94" s="515">
        <f t="shared" si="25"/>
        <v>5994000</v>
      </c>
      <c r="Q94" s="480"/>
      <c r="R94" s="377">
        <f t="shared" si="30"/>
        <v>0</v>
      </c>
      <c r="S94" s="385"/>
      <c r="T94" s="377">
        <f t="shared" si="26"/>
        <v>0</v>
      </c>
      <c r="U94" s="377">
        <f t="shared" si="27"/>
        <v>59940</v>
      </c>
      <c r="V94" s="386">
        <f t="shared" si="28"/>
        <v>6053940</v>
      </c>
      <c r="W94" s="487">
        <v>23</v>
      </c>
      <c r="X94" s="606">
        <f t="shared" si="29"/>
        <v>83</v>
      </c>
      <c r="Y94" s="514">
        <f>IFERROR(INDEX('[2]CN BC'!$M$10:$M$276,MATCH(B94,'[2]CN BC'!$H$10:$H$276,0)),"")</f>
        <v>0</v>
      </c>
      <c r="Z94" s="572" t="s">
        <v>818</v>
      </c>
      <c r="AA94" s="568"/>
      <c r="AC94" s="508"/>
    </row>
    <row r="95" spans="1:62" s="387" customFormat="1" ht="28.5" customHeight="1">
      <c r="A95" s="394">
        <f>_xlfn.AGGREGATE(4,7,A$11:A94)+1</f>
        <v>84</v>
      </c>
      <c r="B95" s="378" t="s">
        <v>1571</v>
      </c>
      <c r="C95" s="379"/>
      <c r="D95" s="452" t="s">
        <v>1685</v>
      </c>
      <c r="E95" s="453" t="s">
        <v>1572</v>
      </c>
      <c r="F95" s="384">
        <v>3</v>
      </c>
      <c r="G95" s="382"/>
      <c r="H95" s="465">
        <f t="shared" si="21"/>
        <v>3</v>
      </c>
      <c r="I95" s="383"/>
      <c r="J95" s="384">
        <f t="shared" si="22"/>
        <v>3</v>
      </c>
      <c r="K95" s="377">
        <f t="shared" si="23"/>
        <v>5400000</v>
      </c>
      <c r="L95" s="381" t="str">
        <f>VLOOKUP(B95,'[1]Gui chi Quynh'!$B$7:$F$397,5,FALSE)</f>
        <v>A4</v>
      </c>
      <c r="M95" s="515">
        <f t="shared" si="24"/>
        <v>5400000</v>
      </c>
      <c r="N95" s="391">
        <v>21</v>
      </c>
      <c r="O95" s="459">
        <f>IFERROR(INDEX('[2]CN BC'!$J$10:$J$276,MATCH(B95,'[2]CN BC'!$H$10:$H$276,0)),"")</f>
        <v>21</v>
      </c>
      <c r="P95" s="515">
        <f t="shared" si="25"/>
        <v>5400000</v>
      </c>
      <c r="Q95" s="409"/>
      <c r="R95" s="377">
        <f t="shared" si="30"/>
        <v>0</v>
      </c>
      <c r="S95" s="385"/>
      <c r="T95" s="377">
        <f t="shared" si="26"/>
        <v>0</v>
      </c>
      <c r="U95" s="377">
        <f t="shared" si="27"/>
        <v>54000</v>
      </c>
      <c r="V95" s="386">
        <f t="shared" si="28"/>
        <v>5454000</v>
      </c>
      <c r="W95" s="459">
        <v>23</v>
      </c>
      <c r="X95" s="606">
        <f t="shared" si="29"/>
        <v>84</v>
      </c>
      <c r="Y95" s="514">
        <f>IFERROR(INDEX('[2]CN BC'!$M$10:$M$276,MATCH(B95,'[2]CN BC'!$H$10:$H$276,0)),"")</f>
        <v>0</v>
      </c>
      <c r="Z95" s="550" t="s">
        <v>819</v>
      </c>
      <c r="AA95" s="113"/>
      <c r="AB95" s="114"/>
      <c r="AC95" s="161"/>
      <c r="AD95" s="114"/>
      <c r="AE95" s="114"/>
      <c r="AF95" s="114"/>
      <c r="AG95" s="114"/>
      <c r="AH95" s="114"/>
      <c r="AI95" s="114"/>
    </row>
    <row r="96" spans="1:62" s="387" customFormat="1" ht="28.5" customHeight="1">
      <c r="A96" s="394">
        <f>_xlfn.AGGREGATE(4,7,A$11:A95)+1</f>
        <v>85</v>
      </c>
      <c r="B96" s="378" t="s">
        <v>1475</v>
      </c>
      <c r="C96" s="379" t="s">
        <v>49</v>
      </c>
      <c r="D96" s="452" t="s">
        <v>1686</v>
      </c>
      <c r="E96" s="444" t="s">
        <v>1585</v>
      </c>
      <c r="F96" s="388">
        <v>3.66</v>
      </c>
      <c r="G96" s="382"/>
      <c r="H96" s="465">
        <f t="shared" si="21"/>
        <v>3.66</v>
      </c>
      <c r="I96" s="383"/>
      <c r="J96" s="384">
        <f t="shared" si="22"/>
        <v>3.66</v>
      </c>
      <c r="K96" s="377">
        <f t="shared" si="23"/>
        <v>6588000</v>
      </c>
      <c r="L96" s="381" t="str">
        <f>VLOOKUP(B96,'[1]Gui chi Quynh'!$B$7:$F$397,5,FALSE)</f>
        <v>A4</v>
      </c>
      <c r="M96" s="515">
        <f t="shared" si="24"/>
        <v>6588000</v>
      </c>
      <c r="N96" s="391">
        <v>21</v>
      </c>
      <c r="O96" s="459">
        <f>IFERROR(INDEX('[2]CN BC'!$J$10:$J$276,MATCH(B96,'[2]CN BC'!$H$10:$H$276,0)),"")</f>
        <v>21</v>
      </c>
      <c r="P96" s="515">
        <f t="shared" si="25"/>
        <v>6588000</v>
      </c>
      <c r="Q96" s="480"/>
      <c r="R96" s="377">
        <f t="shared" si="30"/>
        <v>0</v>
      </c>
      <c r="S96" s="385"/>
      <c r="T96" s="377">
        <f t="shared" si="26"/>
        <v>0</v>
      </c>
      <c r="U96" s="377">
        <f t="shared" si="27"/>
        <v>65880</v>
      </c>
      <c r="V96" s="386">
        <f t="shared" si="28"/>
        <v>6653880</v>
      </c>
      <c r="W96" s="487">
        <v>23</v>
      </c>
      <c r="X96" s="606">
        <f t="shared" si="29"/>
        <v>85</v>
      </c>
      <c r="Y96" s="514">
        <f>IFERROR(INDEX('[2]CN BC'!$M$10:$M$276,MATCH(B96,'[2]CN BC'!$H$10:$H$276,0)),"")</f>
        <v>0</v>
      </c>
      <c r="Z96" s="550" t="s">
        <v>820</v>
      </c>
      <c r="AA96" s="491"/>
      <c r="AB96" s="114"/>
      <c r="AC96" s="161"/>
    </row>
    <row r="97" spans="1:39" s="387" customFormat="1" ht="28.5" customHeight="1">
      <c r="A97" s="394">
        <f>_xlfn.AGGREGATE(4,7,A$11:A96)+1</f>
        <v>86</v>
      </c>
      <c r="B97" s="378" t="s">
        <v>1476</v>
      </c>
      <c r="C97" s="379" t="s">
        <v>1209</v>
      </c>
      <c r="D97" s="452" t="s">
        <v>1687</v>
      </c>
      <c r="E97" s="444" t="s">
        <v>1586</v>
      </c>
      <c r="F97" s="388">
        <v>3</v>
      </c>
      <c r="G97" s="382"/>
      <c r="H97" s="465">
        <f t="shared" si="21"/>
        <v>3</v>
      </c>
      <c r="I97" s="383"/>
      <c r="J97" s="384">
        <f t="shared" si="22"/>
        <v>3</v>
      </c>
      <c r="K97" s="377">
        <f t="shared" si="23"/>
        <v>5400000</v>
      </c>
      <c r="L97" s="381" t="str">
        <f>VLOOKUP(B97,'[1]Gui chi Quynh'!$B$7:$F$397,5,FALSE)</f>
        <v>A4</v>
      </c>
      <c r="M97" s="515">
        <f t="shared" si="24"/>
        <v>5400000</v>
      </c>
      <c r="N97" s="391">
        <v>21</v>
      </c>
      <c r="O97" s="459">
        <f>IFERROR(INDEX('[2]CN BC'!$J$10:$J$276,MATCH(B97,'[2]CN BC'!$H$10:$H$276,0)),"")</f>
        <v>21</v>
      </c>
      <c r="P97" s="515">
        <f t="shared" si="25"/>
        <v>5400000</v>
      </c>
      <c r="Q97" s="409"/>
      <c r="R97" s="377">
        <f t="shared" si="30"/>
        <v>0</v>
      </c>
      <c r="S97" s="385"/>
      <c r="T97" s="377">
        <f t="shared" si="26"/>
        <v>0</v>
      </c>
      <c r="U97" s="377">
        <f t="shared" si="27"/>
        <v>54000</v>
      </c>
      <c r="V97" s="386">
        <f t="shared" si="28"/>
        <v>5454000</v>
      </c>
      <c r="W97" s="459">
        <v>23</v>
      </c>
      <c r="X97" s="606">
        <f t="shared" si="29"/>
        <v>86</v>
      </c>
      <c r="Y97" s="514">
        <f>IFERROR(INDEX('[2]CN BC'!$M$10:$M$276,MATCH(B97,'[2]CN BC'!$H$10:$H$276,0)),"")</f>
        <v>0</v>
      </c>
      <c r="Z97" s="550" t="s">
        <v>1119</v>
      </c>
      <c r="AA97" s="113"/>
      <c r="AB97" s="114"/>
      <c r="AC97" s="161"/>
      <c r="AD97" s="114"/>
      <c r="AE97" s="114"/>
      <c r="AF97" s="114"/>
      <c r="AG97" s="114"/>
      <c r="AH97" s="114"/>
      <c r="AI97" s="114"/>
    </row>
    <row r="98" spans="1:39" s="387" customFormat="1" ht="28.5" customHeight="1">
      <c r="A98" s="394">
        <f>_xlfn.AGGREGATE(4,7,A$11:A97)+1</f>
        <v>87</v>
      </c>
      <c r="B98" s="378" t="s">
        <v>1477</v>
      </c>
      <c r="C98" s="379" t="s">
        <v>920</v>
      </c>
      <c r="D98" s="452" t="s">
        <v>1688</v>
      </c>
      <c r="E98" s="444" t="s">
        <v>1587</v>
      </c>
      <c r="F98" s="388">
        <v>3.66</v>
      </c>
      <c r="G98" s="382"/>
      <c r="H98" s="465">
        <f t="shared" si="21"/>
        <v>3.66</v>
      </c>
      <c r="I98" s="383">
        <v>0.25</v>
      </c>
      <c r="J98" s="384">
        <f t="shared" si="22"/>
        <v>3.91</v>
      </c>
      <c r="K98" s="377">
        <f t="shared" si="23"/>
        <v>7038000</v>
      </c>
      <c r="L98" s="381" t="str">
        <f>VLOOKUP(B98,'[1]Gui chi Quynh'!$B$7:$F$397,5,FALSE)</f>
        <v>A2</v>
      </c>
      <c r="M98" s="515">
        <f t="shared" si="24"/>
        <v>9853200</v>
      </c>
      <c r="N98" s="391">
        <v>21</v>
      </c>
      <c r="O98" s="459">
        <f>IFERROR(INDEX('[2]CN BC'!$J$10:$J$276,MATCH(B98,'[2]CN BC'!$H$10:$H$276,0)),"")</f>
        <v>21</v>
      </c>
      <c r="P98" s="515">
        <f t="shared" si="25"/>
        <v>9853200</v>
      </c>
      <c r="Q98" s="480"/>
      <c r="R98" s="377">
        <f t="shared" si="30"/>
        <v>0</v>
      </c>
      <c r="S98" s="385"/>
      <c r="T98" s="377">
        <f t="shared" si="26"/>
        <v>0</v>
      </c>
      <c r="U98" s="377">
        <f t="shared" si="27"/>
        <v>70380</v>
      </c>
      <c r="V98" s="386">
        <f t="shared" si="28"/>
        <v>9923580</v>
      </c>
      <c r="W98" s="459">
        <v>23</v>
      </c>
      <c r="X98" s="606">
        <f t="shared" si="29"/>
        <v>87</v>
      </c>
      <c r="Y98" s="514">
        <f>IFERROR(INDEX('[2]CN BC'!$M$10:$M$276,MATCH(B98,'[2]CN BC'!$H$10:$H$276,0)),"")</f>
        <v>0</v>
      </c>
      <c r="Z98" s="550" t="s">
        <v>1120</v>
      </c>
      <c r="AA98" s="113"/>
      <c r="AB98" s="114"/>
      <c r="AC98" s="161"/>
      <c r="AD98" s="114"/>
      <c r="AE98" s="114"/>
      <c r="AF98" s="114"/>
      <c r="AG98" s="114"/>
      <c r="AH98" s="114"/>
      <c r="AI98" s="114"/>
    </row>
    <row r="99" spans="1:39" s="387" customFormat="1" ht="28.5" customHeight="1">
      <c r="A99" s="394">
        <f>_xlfn.AGGREGATE(4,7,A$11:A98)+1</f>
        <v>88</v>
      </c>
      <c r="B99" s="482" t="s">
        <v>1842</v>
      </c>
      <c r="C99" s="379"/>
      <c r="D99" s="452" t="s">
        <v>1962</v>
      </c>
      <c r="E99" s="500" t="s">
        <v>1933</v>
      </c>
      <c r="F99" s="388">
        <v>3</v>
      </c>
      <c r="G99" s="382"/>
      <c r="H99" s="465">
        <f t="shared" si="21"/>
        <v>3</v>
      </c>
      <c r="I99" s="383"/>
      <c r="J99" s="384">
        <f t="shared" si="22"/>
        <v>3</v>
      </c>
      <c r="K99" s="377">
        <f t="shared" si="23"/>
        <v>5400000</v>
      </c>
      <c r="L99" s="381" t="str">
        <f>VLOOKUP(B99,'[1]Gui chi Quynh'!$B$7:$F$397,5,FALSE)</f>
        <v>A2</v>
      </c>
      <c r="M99" s="515">
        <f t="shared" si="24"/>
        <v>7559999.9999999991</v>
      </c>
      <c r="N99" s="391">
        <v>21</v>
      </c>
      <c r="O99" s="459">
        <f>IFERROR(INDEX('[2]CN BC'!$J$10:$J$276,MATCH(B99,'[2]CN BC'!$H$10:$H$276,0)),"")</f>
        <v>26</v>
      </c>
      <c r="P99" s="515">
        <f t="shared" si="25"/>
        <v>7559999.9999999991</v>
      </c>
      <c r="Q99" s="480"/>
      <c r="R99" s="377">
        <f t="shared" si="30"/>
        <v>0</v>
      </c>
      <c r="S99" s="385"/>
      <c r="T99" s="377">
        <f t="shared" si="26"/>
        <v>0</v>
      </c>
      <c r="U99" s="377">
        <f t="shared" si="27"/>
        <v>54000</v>
      </c>
      <c r="V99" s="386">
        <f t="shared" si="28"/>
        <v>7613999.9999999991</v>
      </c>
      <c r="W99" s="459">
        <v>26</v>
      </c>
      <c r="X99" s="606">
        <f t="shared" si="29"/>
        <v>88</v>
      </c>
      <c r="Y99" s="514" t="str">
        <f>IFERROR(INDEX('[2]CN BC'!$M$10:$M$276,MATCH(B99,'[2]CN BC'!$H$10:$H$276,0)),"")</f>
        <v>Hỗ trợ công việc phòng KHTC</v>
      </c>
      <c r="Z99" s="550" t="s">
        <v>1121</v>
      </c>
      <c r="AA99" s="113"/>
      <c r="AB99" s="114"/>
      <c r="AC99" s="161"/>
      <c r="AD99" s="114"/>
      <c r="AE99" s="114"/>
      <c r="AF99" s="114"/>
      <c r="AG99" s="114"/>
      <c r="AH99" s="114"/>
      <c r="AI99" s="114"/>
    </row>
    <row r="100" spans="1:39" s="387" customFormat="1" ht="28.5" customHeight="1">
      <c r="A100" s="394">
        <f>_xlfn.AGGREGATE(4,7,A$11:A99)+1</f>
        <v>89</v>
      </c>
      <c r="B100" s="482" t="s">
        <v>1946</v>
      </c>
      <c r="C100" s="379"/>
      <c r="D100" s="394" t="s">
        <v>1950</v>
      </c>
      <c r="E100" s="500" t="s">
        <v>1951</v>
      </c>
      <c r="F100" s="384">
        <v>2.34</v>
      </c>
      <c r="G100" s="382"/>
      <c r="H100" s="465">
        <f t="shared" si="21"/>
        <v>2.34</v>
      </c>
      <c r="I100" s="383">
        <v>0.45</v>
      </c>
      <c r="J100" s="384">
        <f t="shared" si="22"/>
        <v>2.79</v>
      </c>
      <c r="K100" s="377">
        <f t="shared" si="23"/>
        <v>5022000</v>
      </c>
      <c r="L100" s="381" t="str">
        <f>VLOOKUP(B100,'[1]Gui chi Quynh'!$B$7:$F$397,5,FALSE)</f>
        <v>A3</v>
      </c>
      <c r="M100" s="515">
        <f t="shared" si="24"/>
        <v>6026400</v>
      </c>
      <c r="N100" s="391">
        <v>21</v>
      </c>
      <c r="O100" s="459">
        <f>IFERROR(INDEX('[2]CN BC'!$J$10:$J$276,MATCH(B100,'[2]CN BC'!$H$10:$H$276,0)),"")</f>
        <v>21</v>
      </c>
      <c r="P100" s="515">
        <f t="shared" si="25"/>
        <v>6026400</v>
      </c>
      <c r="Q100" s="480"/>
      <c r="R100" s="377">
        <f t="shared" si="30"/>
        <v>0</v>
      </c>
      <c r="S100" s="385"/>
      <c r="T100" s="377">
        <f t="shared" si="26"/>
        <v>0</v>
      </c>
      <c r="U100" s="377">
        <f t="shared" si="27"/>
        <v>50220</v>
      </c>
      <c r="V100" s="386">
        <f t="shared" si="28"/>
        <v>6076620</v>
      </c>
      <c r="W100" s="487">
        <v>23</v>
      </c>
      <c r="X100" s="606">
        <f t="shared" si="29"/>
        <v>89</v>
      </c>
      <c r="Y100" s="514">
        <f>IFERROR(INDEX('[2]CN BC'!$M$10:$M$276,MATCH(B100,'[2]CN BC'!$H$10:$H$276,0)),"")</f>
        <v>0</v>
      </c>
      <c r="Z100" s="550" t="s">
        <v>1122</v>
      </c>
      <c r="AA100" s="113"/>
      <c r="AB100" s="114"/>
      <c r="AC100" s="161"/>
      <c r="AD100" s="114"/>
      <c r="AE100" s="114"/>
      <c r="AF100" s="114"/>
      <c r="AG100" s="114"/>
      <c r="AH100" s="114"/>
      <c r="AI100" s="114"/>
    </row>
    <row r="101" spans="1:39" s="387" customFormat="1" ht="36.75" customHeight="1">
      <c r="A101" s="394">
        <f>_xlfn.AGGREGATE(4,7,A$11:A100)+1</f>
        <v>90</v>
      </c>
      <c r="B101" s="576" t="s">
        <v>1947</v>
      </c>
      <c r="C101" s="557"/>
      <c r="D101" s="575" t="s">
        <v>1952</v>
      </c>
      <c r="E101" s="577" t="s">
        <v>1953</v>
      </c>
      <c r="F101" s="559">
        <v>2.34</v>
      </c>
      <c r="G101" s="558"/>
      <c r="H101" s="579">
        <f t="shared" si="21"/>
        <v>2.34</v>
      </c>
      <c r="I101" s="492"/>
      <c r="J101" s="559">
        <f t="shared" si="22"/>
        <v>2.34</v>
      </c>
      <c r="K101" s="560">
        <f t="shared" si="23"/>
        <v>4212000</v>
      </c>
      <c r="L101" s="581" t="str">
        <f>VLOOKUP(B101,'[1]Gui chi Quynh'!$B$7:$F$397,5,FALSE)</f>
        <v>A DN</v>
      </c>
      <c r="M101" s="561">
        <f t="shared" si="24"/>
        <v>0</v>
      </c>
      <c r="N101" s="582">
        <v>21</v>
      </c>
      <c r="O101" s="562">
        <f>IFERROR(INDEX('[2]CN BC'!$J$10:$J$276,MATCH(B101,'[2]CN BC'!$H$10:$H$276,0)),"")</f>
        <v>0</v>
      </c>
      <c r="P101" s="561">
        <f t="shared" si="25"/>
        <v>0</v>
      </c>
      <c r="Q101" s="563"/>
      <c r="R101" s="560">
        <f t="shared" si="30"/>
        <v>0</v>
      </c>
      <c r="S101" s="564"/>
      <c r="T101" s="560">
        <f t="shared" si="26"/>
        <v>0</v>
      </c>
      <c r="U101" s="560" t="str">
        <f t="shared" si="27"/>
        <v>0</v>
      </c>
      <c r="V101" s="580">
        <f t="shared" si="28"/>
        <v>0</v>
      </c>
      <c r="W101" s="562">
        <v>0</v>
      </c>
      <c r="X101" s="609">
        <f t="shared" si="29"/>
        <v>90</v>
      </c>
      <c r="Y101" s="583" t="str">
        <f>IFERROR(INDEX('[2]CN BC'!$M$10:$M$276,MATCH(B101,'[2]CN BC'!$H$10:$H$276,0)),"")</f>
        <v>Đi du học nước ngoài từ 28/2/2023</v>
      </c>
      <c r="Z101" s="550" t="s">
        <v>1123</v>
      </c>
      <c r="AA101" s="113"/>
      <c r="AB101" s="114"/>
      <c r="AC101" s="161"/>
      <c r="AD101" s="114"/>
      <c r="AE101" s="114"/>
      <c r="AF101" s="114"/>
      <c r="AG101" s="114"/>
      <c r="AH101" s="114"/>
      <c r="AI101" s="114"/>
    </row>
    <row r="102" spans="1:39" s="387" customFormat="1" ht="28.5" customHeight="1">
      <c r="A102" s="394">
        <f>_xlfn.AGGREGATE(4,7,A$11:A101)+1</f>
        <v>91</v>
      </c>
      <c r="B102" s="482" t="s">
        <v>1997</v>
      </c>
      <c r="C102" s="379"/>
      <c r="D102" s="394"/>
      <c r="E102" s="500"/>
      <c r="F102" s="384">
        <v>2.34</v>
      </c>
      <c r="G102" s="382"/>
      <c r="H102" s="465">
        <f t="shared" si="21"/>
        <v>2.34</v>
      </c>
      <c r="I102" s="383"/>
      <c r="J102" s="384">
        <f t="shared" si="22"/>
        <v>2.34</v>
      </c>
      <c r="K102" s="377">
        <f t="shared" si="23"/>
        <v>4212000</v>
      </c>
      <c r="L102" s="381" t="str">
        <f>VLOOKUP(B102,'[1]Gui chi Quynh'!$B$7:$F$397,5,FALSE)</f>
        <v>A4</v>
      </c>
      <c r="M102" s="515">
        <f t="shared" si="24"/>
        <v>4212000</v>
      </c>
      <c r="N102" s="391">
        <v>21</v>
      </c>
      <c r="O102" s="459">
        <f>IFERROR(INDEX('[2]CN BC'!$J$10:$J$276,MATCH(B102,'[2]CN BC'!$H$10:$H$276,0)),"")</f>
        <v>21</v>
      </c>
      <c r="P102" s="515">
        <f t="shared" si="25"/>
        <v>4212000</v>
      </c>
      <c r="Q102" s="480"/>
      <c r="R102" s="377">
        <f>Q102*$G$8*1.4</f>
        <v>0</v>
      </c>
      <c r="S102" s="385"/>
      <c r="T102" s="377">
        <f t="shared" si="26"/>
        <v>0</v>
      </c>
      <c r="U102" s="377">
        <f t="shared" si="27"/>
        <v>42120</v>
      </c>
      <c r="V102" s="386">
        <f t="shared" si="28"/>
        <v>4254120</v>
      </c>
      <c r="W102" s="487">
        <v>23</v>
      </c>
      <c r="X102" s="606">
        <f t="shared" si="29"/>
        <v>91</v>
      </c>
      <c r="Y102" s="514">
        <f>IFERROR(INDEX('[2]CN BC'!$M$10:$M$276,MATCH(B102,'[2]CN BC'!$H$10:$H$276,0)),"")</f>
        <v>0</v>
      </c>
      <c r="Z102" s="550" t="s">
        <v>1124</v>
      </c>
      <c r="AA102" s="113"/>
      <c r="AB102" s="114"/>
      <c r="AC102" s="508"/>
    </row>
    <row r="103" spans="1:39" s="387" customFormat="1" ht="28.5" customHeight="1">
      <c r="A103" s="394">
        <f>_xlfn.AGGREGATE(4,7,A$11:A102)+1</f>
        <v>92</v>
      </c>
      <c r="B103" s="482" t="s">
        <v>1998</v>
      </c>
      <c r="C103" s="379"/>
      <c r="D103" s="394"/>
      <c r="E103" s="500"/>
      <c r="F103" s="388">
        <v>3.33</v>
      </c>
      <c r="G103" s="382"/>
      <c r="H103" s="465">
        <f t="shared" si="21"/>
        <v>3.33</v>
      </c>
      <c r="I103" s="383"/>
      <c r="J103" s="384">
        <f t="shared" si="22"/>
        <v>3.33</v>
      </c>
      <c r="K103" s="377">
        <f t="shared" si="23"/>
        <v>5994000</v>
      </c>
      <c r="L103" s="381" t="str">
        <f>VLOOKUP(B103,'[1]Gui chi Quynh'!$B$7:$F$397,5,FALSE)</f>
        <v>A3</v>
      </c>
      <c r="M103" s="515">
        <f t="shared" si="24"/>
        <v>7192800</v>
      </c>
      <c r="N103" s="391">
        <v>21</v>
      </c>
      <c r="O103" s="459">
        <f>IFERROR(INDEX('[2]CN BC'!$J$10:$J$276,MATCH(B103,'[2]CN BC'!$H$10:$H$276,0)),"")</f>
        <v>21</v>
      </c>
      <c r="P103" s="515">
        <f t="shared" si="25"/>
        <v>7192800</v>
      </c>
      <c r="Q103" s="480"/>
      <c r="R103" s="377">
        <f t="shared" si="30"/>
        <v>0</v>
      </c>
      <c r="S103" s="385"/>
      <c r="T103" s="377">
        <f t="shared" si="26"/>
        <v>0</v>
      </c>
      <c r="U103" s="377">
        <f t="shared" si="27"/>
        <v>59940</v>
      </c>
      <c r="V103" s="386">
        <f t="shared" si="28"/>
        <v>7252740</v>
      </c>
      <c r="W103" s="487">
        <v>23</v>
      </c>
      <c r="X103" s="606">
        <f t="shared" si="29"/>
        <v>92</v>
      </c>
      <c r="Y103" s="514">
        <f>IFERROR(INDEX('[2]CN BC'!$M$10:$M$276,MATCH(B103,'[2]CN BC'!$H$10:$H$276,0)),"")</f>
        <v>0</v>
      </c>
      <c r="Z103" s="550" t="s">
        <v>1125</v>
      </c>
      <c r="AA103" s="113"/>
      <c r="AB103" s="114"/>
      <c r="AC103" s="508"/>
    </row>
    <row r="104" spans="1:39" s="387" customFormat="1" ht="28.5" customHeight="1">
      <c r="A104" s="394">
        <f>_xlfn.AGGREGATE(4,7,A$11:A103)+1</f>
        <v>93</v>
      </c>
      <c r="B104" s="482" t="s">
        <v>1999</v>
      </c>
      <c r="C104" s="379"/>
      <c r="D104" s="394"/>
      <c r="E104" s="500"/>
      <c r="F104" s="388">
        <v>3.66</v>
      </c>
      <c r="G104" s="382"/>
      <c r="H104" s="465">
        <f t="shared" si="21"/>
        <v>3.66</v>
      </c>
      <c r="I104" s="383"/>
      <c r="J104" s="384">
        <f t="shared" si="22"/>
        <v>3.66</v>
      </c>
      <c r="K104" s="377">
        <f t="shared" si="23"/>
        <v>6588000</v>
      </c>
      <c r="L104" s="381" t="str">
        <f>VLOOKUP(B104,'[1]Gui chi Quynh'!$B$7:$F$397,5,FALSE)</f>
        <v>A3</v>
      </c>
      <c r="M104" s="515">
        <f t="shared" si="24"/>
        <v>7905600</v>
      </c>
      <c r="N104" s="391">
        <v>21</v>
      </c>
      <c r="O104" s="459">
        <f>IFERROR(INDEX('[2]CN BC'!$J$10:$J$276,MATCH(B104,'[2]CN BC'!$H$10:$H$276,0)),"")</f>
        <v>21</v>
      </c>
      <c r="P104" s="515">
        <f t="shared" si="25"/>
        <v>7905600</v>
      </c>
      <c r="Q104" s="480"/>
      <c r="R104" s="377">
        <f t="shared" si="30"/>
        <v>0</v>
      </c>
      <c r="S104" s="385"/>
      <c r="T104" s="377">
        <f t="shared" si="26"/>
        <v>0</v>
      </c>
      <c r="U104" s="377">
        <f t="shared" si="27"/>
        <v>65880</v>
      </c>
      <c r="V104" s="386">
        <f t="shared" si="28"/>
        <v>7971480</v>
      </c>
      <c r="W104" s="487">
        <v>23</v>
      </c>
      <c r="X104" s="606">
        <f t="shared" si="29"/>
        <v>93</v>
      </c>
      <c r="Y104" s="514">
        <f>IFERROR(INDEX('[2]CN BC'!$M$10:$M$276,MATCH(B104,'[2]CN BC'!$H$10:$H$276,0)),"")</f>
        <v>0</v>
      </c>
      <c r="Z104" s="550" t="s">
        <v>1126</v>
      </c>
      <c r="AA104" s="113"/>
      <c r="AB104" s="114"/>
      <c r="AC104" s="508"/>
    </row>
    <row r="105" spans="1:39" s="387" customFormat="1" ht="28.5" customHeight="1">
      <c r="A105" s="394">
        <f>_xlfn.AGGREGATE(4,7,A$11:A104)+1</f>
        <v>94</v>
      </c>
      <c r="B105" s="482" t="s">
        <v>2001</v>
      </c>
      <c r="C105" s="379"/>
      <c r="D105" s="394"/>
      <c r="E105" s="500"/>
      <c r="F105" s="388">
        <v>3</v>
      </c>
      <c r="G105" s="382"/>
      <c r="H105" s="465">
        <f t="shared" si="21"/>
        <v>3</v>
      </c>
      <c r="I105" s="383"/>
      <c r="J105" s="384">
        <f t="shared" si="22"/>
        <v>3</v>
      </c>
      <c r="K105" s="377">
        <f t="shared" si="23"/>
        <v>5400000</v>
      </c>
      <c r="L105" s="381" t="str">
        <f>VLOOKUP(B105,'[1]Gui chi Quynh'!$B$7:$F$397,5,FALSE)</f>
        <v>A3</v>
      </c>
      <c r="M105" s="515">
        <f t="shared" si="24"/>
        <v>6480000</v>
      </c>
      <c r="N105" s="391">
        <v>21</v>
      </c>
      <c r="O105" s="459">
        <f>IFERROR(INDEX('[2]CN BC'!$J$10:$J$276,MATCH(B105,'[2]CN BC'!$H$10:$H$276,0)),"")</f>
        <v>21</v>
      </c>
      <c r="P105" s="515">
        <f t="shared" si="25"/>
        <v>6480000</v>
      </c>
      <c r="Q105" s="480"/>
      <c r="R105" s="377">
        <f t="shared" si="30"/>
        <v>0</v>
      </c>
      <c r="S105" s="385"/>
      <c r="T105" s="377">
        <f t="shared" si="26"/>
        <v>0</v>
      </c>
      <c r="U105" s="377">
        <f t="shared" si="27"/>
        <v>54000</v>
      </c>
      <c r="V105" s="386">
        <f t="shared" si="28"/>
        <v>6534000</v>
      </c>
      <c r="W105" s="487">
        <v>23</v>
      </c>
      <c r="X105" s="606">
        <f t="shared" si="29"/>
        <v>94</v>
      </c>
      <c r="Y105" s="514">
        <f>IFERROR(INDEX('[2]CN BC'!$M$10:$M$276,MATCH(B105,'[2]CN BC'!$H$10:$H$276,0)),"")</f>
        <v>0</v>
      </c>
      <c r="Z105" s="550" t="s">
        <v>1127</v>
      </c>
      <c r="AA105" s="113"/>
      <c r="AB105" s="114"/>
      <c r="AC105" s="508"/>
    </row>
    <row r="106" spans="1:39" s="387" customFormat="1" ht="37.5" customHeight="1">
      <c r="A106" s="394">
        <f>_xlfn.AGGREGATE(4,7,A$11:A105)+1</f>
        <v>95</v>
      </c>
      <c r="B106" s="482" t="s">
        <v>2021</v>
      </c>
      <c r="C106" s="379"/>
      <c r="D106" s="394"/>
      <c r="E106" s="500"/>
      <c r="F106" s="388">
        <v>3.66</v>
      </c>
      <c r="G106" s="382"/>
      <c r="H106" s="465">
        <f t="shared" si="21"/>
        <v>3.66</v>
      </c>
      <c r="I106" s="383"/>
      <c r="J106" s="384">
        <f t="shared" si="22"/>
        <v>3.66</v>
      </c>
      <c r="K106" s="377">
        <f t="shared" si="23"/>
        <v>6588000</v>
      </c>
      <c r="L106" s="381" t="str">
        <f>VLOOKUP(B106,'[1]Gui chi Quynh'!$B$7:$F$397,5,FALSE)</f>
        <v>A4</v>
      </c>
      <c r="M106" s="515">
        <f t="shared" si="24"/>
        <v>6588000</v>
      </c>
      <c r="N106" s="391">
        <v>21</v>
      </c>
      <c r="O106" s="459">
        <f>IFERROR(INDEX('[2]CN BC'!$J$10:$J$276,MATCH(B106,'[2]CN BC'!$H$10:$H$276,0)),"")</f>
        <v>21</v>
      </c>
      <c r="P106" s="515">
        <f t="shared" si="25"/>
        <v>6588000</v>
      </c>
      <c r="Q106" s="480"/>
      <c r="R106" s="377">
        <f t="shared" si="30"/>
        <v>0</v>
      </c>
      <c r="S106" s="385"/>
      <c r="T106" s="377">
        <f t="shared" si="26"/>
        <v>0</v>
      </c>
      <c r="U106" s="377">
        <f t="shared" si="27"/>
        <v>65880</v>
      </c>
      <c r="V106" s="386">
        <f t="shared" si="28"/>
        <v>6653880</v>
      </c>
      <c r="W106" s="487"/>
      <c r="X106" s="606">
        <f t="shared" si="29"/>
        <v>95</v>
      </c>
      <c r="Y106" s="514">
        <f>IFERROR(INDEX('[2]CN BC'!$M$10:$M$276,MATCH(B106,'[2]CN BC'!$H$10:$H$276,0)),"")</f>
        <v>0</v>
      </c>
      <c r="Z106" s="572"/>
      <c r="AA106" s="568"/>
      <c r="AC106" s="508"/>
    </row>
    <row r="107" spans="1:39" s="387" customFormat="1" ht="25.5" customHeight="1">
      <c r="A107" s="394">
        <f>_xlfn.AGGREGATE(4,7,A$11:A106)+1</f>
        <v>96</v>
      </c>
      <c r="B107" s="378" t="s">
        <v>1478</v>
      </c>
      <c r="C107" s="379" t="s">
        <v>272</v>
      </c>
      <c r="D107" s="452" t="s">
        <v>1689</v>
      </c>
      <c r="E107" s="441" t="s">
        <v>371</v>
      </c>
      <c r="F107" s="388">
        <v>3.66</v>
      </c>
      <c r="G107" s="382"/>
      <c r="H107" s="383">
        <f t="shared" si="21"/>
        <v>3.66</v>
      </c>
      <c r="I107" s="383"/>
      <c r="J107" s="384">
        <f t="shared" si="22"/>
        <v>3.66</v>
      </c>
      <c r="K107" s="377">
        <f>J107*$G$8</f>
        <v>6588000</v>
      </c>
      <c r="L107" s="381" t="str">
        <f>VLOOKUP(B107,'[1]Gui chi Quynh'!$B$7:$F$397,5,FALSE)</f>
        <v>A4</v>
      </c>
      <c r="M107" s="515">
        <f t="shared" si="24"/>
        <v>6588000</v>
      </c>
      <c r="N107" s="391">
        <v>21</v>
      </c>
      <c r="O107" s="459">
        <f>IFERROR(INDEX('[2]CN BC'!$J$10:$J$276,MATCH(B107,'[2]CN BC'!$H$10:$H$276,0)),"")</f>
        <v>21</v>
      </c>
      <c r="P107" s="515">
        <f t="shared" si="25"/>
        <v>6588000</v>
      </c>
      <c r="Q107" s="480"/>
      <c r="R107" s="377">
        <f t="shared" si="30"/>
        <v>0</v>
      </c>
      <c r="S107" s="385"/>
      <c r="T107" s="377">
        <f t="shared" si="26"/>
        <v>0</v>
      </c>
      <c r="U107" s="377">
        <f t="shared" si="27"/>
        <v>65880</v>
      </c>
      <c r="V107" s="386">
        <f t="shared" si="28"/>
        <v>6653880</v>
      </c>
      <c r="W107" s="459">
        <v>23</v>
      </c>
      <c r="X107" s="606">
        <f t="shared" si="29"/>
        <v>96</v>
      </c>
      <c r="Y107" s="514">
        <f>IFERROR(INDEX('[2]CN BC'!$M$10:$M$276,MATCH(B107,'[2]CN BC'!$H$10:$H$276,0)),"")</f>
        <v>0</v>
      </c>
      <c r="Z107" s="147"/>
      <c r="AA107" s="113"/>
      <c r="AB107" s="114"/>
      <c r="AC107" s="161"/>
      <c r="AD107" s="114"/>
      <c r="AE107" s="114"/>
      <c r="AF107" s="114"/>
      <c r="AG107" s="114"/>
      <c r="AH107" s="114"/>
      <c r="AI107" s="114"/>
    </row>
    <row r="108" spans="1:39" s="387" customFormat="1" ht="29.25" customHeight="1">
      <c r="A108" s="394">
        <f>_xlfn.AGGREGATE(4,7,A$11:A107)+1</f>
        <v>97</v>
      </c>
      <c r="B108" s="37" t="s">
        <v>1479</v>
      </c>
      <c r="C108" s="38" t="s">
        <v>912</v>
      </c>
      <c r="D108" s="424" t="s">
        <v>1690</v>
      </c>
      <c r="E108" s="442" t="s">
        <v>372</v>
      </c>
      <c r="F108" s="88">
        <v>3.66</v>
      </c>
      <c r="G108" s="163"/>
      <c r="H108" s="383">
        <f t="shared" si="21"/>
        <v>3.66</v>
      </c>
      <c r="I108" s="86"/>
      <c r="J108" s="384">
        <f t="shared" si="22"/>
        <v>3.66</v>
      </c>
      <c r="K108" s="377">
        <f>J108*$G$8</f>
        <v>6588000</v>
      </c>
      <c r="L108" s="381" t="str">
        <f>VLOOKUP(B108,'[1]Gui chi Quynh'!$B$7:$F$397,5,FALSE)</f>
        <v>A4</v>
      </c>
      <c r="M108" s="515">
        <f t="shared" si="24"/>
        <v>6588000</v>
      </c>
      <c r="N108" s="391">
        <v>21</v>
      </c>
      <c r="O108" s="459">
        <f>IFERROR(INDEX('[2]CN BC'!$J$10:$J$276,MATCH(B108,'[2]CN BC'!$H$10:$H$276,0)),"")</f>
        <v>21</v>
      </c>
      <c r="P108" s="515">
        <f t="shared" si="25"/>
        <v>6588000</v>
      </c>
      <c r="Q108" s="409"/>
      <c r="R108" s="377">
        <f t="shared" si="30"/>
        <v>0</v>
      </c>
      <c r="S108" s="79"/>
      <c r="T108" s="377">
        <f t="shared" si="26"/>
        <v>0</v>
      </c>
      <c r="U108" s="377">
        <f t="shared" si="27"/>
        <v>65880</v>
      </c>
      <c r="V108" s="386">
        <f t="shared" si="28"/>
        <v>6653880</v>
      </c>
      <c r="W108" s="459">
        <v>23</v>
      </c>
      <c r="X108" s="606">
        <f t="shared" ref="X108:X139" si="31">A108</f>
        <v>97</v>
      </c>
      <c r="Y108" s="514">
        <f>IFERROR(INDEX('[2]CN BC'!$M$10:$M$276,MATCH(B108,'[2]CN BC'!$H$10:$H$276,0)),"")</f>
        <v>0</v>
      </c>
      <c r="Z108" s="147"/>
      <c r="AA108" s="113"/>
      <c r="AB108" s="114"/>
      <c r="AC108" s="161"/>
      <c r="AD108" s="114"/>
      <c r="AE108" s="114"/>
      <c r="AF108" s="114"/>
      <c r="AG108" s="114"/>
      <c r="AH108" s="114"/>
      <c r="AI108" s="114"/>
      <c r="AJ108" s="114"/>
      <c r="AK108" s="114"/>
      <c r="AL108" s="114"/>
      <c r="AM108" s="114"/>
    </row>
    <row r="109" spans="1:39" s="387" customFormat="1" ht="30" customHeight="1">
      <c r="A109" s="394">
        <f>_xlfn.AGGREGATE(4,7,A$11:A108)+1</f>
        <v>98</v>
      </c>
      <c r="B109" s="378" t="s">
        <v>1480</v>
      </c>
      <c r="C109" s="379" t="s">
        <v>733</v>
      </c>
      <c r="D109" s="424" t="s">
        <v>1691</v>
      </c>
      <c r="E109" s="444" t="s">
        <v>735</v>
      </c>
      <c r="F109" s="388">
        <v>3.33</v>
      </c>
      <c r="G109" s="382"/>
      <c r="H109" s="465">
        <f t="shared" si="21"/>
        <v>3.33</v>
      </c>
      <c r="I109" s="383">
        <v>0.45</v>
      </c>
      <c r="J109" s="384">
        <f t="shared" si="22"/>
        <v>3.7800000000000002</v>
      </c>
      <c r="K109" s="377">
        <f>J109*$G$8</f>
        <v>6804000</v>
      </c>
      <c r="L109" s="381" t="str">
        <f>VLOOKUP(B109,'[1]Gui chi Quynh'!$B$7:$F$397,5,FALSE)</f>
        <v>A3</v>
      </c>
      <c r="M109" s="515">
        <f t="shared" si="24"/>
        <v>8164800</v>
      </c>
      <c r="N109" s="391">
        <v>21</v>
      </c>
      <c r="O109" s="459">
        <f>IFERROR(INDEX('[2]CN BC'!$J$10:$J$276,MATCH(B109,'[2]CN BC'!$H$10:$H$276,0)),"")</f>
        <v>21</v>
      </c>
      <c r="P109" s="515">
        <f t="shared" si="25"/>
        <v>8164800</v>
      </c>
      <c r="Q109" s="409"/>
      <c r="R109" s="377">
        <f t="shared" si="30"/>
        <v>0</v>
      </c>
      <c r="S109" s="385"/>
      <c r="T109" s="377">
        <f t="shared" si="26"/>
        <v>0</v>
      </c>
      <c r="U109" s="377">
        <f t="shared" si="27"/>
        <v>68040</v>
      </c>
      <c r="V109" s="386">
        <f t="shared" si="28"/>
        <v>8232840</v>
      </c>
      <c r="W109" s="459">
        <v>23</v>
      </c>
      <c r="X109" s="606">
        <f t="shared" si="31"/>
        <v>98</v>
      </c>
      <c r="Y109" s="514">
        <f>IFERROR(INDEX('[2]CN BC'!$M$10:$M$276,MATCH(B109,'[2]CN BC'!$H$10:$H$276,0)),"")</f>
        <v>0</v>
      </c>
      <c r="Z109" s="147"/>
      <c r="AA109" s="113"/>
      <c r="AB109" s="114"/>
      <c r="AC109" s="161"/>
      <c r="AD109" s="114"/>
      <c r="AE109" s="114"/>
      <c r="AF109" s="114"/>
      <c r="AG109" s="114"/>
      <c r="AH109" s="114"/>
      <c r="AI109" s="114"/>
      <c r="AJ109" s="114"/>
      <c r="AK109" s="114"/>
      <c r="AL109" s="114"/>
      <c r="AM109" s="114"/>
    </row>
    <row r="110" spans="1:39" s="387" customFormat="1" ht="30" customHeight="1">
      <c r="A110" s="394">
        <f>_xlfn.AGGREGATE(4,7,A$11:A109)+1</f>
        <v>99</v>
      </c>
      <c r="B110" s="378" t="s">
        <v>1481</v>
      </c>
      <c r="C110" s="379" t="s">
        <v>736</v>
      </c>
      <c r="D110" s="452" t="s">
        <v>1692</v>
      </c>
      <c r="E110" s="444">
        <v>1603205353742</v>
      </c>
      <c r="F110" s="388">
        <v>3.33</v>
      </c>
      <c r="G110" s="382"/>
      <c r="H110" s="465">
        <f>F110+(F110*G110)</f>
        <v>3.33</v>
      </c>
      <c r="I110" s="383"/>
      <c r="J110" s="384">
        <f>H110+I110</f>
        <v>3.33</v>
      </c>
      <c r="K110" s="377">
        <f>J110*$G$8</f>
        <v>5994000</v>
      </c>
      <c r="L110" s="381" t="str">
        <f>VLOOKUP(B110,'[1]Gui chi Quynh'!$B$7:$F$397,5,FALSE)</f>
        <v>A3</v>
      </c>
      <c r="M110" s="515">
        <f t="shared" ref="M110:M141" si="32">IF(L110="A1",K110*1.6,IF(L110="A2",K110*1.4,IF(L110="A3",K110*1.2,IF(L110="A4",K110*1,IF(L110="B1",K110*0.7,IF(L110="B2",K110*0.5,IF(L110="C1",K110*0.3,IF(L110="C2",K110*0.2,0))))))))</f>
        <v>7192800</v>
      </c>
      <c r="N110" s="391">
        <v>21</v>
      </c>
      <c r="O110" s="459">
        <f>IFERROR(INDEX('[2]CN BC'!$J$10:$J$276,MATCH(B110,'[2]CN BC'!$H$10:$H$276,0)),"")</f>
        <v>21</v>
      </c>
      <c r="P110" s="515">
        <f t="shared" ref="P110:P141" si="33">IF(O110&gt;=N110,M110,M110/N110*O110)</f>
        <v>7192800</v>
      </c>
      <c r="Q110" s="480"/>
      <c r="R110" s="377">
        <f t="shared" si="30"/>
        <v>0</v>
      </c>
      <c r="S110" s="385"/>
      <c r="T110" s="377">
        <f t="shared" ref="T110:T141" si="34">S110*$G$8*1</f>
        <v>0</v>
      </c>
      <c r="U110" s="377">
        <f t="shared" ref="U110:U138" si="35">IF(OR(L110="A DN",L110="KXL", L110=""),"0",ROUND(J110*0.01*$G$8+Q110*1%*$G$8+S110*1%*$G$8,))</f>
        <v>59940</v>
      </c>
      <c r="V110" s="386">
        <f t="shared" ref="V110:V131" si="36">(P110+R110+T110+U110)</f>
        <v>7252740</v>
      </c>
      <c r="W110" s="459">
        <v>23</v>
      </c>
      <c r="X110" s="606">
        <f t="shared" si="31"/>
        <v>99</v>
      </c>
      <c r="Y110" s="514">
        <f>IFERROR(INDEX('[2]CN BC'!$M$10:$M$276,MATCH(B110,'[2]CN BC'!$H$10:$H$276,0)),"")</f>
        <v>0</v>
      </c>
      <c r="Z110" s="147"/>
      <c r="AA110" s="113"/>
      <c r="AB110" s="114"/>
      <c r="AC110" s="161"/>
      <c r="AD110" s="114"/>
      <c r="AE110" s="114"/>
      <c r="AF110" s="114"/>
      <c r="AG110" s="114"/>
      <c r="AH110" s="114"/>
      <c r="AI110" s="114"/>
    </row>
    <row r="111" spans="1:39" s="387" customFormat="1" ht="30" customHeight="1">
      <c r="A111" s="394">
        <f>_xlfn.AGGREGATE(4,7,A$11:A110)+1</f>
        <v>100</v>
      </c>
      <c r="B111" s="378" t="s">
        <v>1865</v>
      </c>
      <c r="C111" s="379" t="s">
        <v>737</v>
      </c>
      <c r="D111" s="424" t="s">
        <v>1693</v>
      </c>
      <c r="E111" s="444">
        <v>1603205357136</v>
      </c>
      <c r="F111" s="388">
        <v>3.33</v>
      </c>
      <c r="G111" s="382"/>
      <c r="H111" s="465">
        <f t="shared" ref="H111:H122" si="37">F111+(F111*G111)</f>
        <v>3.33</v>
      </c>
      <c r="I111" s="383"/>
      <c r="J111" s="384">
        <f t="shared" ref="J111:J122" si="38">H111+I111</f>
        <v>3.33</v>
      </c>
      <c r="K111" s="377">
        <f t="shared" ref="K111:K123" si="39">J111*$G$8</f>
        <v>5994000</v>
      </c>
      <c r="L111" s="381" t="str">
        <f>VLOOKUP(B111,'[1]Gui chi Quynh'!$B$7:$F$397,5,FALSE)</f>
        <v>A4</v>
      </c>
      <c r="M111" s="515">
        <f t="shared" si="32"/>
        <v>5994000</v>
      </c>
      <c r="N111" s="391">
        <v>21</v>
      </c>
      <c r="O111" s="459">
        <f>IFERROR(INDEX('[2]CN BC'!$J$10:$J$276,MATCH(B111,'[2]CN BC'!$H$10:$H$276,0)),"")</f>
        <v>21</v>
      </c>
      <c r="P111" s="515">
        <f t="shared" si="33"/>
        <v>5994000</v>
      </c>
      <c r="Q111" s="409"/>
      <c r="R111" s="377">
        <f t="shared" si="30"/>
        <v>0</v>
      </c>
      <c r="S111" s="385"/>
      <c r="T111" s="377">
        <f t="shared" si="34"/>
        <v>0</v>
      </c>
      <c r="U111" s="377">
        <f t="shared" si="35"/>
        <v>59940</v>
      </c>
      <c r="V111" s="386">
        <f t="shared" si="36"/>
        <v>6053940</v>
      </c>
      <c r="W111" s="459">
        <v>23</v>
      </c>
      <c r="X111" s="606">
        <f t="shared" si="31"/>
        <v>100</v>
      </c>
      <c r="Y111" s="514">
        <f>IFERROR(INDEX('[2]CN BC'!$M$10:$M$276,MATCH(B111,'[2]CN BC'!$H$10:$H$276,0)),"")</f>
        <v>0</v>
      </c>
      <c r="Z111" s="147"/>
      <c r="AA111" s="113"/>
      <c r="AB111" s="114"/>
      <c r="AC111" s="161"/>
      <c r="AD111" s="114"/>
      <c r="AE111" s="114"/>
      <c r="AF111" s="114"/>
      <c r="AG111" s="114"/>
      <c r="AH111" s="114"/>
      <c r="AI111" s="114"/>
      <c r="AJ111" s="114"/>
      <c r="AK111" s="114"/>
      <c r="AL111" s="114"/>
      <c r="AM111" s="114"/>
    </row>
    <row r="112" spans="1:39" s="387" customFormat="1" ht="30" customHeight="1">
      <c r="A112" s="394">
        <f>_xlfn.AGGREGATE(4,7,A$11:A111)+1</f>
        <v>101</v>
      </c>
      <c r="B112" s="378" t="s">
        <v>1482</v>
      </c>
      <c r="C112" s="379" t="s">
        <v>1421</v>
      </c>
      <c r="D112" s="424" t="s">
        <v>1694</v>
      </c>
      <c r="E112" s="440" t="s">
        <v>1422</v>
      </c>
      <c r="F112" s="388">
        <v>3.33</v>
      </c>
      <c r="G112" s="382"/>
      <c r="H112" s="465">
        <f t="shared" si="37"/>
        <v>3.33</v>
      </c>
      <c r="I112" s="383"/>
      <c r="J112" s="384">
        <f t="shared" si="38"/>
        <v>3.33</v>
      </c>
      <c r="K112" s="377">
        <f t="shared" si="39"/>
        <v>5994000</v>
      </c>
      <c r="L112" s="381" t="str">
        <f>VLOOKUP(B112,'[1]Gui chi Quynh'!$B$7:$F$397,5,FALSE)</f>
        <v>A3</v>
      </c>
      <c r="M112" s="515">
        <f t="shared" si="32"/>
        <v>7192800</v>
      </c>
      <c r="N112" s="391">
        <v>21</v>
      </c>
      <c r="O112" s="459">
        <f>IFERROR(INDEX('[2]CN BC'!$J$10:$J$276,MATCH(B112,'[2]CN BC'!$H$10:$H$276,0)),"")</f>
        <v>21</v>
      </c>
      <c r="P112" s="515">
        <f t="shared" si="33"/>
        <v>7192800</v>
      </c>
      <c r="Q112" s="409"/>
      <c r="R112" s="377">
        <f t="shared" ref="R112:R132" si="40">Q112*$G$8*1</f>
        <v>0</v>
      </c>
      <c r="S112" s="401"/>
      <c r="T112" s="377">
        <f t="shared" si="34"/>
        <v>0</v>
      </c>
      <c r="U112" s="377">
        <f t="shared" si="35"/>
        <v>59940</v>
      </c>
      <c r="V112" s="386">
        <f t="shared" si="36"/>
        <v>7252740</v>
      </c>
      <c r="W112" s="459">
        <v>23</v>
      </c>
      <c r="X112" s="606">
        <f t="shared" si="31"/>
        <v>101</v>
      </c>
      <c r="Y112" s="514">
        <f>IFERROR(INDEX('[2]CN BC'!$M$10:$M$276,MATCH(B112,'[2]CN BC'!$H$10:$H$276,0)),"")</f>
        <v>0</v>
      </c>
      <c r="Z112" s="147"/>
      <c r="AA112" s="113"/>
      <c r="AB112" s="114"/>
      <c r="AC112" s="161"/>
      <c r="AD112" s="114"/>
      <c r="AE112" s="114"/>
      <c r="AF112" s="114"/>
      <c r="AG112" s="114"/>
      <c r="AH112" s="114"/>
      <c r="AI112" s="114"/>
      <c r="AJ112" s="114"/>
      <c r="AK112" s="114"/>
      <c r="AL112" s="114"/>
      <c r="AM112" s="114"/>
    </row>
    <row r="113" spans="1:39" s="387" customFormat="1" ht="30" customHeight="1">
      <c r="A113" s="394">
        <f>_xlfn.AGGREGATE(4,7,A$11:A112)+1</f>
        <v>102</v>
      </c>
      <c r="B113" s="378" t="s">
        <v>1483</v>
      </c>
      <c r="C113" s="379" t="s">
        <v>49</v>
      </c>
      <c r="D113" s="424" t="s">
        <v>1695</v>
      </c>
      <c r="E113" s="440" t="s">
        <v>1432</v>
      </c>
      <c r="F113" s="381">
        <v>4.9800000000000004</v>
      </c>
      <c r="G113" s="382">
        <v>0.05</v>
      </c>
      <c r="H113" s="383">
        <f t="shared" si="37"/>
        <v>5.2290000000000001</v>
      </c>
      <c r="I113" s="413">
        <v>0.25</v>
      </c>
      <c r="J113" s="384">
        <f t="shared" si="38"/>
        <v>5.4790000000000001</v>
      </c>
      <c r="K113" s="377">
        <f t="shared" si="39"/>
        <v>9862200</v>
      </c>
      <c r="L113" s="381" t="str">
        <f>VLOOKUP(B113,'[1]Gui chi Quynh'!$B$7:$F$397,5,FALSE)</f>
        <v>A3</v>
      </c>
      <c r="M113" s="515">
        <f t="shared" si="32"/>
        <v>11834640</v>
      </c>
      <c r="N113" s="391">
        <v>21</v>
      </c>
      <c r="O113" s="459">
        <f>IFERROR(INDEX('[2]CN BC'!$J$10:$J$276,MATCH(B113,'[2]CN BC'!$H$10:$H$276,0)),"")</f>
        <v>21</v>
      </c>
      <c r="P113" s="515">
        <f t="shared" si="33"/>
        <v>11834640</v>
      </c>
      <c r="Q113" s="409"/>
      <c r="R113" s="377">
        <f t="shared" si="40"/>
        <v>0</v>
      </c>
      <c r="S113" s="401"/>
      <c r="T113" s="377">
        <f t="shared" si="34"/>
        <v>0</v>
      </c>
      <c r="U113" s="377">
        <f t="shared" si="35"/>
        <v>98622</v>
      </c>
      <c r="V113" s="386">
        <f t="shared" si="36"/>
        <v>11933262</v>
      </c>
      <c r="W113" s="459">
        <v>23</v>
      </c>
      <c r="X113" s="606">
        <f t="shared" si="31"/>
        <v>102</v>
      </c>
      <c r="Y113" s="514">
        <f>IFERROR(INDEX('[2]CN BC'!$M$10:$M$276,MATCH(B113,'[2]CN BC'!$H$10:$H$276,0)),"")</f>
        <v>0</v>
      </c>
      <c r="Z113" s="147"/>
      <c r="AA113" s="113"/>
      <c r="AB113" s="114"/>
      <c r="AC113" s="161"/>
      <c r="AD113" s="114"/>
      <c r="AE113" s="114"/>
      <c r="AF113" s="114"/>
      <c r="AG113" s="114"/>
      <c r="AH113" s="114"/>
      <c r="AI113" s="114"/>
      <c r="AJ113" s="114"/>
      <c r="AK113" s="114"/>
      <c r="AL113" s="114"/>
      <c r="AM113" s="114"/>
    </row>
    <row r="114" spans="1:39" s="387" customFormat="1" ht="30" customHeight="1">
      <c r="A114" s="394">
        <f>_xlfn.AGGREGATE(4,7,A$11:A113)+1</f>
        <v>103</v>
      </c>
      <c r="B114" s="37" t="s">
        <v>1568</v>
      </c>
      <c r="C114" s="38"/>
      <c r="D114" s="424" t="s">
        <v>1696</v>
      </c>
      <c r="E114" s="450" t="s">
        <v>1569</v>
      </c>
      <c r="F114" s="88">
        <v>3</v>
      </c>
      <c r="G114" s="163"/>
      <c r="H114" s="465">
        <f t="shared" si="37"/>
        <v>3</v>
      </c>
      <c r="I114" s="86"/>
      <c r="J114" s="384">
        <f t="shared" si="38"/>
        <v>3</v>
      </c>
      <c r="K114" s="377">
        <f t="shared" si="39"/>
        <v>5400000</v>
      </c>
      <c r="L114" s="381" t="str">
        <f>VLOOKUP(B114,'[1]Gui chi Quynh'!$B$7:$F$397,5,FALSE)</f>
        <v>A3</v>
      </c>
      <c r="M114" s="515">
        <f t="shared" si="32"/>
        <v>6480000</v>
      </c>
      <c r="N114" s="391">
        <v>21</v>
      </c>
      <c r="O114" s="459">
        <f>IFERROR(INDEX('[2]CN BC'!$J$10:$J$276,MATCH(B114,'[2]CN BC'!$H$10:$H$276,0)),"")</f>
        <v>21</v>
      </c>
      <c r="P114" s="515">
        <f t="shared" si="33"/>
        <v>6480000</v>
      </c>
      <c r="Q114" s="409"/>
      <c r="R114" s="377">
        <f t="shared" si="40"/>
        <v>0</v>
      </c>
      <c r="S114" s="79"/>
      <c r="T114" s="377">
        <f t="shared" si="34"/>
        <v>0</v>
      </c>
      <c r="U114" s="377">
        <f t="shared" si="35"/>
        <v>54000</v>
      </c>
      <c r="V114" s="386">
        <f t="shared" si="36"/>
        <v>6534000</v>
      </c>
      <c r="W114" s="459">
        <v>23</v>
      </c>
      <c r="X114" s="606">
        <f t="shared" si="31"/>
        <v>103</v>
      </c>
      <c r="Y114" s="514">
        <f>IFERROR(INDEX('[2]CN BC'!$M$10:$M$276,MATCH(B114,'[2]CN BC'!$H$10:$H$276,0)),"")</f>
        <v>0</v>
      </c>
      <c r="Z114" s="147"/>
      <c r="AA114" s="113"/>
      <c r="AB114" s="114"/>
      <c r="AC114" s="161"/>
      <c r="AD114" s="114"/>
      <c r="AE114" s="114"/>
      <c r="AF114" s="114"/>
      <c r="AG114" s="114"/>
      <c r="AH114" s="114"/>
      <c r="AI114" s="114"/>
      <c r="AJ114" s="114"/>
      <c r="AK114" s="114"/>
      <c r="AL114" s="114"/>
      <c r="AM114" s="114"/>
    </row>
    <row r="115" spans="1:39" s="387" customFormat="1" ht="30" customHeight="1">
      <c r="A115" s="394">
        <f>_xlfn.AGGREGATE(4,7,A$11:A114)+1</f>
        <v>104</v>
      </c>
      <c r="B115" s="378" t="s">
        <v>1832</v>
      </c>
      <c r="C115" s="379"/>
      <c r="D115" s="452" t="s">
        <v>1963</v>
      </c>
      <c r="E115" s="203">
        <v>1603215005610</v>
      </c>
      <c r="F115" s="388">
        <v>3</v>
      </c>
      <c r="G115" s="382"/>
      <c r="H115" s="383">
        <f t="shared" si="37"/>
        <v>3</v>
      </c>
      <c r="I115" s="383"/>
      <c r="J115" s="384">
        <f t="shared" si="38"/>
        <v>3</v>
      </c>
      <c r="K115" s="377">
        <f t="shared" si="39"/>
        <v>5400000</v>
      </c>
      <c r="L115" s="381" t="str">
        <f>VLOOKUP(B115,'[1]Gui chi Quynh'!$B$7:$F$397,5,FALSE)</f>
        <v>A4</v>
      </c>
      <c r="M115" s="515">
        <f t="shared" si="32"/>
        <v>5400000</v>
      </c>
      <c r="N115" s="391">
        <v>21</v>
      </c>
      <c r="O115" s="459">
        <f>IFERROR(INDEX('[2]CN BC'!$J$10:$J$276,MATCH(B115,'[2]CN BC'!$H$10:$H$276,0)),"")</f>
        <v>21</v>
      </c>
      <c r="P115" s="515">
        <f t="shared" si="33"/>
        <v>5400000</v>
      </c>
      <c r="Q115" s="409"/>
      <c r="R115" s="377">
        <f t="shared" si="40"/>
        <v>0</v>
      </c>
      <c r="S115" s="385"/>
      <c r="T115" s="377">
        <f t="shared" si="34"/>
        <v>0</v>
      </c>
      <c r="U115" s="377">
        <f t="shared" si="35"/>
        <v>54000</v>
      </c>
      <c r="V115" s="386">
        <f t="shared" si="36"/>
        <v>5454000</v>
      </c>
      <c r="W115" s="459">
        <v>23</v>
      </c>
      <c r="X115" s="606">
        <f t="shared" si="31"/>
        <v>104</v>
      </c>
      <c r="Y115" s="514">
        <f>IFERROR(INDEX('[2]CN BC'!$M$10:$M$276,MATCH(B115,'[2]CN BC'!$H$10:$H$276,0)),"")</f>
        <v>0</v>
      </c>
      <c r="Z115" s="147"/>
      <c r="AA115" s="113"/>
      <c r="AB115" s="114"/>
      <c r="AC115" s="161"/>
      <c r="AD115" s="114"/>
      <c r="AE115" s="114"/>
      <c r="AF115" s="114"/>
      <c r="AG115" s="114"/>
      <c r="AH115" s="114"/>
      <c r="AI115" s="114"/>
    </row>
    <row r="116" spans="1:39" s="114" customFormat="1" ht="27" customHeight="1">
      <c r="A116" s="394">
        <f>_xlfn.AGGREGATE(4,7,A$11:A115)+1</f>
        <v>105</v>
      </c>
      <c r="B116" s="37" t="s">
        <v>1555</v>
      </c>
      <c r="C116" s="155" t="s">
        <v>1105</v>
      </c>
      <c r="D116" s="424" t="s">
        <v>1658</v>
      </c>
      <c r="E116" s="442" t="s">
        <v>1278</v>
      </c>
      <c r="F116" s="10">
        <v>4.9800000000000004</v>
      </c>
      <c r="G116" s="50"/>
      <c r="H116" s="383">
        <f t="shared" si="37"/>
        <v>4.9800000000000004</v>
      </c>
      <c r="I116" s="484">
        <v>0.45</v>
      </c>
      <c r="J116" s="384">
        <f t="shared" si="38"/>
        <v>5.4300000000000006</v>
      </c>
      <c r="K116" s="377">
        <f t="shared" si="39"/>
        <v>9774000.0000000019</v>
      </c>
      <c r="L116" s="381" t="str">
        <f>VLOOKUP(B116,'[1]Gui chi Quynh'!$B$7:$F$397,5,FALSE)</f>
        <v>A4</v>
      </c>
      <c r="M116" s="515">
        <f t="shared" si="32"/>
        <v>9774000.0000000019</v>
      </c>
      <c r="N116" s="391">
        <v>21</v>
      </c>
      <c r="O116" s="459">
        <f>IFERROR(INDEX('[2]CN BC'!$J$10:$J$276,MATCH(B116,'[2]CN BC'!$H$10:$H$276,0)),"")</f>
        <v>21</v>
      </c>
      <c r="P116" s="515">
        <f t="shared" si="33"/>
        <v>9774000.0000000019</v>
      </c>
      <c r="Q116" s="474"/>
      <c r="R116" s="377">
        <f t="shared" si="40"/>
        <v>0</v>
      </c>
      <c r="S116" s="79"/>
      <c r="T116" s="377">
        <f t="shared" si="34"/>
        <v>0</v>
      </c>
      <c r="U116" s="377">
        <f t="shared" si="35"/>
        <v>97740</v>
      </c>
      <c r="V116" s="386">
        <f t="shared" si="36"/>
        <v>9871740.0000000019</v>
      </c>
      <c r="W116" s="459">
        <v>24</v>
      </c>
      <c r="X116" s="606">
        <f t="shared" si="31"/>
        <v>105</v>
      </c>
      <c r="Y116" s="514">
        <f>IFERROR(INDEX('[2]CN BC'!$M$10:$M$276,MATCH(B116,'[2]CN BC'!$H$10:$H$276,0)),"")</f>
        <v>0</v>
      </c>
      <c r="Z116" s="550" t="s">
        <v>812</v>
      </c>
      <c r="AA116" s="113"/>
      <c r="AC116" s="161"/>
    </row>
    <row r="117" spans="1:39" s="387" customFormat="1" ht="28.5" customHeight="1">
      <c r="A117" s="394">
        <f>_xlfn.AGGREGATE(4,7,A$11:A116)+1</f>
        <v>106</v>
      </c>
      <c r="B117" s="378" t="s">
        <v>1866</v>
      </c>
      <c r="C117" s="379" t="s">
        <v>873</v>
      </c>
      <c r="D117" s="452" t="s">
        <v>1697</v>
      </c>
      <c r="E117" s="441" t="s">
        <v>1300</v>
      </c>
      <c r="F117" s="381">
        <v>4.9800000000000004</v>
      </c>
      <c r="G117" s="382">
        <v>0.06</v>
      </c>
      <c r="H117" s="383">
        <f t="shared" si="37"/>
        <v>5.2788000000000004</v>
      </c>
      <c r="I117" s="383">
        <v>0.25</v>
      </c>
      <c r="J117" s="384">
        <f t="shared" si="38"/>
        <v>5.5288000000000004</v>
      </c>
      <c r="K117" s="377">
        <f t="shared" si="39"/>
        <v>9951840</v>
      </c>
      <c r="L117" s="381" t="str">
        <f>VLOOKUP(B117,'[1]Gui chi Quynh'!$B$7:$F$397,5,FALSE)</f>
        <v>A4</v>
      </c>
      <c r="M117" s="515">
        <f t="shared" si="32"/>
        <v>9951840</v>
      </c>
      <c r="N117" s="391">
        <v>21</v>
      </c>
      <c r="O117" s="459">
        <f>IFERROR(INDEX('[2]CN BC'!$J$10:$J$276,MATCH(B117,'[2]CN BC'!$H$10:$H$276,0)),"")</f>
        <v>21</v>
      </c>
      <c r="P117" s="515">
        <f t="shared" si="33"/>
        <v>9951840</v>
      </c>
      <c r="Q117" s="480"/>
      <c r="R117" s="377">
        <f t="shared" si="40"/>
        <v>0</v>
      </c>
      <c r="S117" s="385"/>
      <c r="T117" s="377">
        <f t="shared" si="34"/>
        <v>0</v>
      </c>
      <c r="U117" s="377">
        <f t="shared" si="35"/>
        <v>99518</v>
      </c>
      <c r="V117" s="386">
        <f t="shared" si="36"/>
        <v>10051358</v>
      </c>
      <c r="W117" s="487">
        <v>23</v>
      </c>
      <c r="X117" s="606">
        <f t="shared" si="31"/>
        <v>106</v>
      </c>
      <c r="Y117" s="514">
        <f>IFERROR(INDEX('[2]CN BC'!$M$10:$M$276,MATCH(B117,'[2]CN BC'!$H$10:$H$276,0)),"")</f>
        <v>0</v>
      </c>
      <c r="Z117" s="550" t="s">
        <v>813</v>
      </c>
      <c r="AA117" s="113"/>
      <c r="AB117" s="114"/>
      <c r="AC117" s="508"/>
    </row>
    <row r="118" spans="1:39" s="114" customFormat="1" ht="30" customHeight="1">
      <c r="A118" s="394">
        <f>_xlfn.AGGREGATE(4,7,A$11:A117)+1</f>
        <v>107</v>
      </c>
      <c r="B118" s="37" t="s">
        <v>1867</v>
      </c>
      <c r="C118" s="38" t="s">
        <v>883</v>
      </c>
      <c r="D118" s="424" t="s">
        <v>1698</v>
      </c>
      <c r="E118" s="442" t="s">
        <v>1299</v>
      </c>
      <c r="F118" s="10">
        <v>4.32</v>
      </c>
      <c r="G118" s="163"/>
      <c r="H118" s="383">
        <f t="shared" si="37"/>
        <v>4.32</v>
      </c>
      <c r="I118" s="86"/>
      <c r="J118" s="384">
        <f t="shared" si="38"/>
        <v>4.32</v>
      </c>
      <c r="K118" s="377">
        <f t="shared" si="39"/>
        <v>7776000.0000000009</v>
      </c>
      <c r="L118" s="381" t="str">
        <f>VLOOKUP(B118,'[1]Gui chi Quynh'!$B$7:$F$397,5,FALSE)</f>
        <v>A4</v>
      </c>
      <c r="M118" s="515">
        <f t="shared" si="32"/>
        <v>7776000.0000000009</v>
      </c>
      <c r="N118" s="391">
        <v>21</v>
      </c>
      <c r="O118" s="459">
        <f>IFERROR(INDEX('[2]CN BC'!$J$10:$J$276,MATCH(B118,'[2]CN BC'!$H$10:$H$276,0)),"")</f>
        <v>21</v>
      </c>
      <c r="P118" s="515">
        <f t="shared" si="33"/>
        <v>7776000.0000000009</v>
      </c>
      <c r="Q118" s="409"/>
      <c r="R118" s="377">
        <f t="shared" si="40"/>
        <v>0</v>
      </c>
      <c r="S118" s="401"/>
      <c r="T118" s="377">
        <f t="shared" si="34"/>
        <v>0</v>
      </c>
      <c r="U118" s="377">
        <f t="shared" si="35"/>
        <v>77760</v>
      </c>
      <c r="V118" s="386">
        <f t="shared" si="36"/>
        <v>7853760.0000000009</v>
      </c>
      <c r="W118" s="459">
        <v>23</v>
      </c>
      <c r="X118" s="606">
        <f t="shared" si="31"/>
        <v>107</v>
      </c>
      <c r="Y118" s="514">
        <f>IFERROR(INDEX('[2]CN BC'!$M$10:$M$276,MATCH(B118,'[2]CN BC'!$H$10:$H$276,0)),"")</f>
        <v>0</v>
      </c>
      <c r="Z118" s="550" t="s">
        <v>814</v>
      </c>
      <c r="AA118" s="113"/>
      <c r="AC118" s="161"/>
    </row>
    <row r="119" spans="1:39" s="387" customFormat="1" ht="30" customHeight="1">
      <c r="A119" s="394">
        <f>_xlfn.AGGREGATE(4,7,A$11:A118)+1</f>
        <v>108</v>
      </c>
      <c r="B119" s="378" t="s">
        <v>1485</v>
      </c>
      <c r="C119" s="379" t="s">
        <v>1009</v>
      </c>
      <c r="D119" s="424" t="s">
        <v>1699</v>
      </c>
      <c r="E119" s="441" t="s">
        <v>373</v>
      </c>
      <c r="F119" s="381">
        <v>3.99</v>
      </c>
      <c r="G119" s="382"/>
      <c r="H119" s="383">
        <f t="shared" si="37"/>
        <v>3.99</v>
      </c>
      <c r="I119" s="383"/>
      <c r="J119" s="384">
        <f t="shared" si="38"/>
        <v>3.99</v>
      </c>
      <c r="K119" s="377">
        <f t="shared" si="39"/>
        <v>7182000</v>
      </c>
      <c r="L119" s="381" t="str">
        <f>VLOOKUP(B119,'[1]Gui chi Quynh'!$B$7:$F$397,5,FALSE)</f>
        <v>A4</v>
      </c>
      <c r="M119" s="515">
        <f t="shared" si="32"/>
        <v>7182000</v>
      </c>
      <c r="N119" s="391">
        <v>21</v>
      </c>
      <c r="O119" s="459">
        <f>IFERROR(INDEX('[2]CN BC'!$J$10:$J$276,MATCH(B119,'[2]CN BC'!$H$10:$H$276,0)),"")</f>
        <v>21</v>
      </c>
      <c r="P119" s="515">
        <f t="shared" si="33"/>
        <v>7182000</v>
      </c>
      <c r="Q119" s="409"/>
      <c r="R119" s="377">
        <f t="shared" si="40"/>
        <v>0</v>
      </c>
      <c r="S119" s="401"/>
      <c r="T119" s="377">
        <f t="shared" si="34"/>
        <v>0</v>
      </c>
      <c r="U119" s="377">
        <f t="shared" si="35"/>
        <v>71820</v>
      </c>
      <c r="V119" s="386">
        <f t="shared" si="36"/>
        <v>7253820</v>
      </c>
      <c r="W119" s="459">
        <v>23</v>
      </c>
      <c r="X119" s="606">
        <f t="shared" si="31"/>
        <v>108</v>
      </c>
      <c r="Y119" s="514">
        <f>IFERROR(INDEX('[2]CN BC'!$M$10:$M$276,MATCH(B119,'[2]CN BC'!$H$10:$H$276,0)),"")</f>
        <v>0</v>
      </c>
      <c r="Z119" s="550" t="s">
        <v>815</v>
      </c>
      <c r="AA119" s="113"/>
      <c r="AB119" s="114"/>
      <c r="AC119" s="161"/>
      <c r="AD119" s="114"/>
      <c r="AE119" s="114"/>
      <c r="AF119" s="114"/>
      <c r="AG119" s="114"/>
      <c r="AH119" s="114"/>
      <c r="AI119" s="114"/>
      <c r="AJ119" s="114"/>
      <c r="AK119" s="114"/>
      <c r="AL119" s="114"/>
      <c r="AM119" s="114"/>
    </row>
    <row r="120" spans="1:39" s="387" customFormat="1" ht="30" customHeight="1">
      <c r="A120" s="394">
        <f>_xlfn.AGGREGATE(4,7,A$11:A119)+1</f>
        <v>109</v>
      </c>
      <c r="B120" s="378" t="s">
        <v>1559</v>
      </c>
      <c r="C120" s="390"/>
      <c r="D120" s="424" t="s">
        <v>1647</v>
      </c>
      <c r="E120" s="441" t="s">
        <v>406</v>
      </c>
      <c r="F120" s="388">
        <v>3.66</v>
      </c>
      <c r="G120" s="393"/>
      <c r="H120" s="383">
        <f t="shared" si="37"/>
        <v>3.66</v>
      </c>
      <c r="I120" s="383"/>
      <c r="J120" s="384">
        <f t="shared" si="38"/>
        <v>3.66</v>
      </c>
      <c r="K120" s="377">
        <f t="shared" si="39"/>
        <v>6588000</v>
      </c>
      <c r="L120" s="381" t="str">
        <f>VLOOKUP(B120,'[1]Gui chi Quynh'!$B$7:$F$397,5,FALSE)</f>
        <v>A4</v>
      </c>
      <c r="M120" s="515">
        <f t="shared" si="32"/>
        <v>6588000</v>
      </c>
      <c r="N120" s="391">
        <v>21</v>
      </c>
      <c r="O120" s="459">
        <f>IFERROR(INDEX('[2]CN BC'!$J$10:$J$276,MATCH(B120,'[2]CN BC'!$H$10:$H$276,0)),"")</f>
        <v>21</v>
      </c>
      <c r="P120" s="515">
        <f t="shared" si="33"/>
        <v>6588000</v>
      </c>
      <c r="Q120" s="409"/>
      <c r="R120" s="377">
        <f t="shared" si="40"/>
        <v>0</v>
      </c>
      <c r="S120" s="385"/>
      <c r="T120" s="377">
        <f t="shared" si="34"/>
        <v>0</v>
      </c>
      <c r="U120" s="377">
        <f t="shared" si="35"/>
        <v>65880</v>
      </c>
      <c r="V120" s="386">
        <f t="shared" si="36"/>
        <v>6653880</v>
      </c>
      <c r="W120" s="459">
        <v>23</v>
      </c>
      <c r="X120" s="606">
        <f t="shared" si="31"/>
        <v>109</v>
      </c>
      <c r="Y120" s="514">
        <f>IFERROR(INDEX('[2]CN BC'!$M$10:$M$276,MATCH(B120,'[2]CN BC'!$H$10:$H$276,0)),"")</f>
        <v>0</v>
      </c>
      <c r="Z120" s="550" t="s">
        <v>816</v>
      </c>
      <c r="AA120" s="113"/>
      <c r="AB120" s="114"/>
      <c r="AC120" s="161"/>
      <c r="AD120" s="114"/>
      <c r="AE120" s="114"/>
      <c r="AF120" s="114"/>
      <c r="AG120" s="114"/>
      <c r="AH120" s="114"/>
      <c r="AI120" s="114"/>
      <c r="AJ120" s="114"/>
      <c r="AK120" s="114"/>
      <c r="AL120" s="114"/>
      <c r="AM120" s="114"/>
    </row>
    <row r="121" spans="1:39" s="387" customFormat="1" ht="30" customHeight="1">
      <c r="A121" s="394">
        <f>_xlfn.AGGREGATE(4,7,A$11:A120)+1</f>
        <v>110</v>
      </c>
      <c r="B121" s="378" t="s">
        <v>1868</v>
      </c>
      <c r="C121" s="379" t="s">
        <v>956</v>
      </c>
      <c r="D121" s="452" t="s">
        <v>1700</v>
      </c>
      <c r="E121" s="441" t="s">
        <v>1303</v>
      </c>
      <c r="F121" s="381">
        <v>4.6500000000000004</v>
      </c>
      <c r="G121" s="382"/>
      <c r="H121" s="383">
        <f t="shared" si="37"/>
        <v>4.6500000000000004</v>
      </c>
      <c r="I121" s="383"/>
      <c r="J121" s="384">
        <f t="shared" si="38"/>
        <v>4.6500000000000004</v>
      </c>
      <c r="K121" s="377">
        <f t="shared" si="39"/>
        <v>8370000.0000000009</v>
      </c>
      <c r="L121" s="381" t="str">
        <f>VLOOKUP(B121,'[1]Gui chi Quynh'!$B$7:$F$397,5,FALSE)</f>
        <v>A4</v>
      </c>
      <c r="M121" s="515">
        <f t="shared" si="32"/>
        <v>8370000.0000000009</v>
      </c>
      <c r="N121" s="391">
        <v>21</v>
      </c>
      <c r="O121" s="459">
        <f>IFERROR(INDEX('[2]CN BC'!$J$10:$J$276,MATCH(B121,'[2]CN BC'!$H$10:$H$276,0)),"")</f>
        <v>21</v>
      </c>
      <c r="P121" s="515">
        <f t="shared" si="33"/>
        <v>8370000.0000000009</v>
      </c>
      <c r="Q121" s="409"/>
      <c r="R121" s="377">
        <f t="shared" si="40"/>
        <v>0</v>
      </c>
      <c r="S121" s="385"/>
      <c r="T121" s="377">
        <f t="shared" si="34"/>
        <v>0</v>
      </c>
      <c r="U121" s="377">
        <f t="shared" si="35"/>
        <v>83700</v>
      </c>
      <c r="V121" s="386">
        <f t="shared" si="36"/>
        <v>8453700</v>
      </c>
      <c r="W121" s="459">
        <v>23</v>
      </c>
      <c r="X121" s="606">
        <f t="shared" si="31"/>
        <v>110</v>
      </c>
      <c r="Y121" s="514">
        <f>IFERROR(INDEX('[2]CN BC'!$M$10:$M$276,MATCH(B121,'[2]CN BC'!$H$10:$H$276,0)),"")</f>
        <v>0</v>
      </c>
      <c r="Z121" s="550" t="s">
        <v>817</v>
      </c>
      <c r="AA121" s="113"/>
      <c r="AB121" s="114"/>
      <c r="AC121" s="161"/>
      <c r="AD121" s="114"/>
      <c r="AE121" s="114"/>
      <c r="AF121" s="114"/>
      <c r="AG121" s="114"/>
      <c r="AH121" s="114"/>
      <c r="AI121" s="114"/>
    </row>
    <row r="122" spans="1:39" s="387" customFormat="1" ht="30" customHeight="1">
      <c r="A122" s="394">
        <f>_xlfn.AGGREGATE(4,7,A$11:A121)+1</f>
        <v>111</v>
      </c>
      <c r="B122" s="378" t="s">
        <v>1869</v>
      </c>
      <c r="C122" s="379" t="s">
        <v>958</v>
      </c>
      <c r="D122" s="424" t="s">
        <v>1701</v>
      </c>
      <c r="E122" s="441" t="s">
        <v>1304</v>
      </c>
      <c r="F122" s="388">
        <v>4.32</v>
      </c>
      <c r="G122" s="382"/>
      <c r="H122" s="383">
        <f t="shared" si="37"/>
        <v>4.32</v>
      </c>
      <c r="I122" s="383"/>
      <c r="J122" s="384">
        <f t="shared" si="38"/>
        <v>4.32</v>
      </c>
      <c r="K122" s="377">
        <f t="shared" si="39"/>
        <v>7776000.0000000009</v>
      </c>
      <c r="L122" s="381" t="str">
        <f>VLOOKUP(B122,'[1]Gui chi Quynh'!$B$7:$F$397,5,FALSE)</f>
        <v>A4</v>
      </c>
      <c r="M122" s="515">
        <f t="shared" si="32"/>
        <v>7776000.0000000009</v>
      </c>
      <c r="N122" s="391">
        <v>21</v>
      </c>
      <c r="O122" s="459">
        <f>IFERROR(INDEX('[2]CN BC'!$J$10:$J$276,MATCH(B122,'[2]CN BC'!$H$10:$H$276,0)),"")</f>
        <v>21</v>
      </c>
      <c r="P122" s="515">
        <f t="shared" si="33"/>
        <v>7776000.0000000009</v>
      </c>
      <c r="Q122" s="409"/>
      <c r="R122" s="377">
        <f t="shared" si="40"/>
        <v>0</v>
      </c>
      <c r="S122" s="401"/>
      <c r="T122" s="377">
        <f t="shared" si="34"/>
        <v>0</v>
      </c>
      <c r="U122" s="377">
        <f t="shared" si="35"/>
        <v>77760</v>
      </c>
      <c r="V122" s="386">
        <f t="shared" si="36"/>
        <v>7853760.0000000009</v>
      </c>
      <c r="W122" s="459">
        <v>23</v>
      </c>
      <c r="X122" s="606">
        <f t="shared" si="31"/>
        <v>111</v>
      </c>
      <c r="Y122" s="514">
        <f>IFERROR(INDEX('[2]CN BC'!$M$10:$M$276,MATCH(B122,'[2]CN BC'!$H$10:$H$276,0)),"")</f>
        <v>0</v>
      </c>
      <c r="Z122" s="550" t="s">
        <v>818</v>
      </c>
      <c r="AA122" s="113"/>
      <c r="AB122" s="114"/>
      <c r="AC122" s="161"/>
      <c r="AD122" s="114"/>
      <c r="AE122" s="114"/>
      <c r="AF122" s="114"/>
      <c r="AG122" s="114"/>
      <c r="AH122" s="114"/>
      <c r="AI122" s="114"/>
      <c r="AJ122" s="114"/>
      <c r="AK122" s="114"/>
      <c r="AL122" s="114"/>
      <c r="AM122" s="114"/>
    </row>
    <row r="123" spans="1:39" s="387" customFormat="1" ht="30" customHeight="1">
      <c r="A123" s="394">
        <f>_xlfn.AGGREGATE(4,7,A$11:A122)+1</f>
        <v>112</v>
      </c>
      <c r="B123" s="378" t="s">
        <v>1870</v>
      </c>
      <c r="C123" s="379" t="s">
        <v>967</v>
      </c>
      <c r="D123" s="452" t="s">
        <v>1702</v>
      </c>
      <c r="E123" s="441" t="s">
        <v>1306</v>
      </c>
      <c r="F123" s="381">
        <v>4.9800000000000004</v>
      </c>
      <c r="G123" s="382">
        <v>0.08</v>
      </c>
      <c r="H123" s="383">
        <f t="shared" ref="H123:H156" si="41">F123+(F123*G123)</f>
        <v>5.3784000000000001</v>
      </c>
      <c r="I123" s="383"/>
      <c r="J123" s="384">
        <f t="shared" ref="J123:J156" si="42">H123+I123</f>
        <v>5.3784000000000001</v>
      </c>
      <c r="K123" s="377">
        <f t="shared" si="39"/>
        <v>9681120</v>
      </c>
      <c r="L123" s="381" t="str">
        <f>VLOOKUP(B123,'[1]Gui chi Quynh'!$B$7:$F$397,5,FALSE)</f>
        <v>A3</v>
      </c>
      <c r="M123" s="515">
        <f t="shared" si="32"/>
        <v>11617344</v>
      </c>
      <c r="N123" s="391">
        <v>21</v>
      </c>
      <c r="O123" s="459">
        <f>IFERROR(INDEX('[2]CN BC'!$J$10:$J$276,MATCH(B123,'[2]CN BC'!$H$10:$H$276,0)),"")</f>
        <v>21</v>
      </c>
      <c r="P123" s="515">
        <f t="shared" si="33"/>
        <v>11617344</v>
      </c>
      <c r="Q123" s="480"/>
      <c r="R123" s="377">
        <f t="shared" si="40"/>
        <v>0</v>
      </c>
      <c r="S123" s="385"/>
      <c r="T123" s="377">
        <f t="shared" si="34"/>
        <v>0</v>
      </c>
      <c r="U123" s="377">
        <f t="shared" si="35"/>
        <v>96811</v>
      </c>
      <c r="V123" s="386">
        <f t="shared" si="36"/>
        <v>11714155</v>
      </c>
      <c r="W123" s="487">
        <v>23</v>
      </c>
      <c r="X123" s="606">
        <f t="shared" si="31"/>
        <v>112</v>
      </c>
      <c r="Y123" s="514">
        <f>IFERROR(INDEX('[2]CN BC'!$M$10:$M$276,MATCH(B123,'[2]CN BC'!$H$10:$H$276,0)),"")</f>
        <v>0</v>
      </c>
      <c r="Z123" s="550" t="s">
        <v>819</v>
      </c>
      <c r="AA123" s="113"/>
      <c r="AB123" s="114"/>
      <c r="AC123" s="508"/>
    </row>
    <row r="124" spans="1:39" s="387" customFormat="1" ht="60">
      <c r="A124" s="394">
        <f>_xlfn.AGGREGATE(4,7,A$11:A123)+1</f>
        <v>113</v>
      </c>
      <c r="B124" s="613" t="s">
        <v>847</v>
      </c>
      <c r="C124" s="557" t="s">
        <v>896</v>
      </c>
      <c r="D124" s="615" t="s">
        <v>1703</v>
      </c>
      <c r="E124" s="616" t="s">
        <v>1307</v>
      </c>
      <c r="F124" s="617">
        <v>3.99</v>
      </c>
      <c r="G124" s="558"/>
      <c r="H124" s="492">
        <f t="shared" si="41"/>
        <v>3.99</v>
      </c>
      <c r="I124" s="492"/>
      <c r="J124" s="559">
        <f t="shared" si="42"/>
        <v>3.99</v>
      </c>
      <c r="K124" s="560">
        <f t="shared" ref="K124:K157" si="43">J124*$G$8</f>
        <v>7182000</v>
      </c>
      <c r="L124" s="581" t="str">
        <f>VLOOKUP(B124,'[1]Gui chi Quynh'!$B$7:$F$397,5,FALSE)</f>
        <v>B2</v>
      </c>
      <c r="M124" s="561">
        <f t="shared" si="32"/>
        <v>3591000</v>
      </c>
      <c r="N124" s="582">
        <v>21</v>
      </c>
      <c r="O124" s="562">
        <f>IFERROR(INDEX('[2]CN BC'!$J$10:$J$276,MATCH(B124,'[2]CN BC'!$H$10:$H$276,0)),"")</f>
        <v>21</v>
      </c>
      <c r="P124" s="561">
        <f t="shared" si="33"/>
        <v>3591000</v>
      </c>
      <c r="Q124" s="563"/>
      <c r="R124" s="560">
        <f t="shared" si="40"/>
        <v>0</v>
      </c>
      <c r="S124" s="564"/>
      <c r="T124" s="560">
        <f t="shared" si="34"/>
        <v>0</v>
      </c>
      <c r="U124" s="560">
        <f t="shared" si="35"/>
        <v>71820</v>
      </c>
      <c r="V124" s="580">
        <f t="shared" si="36"/>
        <v>3662820</v>
      </c>
      <c r="W124" s="562">
        <v>23</v>
      </c>
      <c r="X124" s="619">
        <f t="shared" si="31"/>
        <v>113</v>
      </c>
      <c r="Y124" s="583" t="s">
        <v>2025</v>
      </c>
      <c r="Z124" s="550" t="s">
        <v>820</v>
      </c>
      <c r="AA124" s="113"/>
      <c r="AB124" s="114"/>
      <c r="AC124" s="161"/>
      <c r="AD124" s="114"/>
      <c r="AE124" s="114"/>
      <c r="AF124" s="114"/>
      <c r="AG124" s="114"/>
      <c r="AH124" s="114"/>
      <c r="AI124" s="114"/>
      <c r="AJ124" s="114"/>
      <c r="AK124" s="114"/>
      <c r="AL124" s="114"/>
      <c r="AM124" s="114"/>
    </row>
    <row r="125" spans="1:39" s="387" customFormat="1" ht="30" customHeight="1">
      <c r="A125" s="394">
        <f>_xlfn.AGGREGATE(4,7,A$11:A124)+1</f>
        <v>114</v>
      </c>
      <c r="B125" s="378" t="s">
        <v>1486</v>
      </c>
      <c r="C125" s="379" t="s">
        <v>1218</v>
      </c>
      <c r="D125" s="424" t="s">
        <v>1704</v>
      </c>
      <c r="E125" s="444" t="s">
        <v>1588</v>
      </c>
      <c r="F125" s="388">
        <v>3.66</v>
      </c>
      <c r="G125" s="382"/>
      <c r="H125" s="383">
        <f t="shared" si="41"/>
        <v>3.66</v>
      </c>
      <c r="I125" s="383"/>
      <c r="J125" s="384">
        <f t="shared" si="42"/>
        <v>3.66</v>
      </c>
      <c r="K125" s="377">
        <f t="shared" si="43"/>
        <v>6588000</v>
      </c>
      <c r="L125" s="381" t="str">
        <f>VLOOKUP(B125,'[1]Gui chi Quynh'!$B$7:$F$397,5,FALSE)</f>
        <v>A4</v>
      </c>
      <c r="M125" s="515">
        <f t="shared" si="32"/>
        <v>6588000</v>
      </c>
      <c r="N125" s="391">
        <v>21</v>
      </c>
      <c r="O125" s="459">
        <f>IFERROR(INDEX('[2]CN BC'!$J$10:$J$276,MATCH(B125,'[2]CN BC'!$H$10:$H$276,0)),"")</f>
        <v>21</v>
      </c>
      <c r="P125" s="515">
        <f t="shared" si="33"/>
        <v>6588000</v>
      </c>
      <c r="Q125" s="409"/>
      <c r="R125" s="377">
        <f t="shared" si="40"/>
        <v>0</v>
      </c>
      <c r="S125" s="385"/>
      <c r="T125" s="377">
        <f t="shared" si="34"/>
        <v>0</v>
      </c>
      <c r="U125" s="377">
        <f t="shared" si="35"/>
        <v>65880</v>
      </c>
      <c r="V125" s="386">
        <f t="shared" si="36"/>
        <v>6653880</v>
      </c>
      <c r="W125" s="459">
        <v>23</v>
      </c>
      <c r="X125" s="610">
        <f t="shared" si="31"/>
        <v>114</v>
      </c>
      <c r="Y125" s="514">
        <f>IFERROR(INDEX('[2]CN BC'!$M$10:$M$276,MATCH(B125,'[2]CN BC'!$H$10:$H$276,0)),"")</f>
        <v>0</v>
      </c>
      <c r="Z125" s="550" t="s">
        <v>1119</v>
      </c>
      <c r="AA125" s="113"/>
      <c r="AB125" s="114"/>
      <c r="AC125" s="161"/>
      <c r="AD125" s="114"/>
      <c r="AE125" s="114"/>
      <c r="AF125" s="114"/>
      <c r="AG125" s="114"/>
      <c r="AH125" s="114"/>
      <c r="AI125" s="114"/>
      <c r="AJ125" s="114"/>
      <c r="AK125" s="114"/>
      <c r="AL125" s="114"/>
      <c r="AM125" s="114"/>
    </row>
    <row r="126" spans="1:39" s="114" customFormat="1" ht="30" customHeight="1">
      <c r="A126" s="394">
        <f>_xlfn.AGGREGATE(4,7,A$11:A125)+1</f>
        <v>115</v>
      </c>
      <c r="B126" s="378" t="s">
        <v>1871</v>
      </c>
      <c r="C126" s="379" t="s">
        <v>873</v>
      </c>
      <c r="D126" s="452" t="s">
        <v>1705</v>
      </c>
      <c r="E126" s="441" t="s">
        <v>1309</v>
      </c>
      <c r="F126" s="381">
        <v>4.9800000000000004</v>
      </c>
      <c r="G126" s="382"/>
      <c r="H126" s="383">
        <f t="shared" si="41"/>
        <v>4.9800000000000004</v>
      </c>
      <c r="I126" s="383">
        <v>0.35</v>
      </c>
      <c r="J126" s="384">
        <f t="shared" si="42"/>
        <v>5.33</v>
      </c>
      <c r="K126" s="377">
        <f t="shared" si="43"/>
        <v>9594000</v>
      </c>
      <c r="L126" s="381" t="str">
        <f>VLOOKUP(B126,'[1]Gui chi Quynh'!$B$7:$F$397,5,FALSE)</f>
        <v>A4</v>
      </c>
      <c r="M126" s="515">
        <f t="shared" si="32"/>
        <v>9594000</v>
      </c>
      <c r="N126" s="391">
        <v>21</v>
      </c>
      <c r="O126" s="459">
        <f>IFERROR(INDEX('[2]CN BC'!$J$10:$J$276,MATCH(B126,'[2]CN BC'!$H$10:$H$276,0)),"")</f>
        <v>21</v>
      </c>
      <c r="P126" s="515">
        <f t="shared" si="33"/>
        <v>9594000</v>
      </c>
      <c r="Q126" s="480"/>
      <c r="R126" s="377">
        <f t="shared" si="40"/>
        <v>0</v>
      </c>
      <c r="S126" s="385"/>
      <c r="T126" s="377">
        <f t="shared" si="34"/>
        <v>0</v>
      </c>
      <c r="U126" s="377">
        <f t="shared" si="35"/>
        <v>95940</v>
      </c>
      <c r="V126" s="386">
        <f t="shared" si="36"/>
        <v>9689940</v>
      </c>
      <c r="W126" s="459">
        <v>23</v>
      </c>
      <c r="X126" s="610">
        <f t="shared" si="31"/>
        <v>115</v>
      </c>
      <c r="Y126" s="514">
        <f>IFERROR(INDEX('[2]CN BC'!$M$10:$M$276,MATCH(B126,'[2]CN BC'!$H$10:$H$276,0)),"")</f>
        <v>0</v>
      </c>
      <c r="Z126" s="550" t="s">
        <v>1120</v>
      </c>
      <c r="AA126" s="113"/>
      <c r="AC126" s="161"/>
    </row>
    <row r="127" spans="1:39" s="387" customFormat="1" ht="30" customHeight="1">
      <c r="A127" s="394">
        <f>_xlfn.AGGREGATE(4,7,A$11:A126)+1</f>
        <v>116</v>
      </c>
      <c r="B127" s="378" t="s">
        <v>1872</v>
      </c>
      <c r="C127" s="379" t="s">
        <v>966</v>
      </c>
      <c r="D127" s="452" t="s">
        <v>1706</v>
      </c>
      <c r="E127" s="441" t="s">
        <v>1311</v>
      </c>
      <c r="F127" s="381">
        <v>4.9800000000000004</v>
      </c>
      <c r="G127" s="382">
        <v>0.05</v>
      </c>
      <c r="H127" s="383">
        <f t="shared" si="41"/>
        <v>5.2290000000000001</v>
      </c>
      <c r="I127" s="383"/>
      <c r="J127" s="384">
        <f t="shared" si="42"/>
        <v>5.2290000000000001</v>
      </c>
      <c r="K127" s="377">
        <f t="shared" si="43"/>
        <v>9412200</v>
      </c>
      <c r="L127" s="381" t="str">
        <f>VLOOKUP(B127,'[1]Gui chi Quynh'!$B$7:$F$397,5,FALSE)</f>
        <v>A4</v>
      </c>
      <c r="M127" s="515">
        <f t="shared" si="32"/>
        <v>9412200</v>
      </c>
      <c r="N127" s="391">
        <v>21</v>
      </c>
      <c r="O127" s="459">
        <f>IFERROR(INDEX('[2]CN BC'!$J$10:$J$276,MATCH(B127,'[2]CN BC'!$H$10:$H$276,0)),"")</f>
        <v>21</v>
      </c>
      <c r="P127" s="515">
        <f t="shared" si="33"/>
        <v>9412200</v>
      </c>
      <c r="Q127" s="480"/>
      <c r="R127" s="377">
        <f t="shared" si="40"/>
        <v>0</v>
      </c>
      <c r="S127" s="385"/>
      <c r="T127" s="377">
        <f t="shared" si="34"/>
        <v>0</v>
      </c>
      <c r="U127" s="377">
        <f t="shared" si="35"/>
        <v>94122</v>
      </c>
      <c r="V127" s="386">
        <f t="shared" si="36"/>
        <v>9506322</v>
      </c>
      <c r="W127" s="487">
        <v>23</v>
      </c>
      <c r="X127" s="610">
        <f t="shared" si="31"/>
        <v>116</v>
      </c>
      <c r="Y127" s="514">
        <f>IFERROR(INDEX('[2]CN BC'!$M$10:$M$276,MATCH(B127,'[2]CN BC'!$H$10:$H$276,0)),"")</f>
        <v>0</v>
      </c>
      <c r="Z127" s="550" t="s">
        <v>1121</v>
      </c>
      <c r="AA127" s="113"/>
      <c r="AB127" s="114"/>
      <c r="AC127" s="508"/>
    </row>
    <row r="128" spans="1:39" s="387" customFormat="1" ht="32.25" customHeight="1">
      <c r="A128" s="394">
        <f>_xlfn.AGGREGATE(4,7,A$11:A127)+1</f>
        <v>117</v>
      </c>
      <c r="B128" s="378" t="s">
        <v>1487</v>
      </c>
      <c r="C128" s="379" t="s">
        <v>917</v>
      </c>
      <c r="D128" s="452" t="s">
        <v>1707</v>
      </c>
      <c r="E128" s="441" t="s">
        <v>1312</v>
      </c>
      <c r="F128" s="388">
        <v>3.99</v>
      </c>
      <c r="G128" s="382"/>
      <c r="H128" s="383">
        <f t="shared" si="41"/>
        <v>3.99</v>
      </c>
      <c r="I128" s="383"/>
      <c r="J128" s="384">
        <f t="shared" si="42"/>
        <v>3.99</v>
      </c>
      <c r="K128" s="377">
        <f t="shared" si="43"/>
        <v>7182000</v>
      </c>
      <c r="L128" s="381" t="str">
        <f>VLOOKUP(B128,'[1]Gui chi Quynh'!$B$7:$F$397,5,FALSE)</f>
        <v>A4</v>
      </c>
      <c r="M128" s="515">
        <f t="shared" si="32"/>
        <v>7182000</v>
      </c>
      <c r="N128" s="391">
        <v>21</v>
      </c>
      <c r="O128" s="459">
        <f>IFERROR(INDEX('[2]CN BC'!$J$10:$J$276,MATCH(B128,'[2]CN BC'!$H$10:$H$276,0)),"")</f>
        <v>21</v>
      </c>
      <c r="P128" s="515">
        <f t="shared" si="33"/>
        <v>7182000</v>
      </c>
      <c r="Q128" s="480"/>
      <c r="R128" s="377">
        <f t="shared" si="40"/>
        <v>0</v>
      </c>
      <c r="S128" s="385"/>
      <c r="T128" s="377">
        <f t="shared" si="34"/>
        <v>0</v>
      </c>
      <c r="U128" s="377">
        <f t="shared" si="35"/>
        <v>71820</v>
      </c>
      <c r="V128" s="386">
        <f t="shared" si="36"/>
        <v>7253820</v>
      </c>
      <c r="W128" s="487">
        <v>23</v>
      </c>
      <c r="X128" s="606">
        <f t="shared" si="31"/>
        <v>117</v>
      </c>
      <c r="Y128" s="514">
        <f>IFERROR(INDEX('[2]CN BC'!$M$10:$M$276,MATCH(B128,'[2]CN BC'!$H$10:$H$276,0)),"")</f>
        <v>0</v>
      </c>
      <c r="Z128" s="550" t="s">
        <v>1122</v>
      </c>
      <c r="AA128" s="113"/>
      <c r="AB128" s="114"/>
      <c r="AC128" s="508"/>
    </row>
    <row r="129" spans="1:39" s="387" customFormat="1" ht="30" customHeight="1">
      <c r="A129" s="394">
        <f>_xlfn.AGGREGATE(4,7,A$11:A128)+1</f>
        <v>118</v>
      </c>
      <c r="B129" s="378" t="s">
        <v>1488</v>
      </c>
      <c r="C129" s="379" t="s">
        <v>874</v>
      </c>
      <c r="D129" s="452" t="s">
        <v>1708</v>
      </c>
      <c r="E129" s="441" t="s">
        <v>374</v>
      </c>
      <c r="F129" s="388">
        <v>3.66</v>
      </c>
      <c r="G129" s="382"/>
      <c r="H129" s="383">
        <f t="shared" si="41"/>
        <v>3.66</v>
      </c>
      <c r="I129" s="383"/>
      <c r="J129" s="384">
        <f t="shared" si="42"/>
        <v>3.66</v>
      </c>
      <c r="K129" s="377">
        <f t="shared" si="43"/>
        <v>6588000</v>
      </c>
      <c r="L129" s="381" t="str">
        <f>VLOOKUP(B129,'[1]Gui chi Quynh'!$B$7:$F$397,5,FALSE)</f>
        <v>A4</v>
      </c>
      <c r="M129" s="515">
        <f t="shared" si="32"/>
        <v>6588000</v>
      </c>
      <c r="N129" s="391">
        <v>21</v>
      </c>
      <c r="O129" s="459">
        <f>IFERROR(INDEX('[2]CN BC'!$J$10:$J$276,MATCH(B129,'[2]CN BC'!$H$10:$H$276,0)),"")</f>
        <v>21</v>
      </c>
      <c r="P129" s="515">
        <f t="shared" si="33"/>
        <v>6588000</v>
      </c>
      <c r="Q129" s="480"/>
      <c r="R129" s="377">
        <f t="shared" si="40"/>
        <v>0</v>
      </c>
      <c r="S129" s="385"/>
      <c r="T129" s="377">
        <f t="shared" si="34"/>
        <v>0</v>
      </c>
      <c r="U129" s="377">
        <f t="shared" si="35"/>
        <v>65880</v>
      </c>
      <c r="V129" s="386">
        <f t="shared" si="36"/>
        <v>6653880</v>
      </c>
      <c r="W129" s="459">
        <v>23</v>
      </c>
      <c r="X129" s="606">
        <f t="shared" si="31"/>
        <v>118</v>
      </c>
      <c r="Y129" s="514">
        <f>IFERROR(INDEX('[2]CN BC'!$M$10:$M$276,MATCH(B129,'[2]CN BC'!$H$10:$H$276,0)),"")</f>
        <v>0</v>
      </c>
      <c r="Z129" s="550" t="s">
        <v>1123</v>
      </c>
      <c r="AA129" s="113"/>
      <c r="AB129" s="114"/>
      <c r="AC129" s="161"/>
      <c r="AD129" s="114"/>
      <c r="AE129" s="114"/>
      <c r="AF129" s="114"/>
      <c r="AG129" s="114"/>
      <c r="AH129" s="114"/>
      <c r="AI129" s="114"/>
    </row>
    <row r="130" spans="1:39" s="387" customFormat="1" ht="30" customHeight="1">
      <c r="A130" s="394">
        <f>_xlfn.AGGREGATE(4,7,A$11:A129)+1</f>
        <v>119</v>
      </c>
      <c r="B130" s="378" t="s">
        <v>1489</v>
      </c>
      <c r="C130" s="379" t="s">
        <v>1423</v>
      </c>
      <c r="D130" s="452" t="s">
        <v>1709</v>
      </c>
      <c r="E130" s="440" t="s">
        <v>1424</v>
      </c>
      <c r="F130" s="388">
        <v>3.33</v>
      </c>
      <c r="G130" s="382"/>
      <c r="H130" s="465">
        <f t="shared" si="41"/>
        <v>3.33</v>
      </c>
      <c r="I130" s="383"/>
      <c r="J130" s="384">
        <f t="shared" si="42"/>
        <v>3.33</v>
      </c>
      <c r="K130" s="377">
        <f t="shared" si="43"/>
        <v>5994000</v>
      </c>
      <c r="L130" s="381" t="str">
        <f>VLOOKUP(B130,'[1]Gui chi Quynh'!$B$7:$F$397,5,FALSE)</f>
        <v>A4</v>
      </c>
      <c r="M130" s="515">
        <f t="shared" si="32"/>
        <v>5994000</v>
      </c>
      <c r="N130" s="391">
        <v>21</v>
      </c>
      <c r="O130" s="459">
        <f>IFERROR(INDEX('[2]CN BC'!$J$10:$J$276,MATCH(B130,'[2]CN BC'!$H$10:$H$276,0)),"")</f>
        <v>21</v>
      </c>
      <c r="P130" s="515">
        <f t="shared" si="33"/>
        <v>5994000</v>
      </c>
      <c r="Q130" s="480"/>
      <c r="R130" s="377">
        <f t="shared" si="40"/>
        <v>0</v>
      </c>
      <c r="S130" s="385"/>
      <c r="T130" s="377">
        <f t="shared" si="34"/>
        <v>0</v>
      </c>
      <c r="U130" s="377">
        <f t="shared" si="35"/>
        <v>59940</v>
      </c>
      <c r="V130" s="386">
        <f t="shared" si="36"/>
        <v>6053940</v>
      </c>
      <c r="W130" s="459">
        <v>23</v>
      </c>
      <c r="X130" s="606">
        <f t="shared" si="31"/>
        <v>119</v>
      </c>
      <c r="Y130" s="514">
        <f>IFERROR(INDEX('[2]CN BC'!$M$10:$M$276,MATCH(B130,'[2]CN BC'!$H$10:$H$276,0)),"")</f>
        <v>0</v>
      </c>
      <c r="Z130" s="550" t="s">
        <v>1124</v>
      </c>
      <c r="AA130" s="113"/>
      <c r="AB130" s="114"/>
      <c r="AC130" s="161"/>
      <c r="AD130" s="114"/>
      <c r="AE130" s="114"/>
      <c r="AF130" s="114"/>
      <c r="AG130" s="114"/>
      <c r="AH130" s="114"/>
      <c r="AI130" s="114"/>
    </row>
    <row r="131" spans="1:39" s="387" customFormat="1" ht="30" customHeight="1">
      <c r="A131" s="394">
        <f>_xlfn.AGGREGATE(4,7,A$11:A130)+1</f>
        <v>120</v>
      </c>
      <c r="B131" s="378" t="s">
        <v>1490</v>
      </c>
      <c r="C131" s="379" t="s">
        <v>960</v>
      </c>
      <c r="D131" s="452" t="s">
        <v>1710</v>
      </c>
      <c r="E131" s="440" t="s">
        <v>1425</v>
      </c>
      <c r="F131" s="388">
        <v>3.33</v>
      </c>
      <c r="G131" s="382"/>
      <c r="H131" s="465">
        <f t="shared" si="41"/>
        <v>3.33</v>
      </c>
      <c r="I131" s="383"/>
      <c r="J131" s="384">
        <f t="shared" si="42"/>
        <v>3.33</v>
      </c>
      <c r="K131" s="377">
        <f t="shared" si="43"/>
        <v>5994000</v>
      </c>
      <c r="L131" s="381" t="str">
        <f>VLOOKUP(B131,'[1]Gui chi Quynh'!$B$7:$F$397,5,FALSE)</f>
        <v>A4</v>
      </c>
      <c r="M131" s="515">
        <f t="shared" si="32"/>
        <v>5994000</v>
      </c>
      <c r="N131" s="391">
        <v>21</v>
      </c>
      <c r="O131" s="459">
        <f>IFERROR(INDEX('[2]CN BC'!$J$10:$J$276,MATCH(B131,'[2]CN BC'!$H$10:$H$276,0)),"")</f>
        <v>21</v>
      </c>
      <c r="P131" s="515">
        <f t="shared" si="33"/>
        <v>5994000</v>
      </c>
      <c r="Q131" s="480"/>
      <c r="R131" s="377">
        <f t="shared" si="40"/>
        <v>0</v>
      </c>
      <c r="S131" s="385"/>
      <c r="T131" s="377">
        <f t="shared" si="34"/>
        <v>0</v>
      </c>
      <c r="U131" s="377">
        <f t="shared" si="35"/>
        <v>59940</v>
      </c>
      <c r="V131" s="386">
        <f t="shared" si="36"/>
        <v>6053940</v>
      </c>
      <c r="W131" s="459">
        <v>23</v>
      </c>
      <c r="X131" s="606">
        <f t="shared" si="31"/>
        <v>120</v>
      </c>
      <c r="Y131" s="514">
        <f>IFERROR(INDEX('[2]CN BC'!$M$10:$M$276,MATCH(B131,'[2]CN BC'!$H$10:$H$276,0)),"")</f>
        <v>0</v>
      </c>
      <c r="Z131" s="550" t="s">
        <v>1125</v>
      </c>
      <c r="AA131" s="113"/>
      <c r="AB131" s="114"/>
      <c r="AC131" s="161"/>
      <c r="AD131" s="114"/>
      <c r="AE131" s="114"/>
      <c r="AF131" s="114"/>
      <c r="AG131" s="114"/>
      <c r="AH131" s="114"/>
      <c r="AI131" s="114"/>
    </row>
    <row r="132" spans="1:39" s="387" customFormat="1" ht="30" customHeight="1">
      <c r="A132" s="394">
        <f>_xlfn.AGGREGATE(4,7,A$11:A131)+1</f>
        <v>121</v>
      </c>
      <c r="B132" s="378" t="s">
        <v>1873</v>
      </c>
      <c r="C132" s="379" t="s">
        <v>889</v>
      </c>
      <c r="D132" s="424" t="s">
        <v>1711</v>
      </c>
      <c r="E132" s="441" t="s">
        <v>1322</v>
      </c>
      <c r="F132" s="388">
        <v>3.99</v>
      </c>
      <c r="G132" s="382"/>
      <c r="H132" s="383">
        <f t="shared" si="41"/>
        <v>3.99</v>
      </c>
      <c r="I132" s="383">
        <f>0.25</f>
        <v>0.25</v>
      </c>
      <c r="J132" s="384">
        <f t="shared" si="42"/>
        <v>4.24</v>
      </c>
      <c r="K132" s="377">
        <f t="shared" si="43"/>
        <v>7632000</v>
      </c>
      <c r="L132" s="381" t="str">
        <f>VLOOKUP(B132,'[1]Gui chi Quynh'!$B$7:$F$397,5,FALSE)</f>
        <v>A4</v>
      </c>
      <c r="M132" s="515">
        <f t="shared" si="32"/>
        <v>7632000</v>
      </c>
      <c r="N132" s="391">
        <v>21</v>
      </c>
      <c r="O132" s="459">
        <f>IFERROR(INDEX('[2]CN BC'!$J$10:$J$276,MATCH(B132,'[2]CN BC'!$H$10:$H$276,0)),"")</f>
        <v>21</v>
      </c>
      <c r="P132" s="515">
        <f t="shared" si="33"/>
        <v>7632000</v>
      </c>
      <c r="Q132" s="409"/>
      <c r="R132" s="377">
        <f t="shared" si="40"/>
        <v>0</v>
      </c>
      <c r="S132" s="385"/>
      <c r="T132" s="377">
        <f t="shared" si="34"/>
        <v>0</v>
      </c>
      <c r="U132" s="377">
        <f t="shared" si="35"/>
        <v>76320</v>
      </c>
      <c r="V132" s="386">
        <f t="shared" ref="V132:V191" si="44">(P132+R132+T132+U132)</f>
        <v>7708320</v>
      </c>
      <c r="W132" s="459">
        <v>23</v>
      </c>
      <c r="X132" s="606">
        <f t="shared" si="31"/>
        <v>121</v>
      </c>
      <c r="Y132" s="514">
        <f>IFERROR(INDEX('[2]CN BC'!$M$10:$M$276,MATCH(B132,'[2]CN BC'!$H$10:$H$276,0)),"")</f>
        <v>0</v>
      </c>
      <c r="Z132" s="550" t="s">
        <v>1126</v>
      </c>
      <c r="AA132" s="113"/>
      <c r="AB132" s="114"/>
      <c r="AC132" s="161"/>
      <c r="AD132" s="114"/>
      <c r="AE132" s="114"/>
      <c r="AF132" s="114"/>
      <c r="AG132" s="114"/>
      <c r="AH132" s="114"/>
      <c r="AI132" s="114"/>
      <c r="AJ132" s="114"/>
      <c r="AK132" s="114"/>
      <c r="AL132" s="114"/>
      <c r="AM132" s="114"/>
    </row>
    <row r="133" spans="1:39" s="387" customFormat="1" ht="30" customHeight="1">
      <c r="A133" s="394">
        <f>_xlfn.AGGREGATE(4,7,A$11:A132)+1</f>
        <v>122</v>
      </c>
      <c r="B133" s="378" t="s">
        <v>1491</v>
      </c>
      <c r="C133" s="379" t="s">
        <v>1206</v>
      </c>
      <c r="D133" s="452" t="s">
        <v>1712</v>
      </c>
      <c r="E133" s="441" t="s">
        <v>1323</v>
      </c>
      <c r="F133" s="388">
        <v>3.99</v>
      </c>
      <c r="G133" s="382"/>
      <c r="H133" s="383">
        <f t="shared" si="41"/>
        <v>3.99</v>
      </c>
      <c r="I133" s="383"/>
      <c r="J133" s="384">
        <f t="shared" si="42"/>
        <v>3.99</v>
      </c>
      <c r="K133" s="377">
        <f t="shared" si="43"/>
        <v>7182000</v>
      </c>
      <c r="L133" s="381" t="str">
        <f>VLOOKUP(B133,'[1]Gui chi Quynh'!$B$7:$F$397,5,FALSE)</f>
        <v>A3</v>
      </c>
      <c r="M133" s="515">
        <f t="shared" si="32"/>
        <v>8618400</v>
      </c>
      <c r="N133" s="391">
        <v>21</v>
      </c>
      <c r="O133" s="459">
        <f>IFERROR(INDEX('[2]CN BC'!$J$10:$J$276,MATCH(B133,'[2]CN BC'!$H$10:$H$276,0)),"")</f>
        <v>22</v>
      </c>
      <c r="P133" s="515">
        <f t="shared" si="33"/>
        <v>8618400</v>
      </c>
      <c r="Q133" s="480">
        <v>0</v>
      </c>
      <c r="R133" s="377">
        <f>Q133*$G$8*0.8</f>
        <v>0</v>
      </c>
      <c r="S133" s="385"/>
      <c r="T133" s="377">
        <f t="shared" si="34"/>
        <v>0</v>
      </c>
      <c r="U133" s="377">
        <f t="shared" si="35"/>
        <v>71820</v>
      </c>
      <c r="V133" s="386">
        <f t="shared" si="44"/>
        <v>8690220</v>
      </c>
      <c r="W133" s="487">
        <v>23</v>
      </c>
      <c r="X133" s="606">
        <f t="shared" si="31"/>
        <v>122</v>
      </c>
      <c r="Y133" s="514">
        <f>IFERROR(INDEX('[2]CN BC'!$M$10:$M$276,MATCH(B133,'[2]CN BC'!$H$10:$H$276,0)),"")</f>
        <v>0</v>
      </c>
      <c r="Z133" s="550" t="s">
        <v>1127</v>
      </c>
      <c r="AA133" s="113"/>
      <c r="AB133" s="114"/>
      <c r="AC133" s="161"/>
      <c r="AD133" s="114"/>
      <c r="AE133" s="114"/>
      <c r="AF133" s="114"/>
      <c r="AG133" s="114"/>
      <c r="AH133" s="114"/>
      <c r="AI133" s="114"/>
    </row>
    <row r="134" spans="1:39" s="387" customFormat="1" ht="30" customHeight="1">
      <c r="A134" s="394">
        <f>_xlfn.AGGREGATE(4,7,A$11:A133)+1</f>
        <v>123</v>
      </c>
      <c r="B134" s="378" t="s">
        <v>845</v>
      </c>
      <c r="C134" s="379" t="s">
        <v>992</v>
      </c>
      <c r="D134" s="452" t="s">
        <v>1713</v>
      </c>
      <c r="E134" s="441" t="s">
        <v>1324</v>
      </c>
      <c r="F134" s="388">
        <v>3.99</v>
      </c>
      <c r="G134" s="382"/>
      <c r="H134" s="383">
        <f t="shared" si="41"/>
        <v>3.99</v>
      </c>
      <c r="I134" s="383"/>
      <c r="J134" s="384">
        <f t="shared" si="42"/>
        <v>3.99</v>
      </c>
      <c r="K134" s="377">
        <f t="shared" si="43"/>
        <v>7182000</v>
      </c>
      <c r="L134" s="381" t="str">
        <f>VLOOKUP(B134,'[1]Gui chi Quynh'!$B$7:$F$397,5,FALSE)</f>
        <v>A1</v>
      </c>
      <c r="M134" s="515">
        <f t="shared" si="32"/>
        <v>11491200</v>
      </c>
      <c r="N134" s="391">
        <v>21</v>
      </c>
      <c r="O134" s="459">
        <f>IFERROR(INDEX('[2]CN BC'!$J$10:$J$276,MATCH(B134,'[2]CN BC'!$H$10:$H$276,0)),"")</f>
        <v>21</v>
      </c>
      <c r="P134" s="515">
        <f t="shared" si="33"/>
        <v>11491200</v>
      </c>
      <c r="Q134" s="409"/>
      <c r="R134" s="377">
        <f t="shared" ref="R134:R165" si="45">Q134*$G$8*1</f>
        <v>0</v>
      </c>
      <c r="S134" s="385"/>
      <c r="T134" s="377">
        <f t="shared" si="34"/>
        <v>0</v>
      </c>
      <c r="U134" s="377">
        <f t="shared" si="35"/>
        <v>71820</v>
      </c>
      <c r="V134" s="386">
        <f t="shared" si="44"/>
        <v>11563020</v>
      </c>
      <c r="W134" s="459">
        <v>25</v>
      </c>
      <c r="X134" s="606">
        <f t="shared" si="31"/>
        <v>123</v>
      </c>
      <c r="Y134" s="514">
        <f>IFERROR(INDEX('[2]CN BC'!$M$10:$M$276,MATCH(B134,'[2]CN BC'!$H$10:$H$276,0)),"")</f>
        <v>0</v>
      </c>
      <c r="Z134" s="550" t="s">
        <v>1131</v>
      </c>
      <c r="AA134" s="113"/>
      <c r="AB134" s="114"/>
      <c r="AC134" s="161"/>
      <c r="AD134" s="114"/>
      <c r="AE134" s="114"/>
      <c r="AF134" s="114"/>
      <c r="AG134" s="114"/>
      <c r="AH134" s="114"/>
      <c r="AI134" s="114"/>
    </row>
    <row r="135" spans="1:39" s="387" customFormat="1" ht="31.5" customHeight="1">
      <c r="A135" s="394">
        <f>_xlfn.AGGREGATE(4,7,A$11:A134)+1</f>
        <v>124</v>
      </c>
      <c r="B135" s="378" t="s">
        <v>1492</v>
      </c>
      <c r="C135" s="379" t="s">
        <v>889</v>
      </c>
      <c r="D135" s="424" t="s">
        <v>1714</v>
      </c>
      <c r="E135" s="202" t="s">
        <v>1938</v>
      </c>
      <c r="F135" s="388">
        <v>3.99</v>
      </c>
      <c r="G135" s="382"/>
      <c r="H135" s="383">
        <f t="shared" si="41"/>
        <v>3.99</v>
      </c>
      <c r="I135" s="383"/>
      <c r="J135" s="384">
        <f t="shared" si="42"/>
        <v>3.99</v>
      </c>
      <c r="K135" s="377">
        <f t="shared" si="43"/>
        <v>7182000</v>
      </c>
      <c r="L135" s="381" t="str">
        <f>VLOOKUP(B135,'[1]Gui chi Quynh'!$B$7:$F$397,5,FALSE)</f>
        <v>A3</v>
      </c>
      <c r="M135" s="515">
        <f t="shared" si="32"/>
        <v>8618400</v>
      </c>
      <c r="N135" s="391">
        <v>21</v>
      </c>
      <c r="O135" s="459">
        <f>IFERROR(INDEX('[2]CN BC'!$J$10:$J$276,MATCH(B135,'[2]CN BC'!$H$10:$H$276,0)),"")</f>
        <v>22</v>
      </c>
      <c r="P135" s="515">
        <f t="shared" si="33"/>
        <v>8618400</v>
      </c>
      <c r="Q135" s="409"/>
      <c r="R135" s="377">
        <f t="shared" si="45"/>
        <v>0</v>
      </c>
      <c r="S135" s="401"/>
      <c r="T135" s="377">
        <f t="shared" si="34"/>
        <v>0</v>
      </c>
      <c r="U135" s="377">
        <f t="shared" si="35"/>
        <v>71820</v>
      </c>
      <c r="V135" s="386">
        <f t="shared" si="44"/>
        <v>8690220</v>
      </c>
      <c r="W135" s="459">
        <v>23</v>
      </c>
      <c r="X135" s="606">
        <f t="shared" si="31"/>
        <v>124</v>
      </c>
      <c r="Y135" s="514">
        <f>IFERROR(INDEX('[2]CN BC'!$M$10:$M$276,MATCH(B135,'[2]CN BC'!$H$10:$H$276,0)),"")</f>
        <v>0</v>
      </c>
      <c r="Z135" s="550" t="s">
        <v>1132</v>
      </c>
      <c r="AA135" s="113"/>
      <c r="AB135" s="114"/>
      <c r="AC135" s="161"/>
      <c r="AD135" s="114"/>
      <c r="AE135" s="114"/>
      <c r="AF135" s="114"/>
      <c r="AG135" s="114"/>
      <c r="AH135" s="114"/>
      <c r="AI135" s="114"/>
      <c r="AJ135" s="114"/>
      <c r="AK135" s="114"/>
      <c r="AL135" s="114"/>
      <c r="AM135" s="114"/>
    </row>
    <row r="136" spans="1:39" s="387" customFormat="1" ht="31.5" customHeight="1">
      <c r="A136" s="394">
        <f>_xlfn.AGGREGATE(4,7,A$11:A135)+1</f>
        <v>125</v>
      </c>
      <c r="B136" s="378" t="s">
        <v>1558</v>
      </c>
      <c r="C136" s="379"/>
      <c r="D136" s="452" t="s">
        <v>1715</v>
      </c>
      <c r="E136" s="441" t="s">
        <v>21</v>
      </c>
      <c r="F136" s="388">
        <v>4.32</v>
      </c>
      <c r="G136" s="382"/>
      <c r="H136" s="383">
        <f t="shared" si="41"/>
        <v>4.32</v>
      </c>
      <c r="I136" s="383"/>
      <c r="J136" s="384">
        <f t="shared" si="42"/>
        <v>4.32</v>
      </c>
      <c r="K136" s="377">
        <f t="shared" si="43"/>
        <v>7776000.0000000009</v>
      </c>
      <c r="L136" s="381" t="str">
        <f>VLOOKUP(B136,'[1]Gui chi Quynh'!$B$7:$F$397,5,FALSE)</f>
        <v>A3</v>
      </c>
      <c r="M136" s="515">
        <f t="shared" si="32"/>
        <v>9331200</v>
      </c>
      <c r="N136" s="391">
        <v>21</v>
      </c>
      <c r="O136" s="459">
        <f>IFERROR(INDEX('[2]CN BC'!$J$10:$J$276,MATCH(B136,'[2]CN BC'!$H$10:$H$276,0)),"")</f>
        <v>22</v>
      </c>
      <c r="P136" s="515">
        <f t="shared" si="33"/>
        <v>9331200</v>
      </c>
      <c r="Q136" s="409"/>
      <c r="R136" s="377">
        <f t="shared" si="45"/>
        <v>0</v>
      </c>
      <c r="S136" s="385"/>
      <c r="T136" s="377">
        <f t="shared" si="34"/>
        <v>0</v>
      </c>
      <c r="U136" s="377">
        <f t="shared" si="35"/>
        <v>77760</v>
      </c>
      <c r="V136" s="386">
        <f t="shared" si="44"/>
        <v>9408960</v>
      </c>
      <c r="W136" s="459">
        <v>23</v>
      </c>
      <c r="X136" s="606">
        <f t="shared" si="31"/>
        <v>125</v>
      </c>
      <c r="Y136" s="514" t="str">
        <f>IFERROR(INDEX('[2]CN BC'!$M$10:$M$276,MATCH(B136,'[2]CN BC'!$H$10:$H$276,0)),"")</f>
        <v xml:space="preserve">Cộng 1 ngày hỗ trợ khai mạc giải bóng đá SV </v>
      </c>
      <c r="Z136" s="550" t="s">
        <v>1133</v>
      </c>
      <c r="AA136" s="113"/>
      <c r="AB136" s="114"/>
      <c r="AC136" s="161"/>
      <c r="AD136" s="114"/>
      <c r="AE136" s="114"/>
      <c r="AF136" s="114"/>
      <c r="AG136" s="114"/>
      <c r="AH136" s="114"/>
      <c r="AI136" s="114"/>
    </row>
    <row r="137" spans="1:39" s="387" customFormat="1" ht="31.5" customHeight="1">
      <c r="A137" s="394">
        <f>_xlfn.AGGREGATE(4,7,A$11:A136)+1</f>
        <v>126</v>
      </c>
      <c r="B137" s="378" t="s">
        <v>1493</v>
      </c>
      <c r="C137" s="379" t="s">
        <v>874</v>
      </c>
      <c r="D137" s="452" t="s">
        <v>1716</v>
      </c>
      <c r="E137" s="441" t="s">
        <v>1330</v>
      </c>
      <c r="F137" s="381">
        <v>4.6500000000000004</v>
      </c>
      <c r="G137" s="382"/>
      <c r="H137" s="383">
        <f t="shared" si="41"/>
        <v>4.6500000000000004</v>
      </c>
      <c r="I137" s="383"/>
      <c r="J137" s="384">
        <f t="shared" si="42"/>
        <v>4.6500000000000004</v>
      </c>
      <c r="K137" s="377">
        <f t="shared" si="43"/>
        <v>8370000.0000000009</v>
      </c>
      <c r="L137" s="381" t="str">
        <f>VLOOKUP(B137,'[1]Gui chi Quynh'!$B$7:$F$397,5,FALSE)</f>
        <v>A4</v>
      </c>
      <c r="M137" s="515">
        <f t="shared" si="32"/>
        <v>8370000.0000000009</v>
      </c>
      <c r="N137" s="391">
        <v>21</v>
      </c>
      <c r="O137" s="459">
        <f>IFERROR(INDEX('[2]CN BC'!$J$10:$J$276,MATCH(B137,'[2]CN BC'!$H$10:$H$276,0)),"")</f>
        <v>21</v>
      </c>
      <c r="P137" s="515">
        <f t="shared" si="33"/>
        <v>8370000.0000000009</v>
      </c>
      <c r="Q137" s="480"/>
      <c r="R137" s="377">
        <f t="shared" si="45"/>
        <v>0</v>
      </c>
      <c r="S137" s="385"/>
      <c r="T137" s="377">
        <f t="shared" si="34"/>
        <v>0</v>
      </c>
      <c r="U137" s="377">
        <f t="shared" si="35"/>
        <v>83700</v>
      </c>
      <c r="V137" s="386">
        <f t="shared" si="44"/>
        <v>8453700</v>
      </c>
      <c r="W137" s="487">
        <v>23</v>
      </c>
      <c r="X137" s="606">
        <f t="shared" si="31"/>
        <v>126</v>
      </c>
      <c r="Y137" s="514">
        <f>IFERROR(INDEX('[2]CN BC'!$M$10:$M$276,MATCH(B137,'[2]CN BC'!$H$10:$H$276,0)),"")</f>
        <v>0</v>
      </c>
      <c r="Z137" s="550" t="s">
        <v>1142</v>
      </c>
      <c r="AA137" s="113"/>
      <c r="AB137" s="114"/>
      <c r="AC137" s="161"/>
    </row>
    <row r="138" spans="1:39" s="387" customFormat="1" ht="31.5" customHeight="1">
      <c r="A138" s="394">
        <f>_xlfn.AGGREGATE(4,7,A$11:A137)+1</f>
        <v>127</v>
      </c>
      <c r="B138" s="378" t="s">
        <v>1874</v>
      </c>
      <c r="C138" s="379" t="s">
        <v>986</v>
      </c>
      <c r="D138" s="452" t="s">
        <v>1717</v>
      </c>
      <c r="E138" s="441" t="s">
        <v>1331</v>
      </c>
      <c r="F138" s="381">
        <v>4.6500000000000004</v>
      </c>
      <c r="G138" s="382"/>
      <c r="H138" s="383">
        <f t="shared" si="41"/>
        <v>4.6500000000000004</v>
      </c>
      <c r="I138" s="383"/>
      <c r="J138" s="384">
        <f t="shared" si="42"/>
        <v>4.6500000000000004</v>
      </c>
      <c r="K138" s="377">
        <f t="shared" si="43"/>
        <v>8370000.0000000009</v>
      </c>
      <c r="L138" s="381" t="str">
        <f>VLOOKUP(B138,'[1]Gui chi Quynh'!$B$7:$F$397,5,FALSE)</f>
        <v>A4</v>
      </c>
      <c r="M138" s="515">
        <f t="shared" si="32"/>
        <v>8370000.0000000009</v>
      </c>
      <c r="N138" s="391">
        <v>21</v>
      </c>
      <c r="O138" s="459">
        <f>IFERROR(INDEX('[2]CN BC'!$J$10:$J$276,MATCH(B138,'[2]CN BC'!$H$10:$H$276,0)),"")</f>
        <v>21</v>
      </c>
      <c r="P138" s="515">
        <f t="shared" si="33"/>
        <v>8370000.0000000009</v>
      </c>
      <c r="Q138" s="480"/>
      <c r="R138" s="377">
        <f t="shared" si="45"/>
        <v>0</v>
      </c>
      <c r="S138" s="385"/>
      <c r="T138" s="377">
        <f t="shared" si="34"/>
        <v>0</v>
      </c>
      <c r="U138" s="377">
        <f t="shared" si="35"/>
        <v>83700</v>
      </c>
      <c r="V138" s="386">
        <f t="shared" si="44"/>
        <v>8453700</v>
      </c>
      <c r="W138" s="487">
        <v>23</v>
      </c>
      <c r="X138" s="606">
        <f t="shared" si="31"/>
        <v>127</v>
      </c>
      <c r="Y138" s="514">
        <f>IFERROR(INDEX('[2]CN BC'!$M$10:$M$276,MATCH(B138,'[2]CN BC'!$H$10:$H$276,0)),"")</f>
        <v>0</v>
      </c>
      <c r="Z138" s="550" t="s">
        <v>1143</v>
      </c>
      <c r="AA138" s="113"/>
      <c r="AB138" s="114"/>
      <c r="AC138" s="161"/>
      <c r="AD138" s="114"/>
      <c r="AE138" s="114"/>
      <c r="AF138" s="114"/>
      <c r="AG138" s="114"/>
      <c r="AH138" s="114"/>
      <c r="AI138" s="114"/>
    </row>
    <row r="139" spans="1:39" s="387" customFormat="1" ht="31.5" customHeight="1">
      <c r="A139" s="394">
        <f>_xlfn.AGGREGATE(4,7,A$11:A138)+1</f>
        <v>128</v>
      </c>
      <c r="B139" s="378" t="s">
        <v>1875</v>
      </c>
      <c r="C139" s="379" t="s">
        <v>987</v>
      </c>
      <c r="D139" s="452" t="s">
        <v>1718</v>
      </c>
      <c r="E139" s="441" t="s">
        <v>1332</v>
      </c>
      <c r="F139" s="381">
        <v>4.6500000000000004</v>
      </c>
      <c r="G139" s="382"/>
      <c r="H139" s="383">
        <f t="shared" si="41"/>
        <v>4.6500000000000004</v>
      </c>
      <c r="I139" s="383"/>
      <c r="J139" s="384">
        <f t="shared" si="42"/>
        <v>4.6500000000000004</v>
      </c>
      <c r="K139" s="377">
        <f t="shared" si="43"/>
        <v>8370000.0000000009</v>
      </c>
      <c r="L139" s="381" t="str">
        <f>VLOOKUP(B139,'[1]Gui chi Quynh'!$B$7:$F$397,5,FALSE)</f>
        <v>A4</v>
      </c>
      <c r="M139" s="515">
        <f t="shared" si="32"/>
        <v>8370000.0000000009</v>
      </c>
      <c r="N139" s="391">
        <v>21</v>
      </c>
      <c r="O139" s="459">
        <f>IFERROR(INDEX('[2]CN BC'!$J$10:$J$276,MATCH(B139,'[2]CN BC'!$H$10:$H$276,0)),"")</f>
        <v>21</v>
      </c>
      <c r="P139" s="515">
        <f t="shared" si="33"/>
        <v>8370000.0000000009</v>
      </c>
      <c r="Q139" s="480"/>
      <c r="R139" s="377">
        <f t="shared" si="45"/>
        <v>0</v>
      </c>
      <c r="S139" s="385"/>
      <c r="T139" s="377">
        <f t="shared" si="34"/>
        <v>0</v>
      </c>
      <c r="U139" s="377">
        <f t="shared" ref="U139:U198" si="46">IF(OR(L139="A DN",L139="KXL", L139=""),"0",ROUND(J139*0.01*$G$8+Q139*1%*$G$8+S139*1%*$G$8,))</f>
        <v>83700</v>
      </c>
      <c r="V139" s="386">
        <f t="shared" si="44"/>
        <v>8453700</v>
      </c>
      <c r="W139" s="487">
        <v>23</v>
      </c>
      <c r="X139" s="606">
        <f t="shared" si="31"/>
        <v>128</v>
      </c>
      <c r="Y139" s="514">
        <f>IFERROR(INDEX('[2]CN BC'!$M$10:$M$276,MATCH(B139,'[2]CN BC'!$H$10:$H$276,0)),"")</f>
        <v>0</v>
      </c>
      <c r="Z139" s="550" t="s">
        <v>1144</v>
      </c>
      <c r="AA139" s="113"/>
      <c r="AB139" s="114"/>
      <c r="AC139" s="161"/>
    </row>
    <row r="140" spans="1:39" s="387" customFormat="1" ht="31.5" customHeight="1">
      <c r="A140" s="394">
        <f>_xlfn.AGGREGATE(4,7,A$11:A139)+1</f>
        <v>129</v>
      </c>
      <c r="B140" s="378" t="s">
        <v>1494</v>
      </c>
      <c r="C140" s="379" t="s">
        <v>967</v>
      </c>
      <c r="D140" s="452" t="s">
        <v>1719</v>
      </c>
      <c r="E140" s="441" t="s">
        <v>1333</v>
      </c>
      <c r="F140" s="388">
        <v>3.99</v>
      </c>
      <c r="G140" s="382"/>
      <c r="H140" s="383">
        <f t="shared" si="41"/>
        <v>3.99</v>
      </c>
      <c r="I140" s="383"/>
      <c r="J140" s="384">
        <f t="shared" si="42"/>
        <v>3.99</v>
      </c>
      <c r="K140" s="377">
        <f t="shared" si="43"/>
        <v>7182000</v>
      </c>
      <c r="L140" s="381" t="str">
        <f>VLOOKUP(B140,'[1]Gui chi Quynh'!$B$7:$F$397,5,FALSE)</f>
        <v>A4</v>
      </c>
      <c r="M140" s="515">
        <f t="shared" si="32"/>
        <v>7182000</v>
      </c>
      <c r="N140" s="391">
        <v>21</v>
      </c>
      <c r="O140" s="459">
        <f>IFERROR(INDEX('[2]CN BC'!$J$10:$J$276,MATCH(B140,'[2]CN BC'!$H$10:$H$276,0)),"")</f>
        <v>21</v>
      </c>
      <c r="P140" s="515">
        <f t="shared" si="33"/>
        <v>7182000</v>
      </c>
      <c r="Q140" s="480"/>
      <c r="R140" s="377">
        <f t="shared" si="45"/>
        <v>0</v>
      </c>
      <c r="S140" s="385"/>
      <c r="T140" s="377">
        <f t="shared" si="34"/>
        <v>0</v>
      </c>
      <c r="U140" s="377">
        <f t="shared" si="46"/>
        <v>71820</v>
      </c>
      <c r="V140" s="386">
        <f t="shared" si="44"/>
        <v>7253820</v>
      </c>
      <c r="W140" s="487">
        <v>23</v>
      </c>
      <c r="X140" s="606">
        <f t="shared" ref="X140:X200" si="47">A140</f>
        <v>129</v>
      </c>
      <c r="Y140" s="514">
        <f>IFERROR(INDEX('[2]CN BC'!$M$10:$M$276,MATCH(B140,'[2]CN BC'!$H$10:$H$276,0)),"")</f>
        <v>0</v>
      </c>
      <c r="Z140" s="550" t="s">
        <v>1145</v>
      </c>
      <c r="AA140" s="113"/>
      <c r="AB140" s="114"/>
      <c r="AC140" s="161"/>
      <c r="AD140" s="114"/>
      <c r="AE140" s="114"/>
      <c r="AF140" s="114"/>
      <c r="AG140" s="114"/>
      <c r="AH140" s="114"/>
      <c r="AI140" s="114"/>
    </row>
    <row r="141" spans="1:39" s="387" customFormat="1" ht="31.5" customHeight="1">
      <c r="A141" s="394">
        <f>_xlfn.AGGREGATE(4,7,A$11:A140)+1</f>
        <v>130</v>
      </c>
      <c r="B141" s="378" t="s">
        <v>1495</v>
      </c>
      <c r="C141" s="379" t="s">
        <v>1200</v>
      </c>
      <c r="D141" s="452" t="s">
        <v>1720</v>
      </c>
      <c r="E141" s="441" t="s">
        <v>1335</v>
      </c>
      <c r="F141" s="381">
        <v>4.9800000000000004</v>
      </c>
      <c r="G141" s="382"/>
      <c r="H141" s="383">
        <f t="shared" si="41"/>
        <v>4.9800000000000004</v>
      </c>
      <c r="I141" s="383"/>
      <c r="J141" s="384">
        <f t="shared" si="42"/>
        <v>4.9800000000000004</v>
      </c>
      <c r="K141" s="377">
        <f t="shared" si="43"/>
        <v>8964000</v>
      </c>
      <c r="L141" s="381" t="str">
        <f>VLOOKUP(B141,'[1]Gui chi Quynh'!$B$7:$F$397,5,FALSE)</f>
        <v>A4</v>
      </c>
      <c r="M141" s="515">
        <f t="shared" si="32"/>
        <v>8964000</v>
      </c>
      <c r="N141" s="391">
        <v>21</v>
      </c>
      <c r="O141" s="459">
        <f>IFERROR(INDEX('[2]CN BC'!$J$10:$J$276,MATCH(B141,'[2]CN BC'!$H$10:$H$276,0)),"")</f>
        <v>21</v>
      </c>
      <c r="P141" s="515">
        <f t="shared" si="33"/>
        <v>8964000</v>
      </c>
      <c r="Q141" s="480"/>
      <c r="R141" s="377">
        <f t="shared" si="45"/>
        <v>0</v>
      </c>
      <c r="S141" s="385"/>
      <c r="T141" s="377">
        <f t="shared" si="34"/>
        <v>0</v>
      </c>
      <c r="U141" s="377">
        <f t="shared" si="46"/>
        <v>89640</v>
      </c>
      <c r="V141" s="386">
        <f t="shared" si="44"/>
        <v>9053640</v>
      </c>
      <c r="W141" s="459">
        <v>23</v>
      </c>
      <c r="X141" s="606">
        <f t="shared" si="47"/>
        <v>130</v>
      </c>
      <c r="Y141" s="514">
        <f>IFERROR(INDEX('[2]CN BC'!$M$10:$M$276,MATCH(B141,'[2]CN BC'!$H$10:$H$276,0)),"")</f>
        <v>0</v>
      </c>
      <c r="Z141" s="550" t="s">
        <v>1146</v>
      </c>
      <c r="AA141" s="113"/>
      <c r="AB141" s="114"/>
      <c r="AC141" s="161"/>
      <c r="AD141" s="114"/>
      <c r="AE141" s="114"/>
      <c r="AF141" s="114"/>
      <c r="AG141" s="114"/>
      <c r="AH141" s="114"/>
      <c r="AI141" s="114"/>
    </row>
    <row r="142" spans="1:39" s="387" customFormat="1" ht="31.5" customHeight="1">
      <c r="A142" s="394">
        <f>_xlfn.AGGREGATE(4,7,A$11:A141)+1</f>
        <v>131</v>
      </c>
      <c r="B142" s="378" t="s">
        <v>1876</v>
      </c>
      <c r="C142" s="379" t="s">
        <v>448</v>
      </c>
      <c r="D142" s="452" t="s">
        <v>1721</v>
      </c>
      <c r="E142" s="441" t="s">
        <v>504</v>
      </c>
      <c r="F142" s="388">
        <v>3.99</v>
      </c>
      <c r="G142" s="382"/>
      <c r="H142" s="383">
        <f t="shared" si="41"/>
        <v>3.99</v>
      </c>
      <c r="I142" s="383"/>
      <c r="J142" s="384">
        <f t="shared" si="42"/>
        <v>3.99</v>
      </c>
      <c r="K142" s="377">
        <f t="shared" si="43"/>
        <v>7182000</v>
      </c>
      <c r="L142" s="381" t="str">
        <f>VLOOKUP(B142,'[1]Gui chi Quynh'!$B$7:$F$397,5,FALSE)</f>
        <v>A3</v>
      </c>
      <c r="M142" s="515">
        <f t="shared" ref="M142:M152" si="48">IF(L142="A1",K142*1.6,IF(L142="A2",K142*1.4,IF(L142="A3",K142*1.2,IF(L142="A4",K142*1,IF(L142="B1",K142*0.7,IF(L142="B2",K142*0.5,IF(L142="C1",K142*0.3,IF(L142="C2",K142*0.2,0))))))))</f>
        <v>8618400</v>
      </c>
      <c r="N142" s="391">
        <v>21</v>
      </c>
      <c r="O142" s="459">
        <f>IFERROR(INDEX('[2]CN BC'!$J$10:$J$276,MATCH(B142,'[2]CN BC'!$H$10:$H$276,0)),"")</f>
        <v>21</v>
      </c>
      <c r="P142" s="515">
        <f>IF(O142&gt;=N142,M142,M142/N142*O142)</f>
        <v>8618400</v>
      </c>
      <c r="Q142" s="480"/>
      <c r="R142" s="377">
        <f t="shared" si="45"/>
        <v>0</v>
      </c>
      <c r="S142" s="385"/>
      <c r="T142" s="377">
        <f>S142*$G$8*1</f>
        <v>0</v>
      </c>
      <c r="U142" s="377">
        <f t="shared" si="46"/>
        <v>71820</v>
      </c>
      <c r="V142" s="386">
        <f t="shared" si="44"/>
        <v>8690220</v>
      </c>
      <c r="W142" s="459">
        <v>23</v>
      </c>
      <c r="X142" s="606">
        <f t="shared" si="47"/>
        <v>131</v>
      </c>
      <c r="Y142" s="514">
        <f>IFERROR(INDEX('[2]CN BC'!$M$10:$M$276,MATCH(B142,'[2]CN BC'!$H$10:$H$276,0)),"")</f>
        <v>0</v>
      </c>
      <c r="Z142" s="550" t="s">
        <v>1147</v>
      </c>
      <c r="AA142" s="113"/>
      <c r="AB142" s="114"/>
      <c r="AC142" s="161"/>
      <c r="AD142" s="114"/>
      <c r="AE142" s="114"/>
      <c r="AF142" s="114"/>
      <c r="AG142" s="114"/>
      <c r="AH142" s="114"/>
      <c r="AI142" s="114"/>
    </row>
    <row r="143" spans="1:39" s="387" customFormat="1" ht="31.5" customHeight="1">
      <c r="A143" s="394">
        <f>_xlfn.AGGREGATE(4,7,A$11:A142)+1</f>
        <v>132</v>
      </c>
      <c r="B143" s="378" t="s">
        <v>1496</v>
      </c>
      <c r="C143" s="379" t="s">
        <v>883</v>
      </c>
      <c r="D143" s="452" t="s">
        <v>1722</v>
      </c>
      <c r="E143" s="440" t="s">
        <v>1589</v>
      </c>
      <c r="F143" s="388">
        <v>3.33</v>
      </c>
      <c r="G143" s="382"/>
      <c r="H143" s="465">
        <f t="shared" si="41"/>
        <v>3.33</v>
      </c>
      <c r="I143" s="383">
        <v>0.45</v>
      </c>
      <c r="J143" s="384">
        <f t="shared" si="42"/>
        <v>3.7800000000000002</v>
      </c>
      <c r="K143" s="377">
        <f t="shared" si="43"/>
        <v>6804000</v>
      </c>
      <c r="L143" s="381" t="str">
        <f>VLOOKUP(B143,'[1]Gui chi Quynh'!$B$7:$F$397,5,FALSE)</f>
        <v>A4</v>
      </c>
      <c r="M143" s="515">
        <f t="shared" si="48"/>
        <v>6804000</v>
      </c>
      <c r="N143" s="391">
        <v>21</v>
      </c>
      <c r="O143" s="459">
        <f>IFERROR(INDEX('[2]CN BC'!$J$10:$J$276,MATCH(B143,'[2]CN BC'!$H$10:$H$276,0)),"")</f>
        <v>21</v>
      </c>
      <c r="P143" s="515">
        <f>IF(O143&gt;=N143,M143,M143/N143*O143)</f>
        <v>6804000</v>
      </c>
      <c r="Q143" s="409"/>
      <c r="R143" s="377">
        <f t="shared" si="45"/>
        <v>0</v>
      </c>
      <c r="S143" s="385"/>
      <c r="T143" s="377">
        <f>S143*$G$8*1</f>
        <v>0</v>
      </c>
      <c r="U143" s="377">
        <f t="shared" si="46"/>
        <v>68040</v>
      </c>
      <c r="V143" s="386">
        <f t="shared" si="44"/>
        <v>6872040</v>
      </c>
      <c r="W143" s="459">
        <v>26</v>
      </c>
      <c r="X143" s="606">
        <f t="shared" si="47"/>
        <v>132</v>
      </c>
      <c r="Y143" s="514">
        <f>IFERROR(INDEX('[2]CN BC'!$M$10:$M$276,MATCH(B143,'[2]CN BC'!$H$10:$H$276,0)),"")</f>
        <v>0</v>
      </c>
      <c r="Z143" s="550" t="s">
        <v>1148</v>
      </c>
      <c r="AA143" s="113"/>
      <c r="AB143" s="114"/>
      <c r="AC143" s="161"/>
      <c r="AD143" s="114"/>
      <c r="AE143" s="114"/>
      <c r="AF143" s="114"/>
      <c r="AG143" s="114"/>
      <c r="AH143" s="114"/>
      <c r="AI143" s="114"/>
    </row>
    <row r="144" spans="1:39" s="387" customFormat="1" ht="31.5" customHeight="1">
      <c r="A144" s="394">
        <f>_xlfn.AGGREGATE(4,7,A$11:A143)+1</f>
        <v>133</v>
      </c>
      <c r="B144" s="378" t="s">
        <v>1497</v>
      </c>
      <c r="C144" s="379" t="s">
        <v>1078</v>
      </c>
      <c r="D144" s="452" t="s">
        <v>1723</v>
      </c>
      <c r="E144" s="440" t="s">
        <v>1590</v>
      </c>
      <c r="F144" s="388">
        <v>3</v>
      </c>
      <c r="G144" s="382"/>
      <c r="H144" s="465">
        <f t="shared" si="41"/>
        <v>3</v>
      </c>
      <c r="I144" s="383"/>
      <c r="J144" s="384">
        <f t="shared" si="42"/>
        <v>3</v>
      </c>
      <c r="K144" s="377">
        <f t="shared" si="43"/>
        <v>5400000</v>
      </c>
      <c r="L144" s="381" t="str">
        <f>VLOOKUP(B144,'[1]Gui chi Quynh'!$B$7:$F$397,5,FALSE)</f>
        <v>A3</v>
      </c>
      <c r="M144" s="515">
        <f t="shared" si="48"/>
        <v>6480000</v>
      </c>
      <c r="N144" s="391">
        <v>21</v>
      </c>
      <c r="O144" s="459">
        <f>IFERROR(INDEX('[2]CN BC'!$J$10:$J$276,MATCH(B144,'[2]CN BC'!$H$10:$H$276,0)),"")</f>
        <v>21</v>
      </c>
      <c r="P144" s="515">
        <f t="shared" ref="P144:P207" si="49">IF(O144&gt;=N144,M144,M144/N144*O144)</f>
        <v>6480000</v>
      </c>
      <c r="Q144" s="480"/>
      <c r="R144" s="377">
        <f t="shared" si="45"/>
        <v>0</v>
      </c>
      <c r="S144" s="385"/>
      <c r="T144" s="377">
        <f>S144*$G$8*1</f>
        <v>0</v>
      </c>
      <c r="U144" s="377">
        <f t="shared" si="46"/>
        <v>54000</v>
      </c>
      <c r="V144" s="386">
        <f t="shared" si="44"/>
        <v>6534000</v>
      </c>
      <c r="W144" s="459">
        <v>23</v>
      </c>
      <c r="X144" s="606">
        <f t="shared" si="47"/>
        <v>133</v>
      </c>
      <c r="Y144" s="514">
        <f>IFERROR(INDEX('[2]CN BC'!$M$10:$M$276,MATCH(B144,'[2]CN BC'!$H$10:$H$276,0)),"")</f>
        <v>0</v>
      </c>
      <c r="Z144" s="550" t="s">
        <v>1149</v>
      </c>
      <c r="AA144" s="113"/>
      <c r="AB144" s="114"/>
      <c r="AC144" s="161"/>
      <c r="AD144" s="114"/>
      <c r="AE144" s="114"/>
      <c r="AF144" s="114"/>
      <c r="AG144" s="114"/>
      <c r="AH144" s="114"/>
      <c r="AI144" s="114"/>
    </row>
    <row r="145" spans="1:39" s="387" customFormat="1" ht="31.5" customHeight="1">
      <c r="A145" s="394">
        <f>_xlfn.AGGREGATE(4,7,A$11:A144)+1</f>
        <v>134</v>
      </c>
      <c r="B145" s="378" t="s">
        <v>1929</v>
      </c>
      <c r="C145" s="379"/>
      <c r="D145" s="452" t="s">
        <v>1964</v>
      </c>
      <c r="E145" s="501" t="s">
        <v>1932</v>
      </c>
      <c r="F145" s="381">
        <v>2.34</v>
      </c>
      <c r="G145" s="382"/>
      <c r="H145" s="383">
        <f t="shared" si="41"/>
        <v>2.34</v>
      </c>
      <c r="I145" s="383"/>
      <c r="J145" s="384">
        <f t="shared" si="42"/>
        <v>2.34</v>
      </c>
      <c r="K145" s="377">
        <f t="shared" si="43"/>
        <v>4212000</v>
      </c>
      <c r="L145" s="381" t="str">
        <f>VLOOKUP(B145,'[1]Gui chi Quynh'!$B$7:$F$397,5,FALSE)</f>
        <v>A4</v>
      </c>
      <c r="M145" s="515">
        <f t="shared" si="48"/>
        <v>4212000</v>
      </c>
      <c r="N145" s="391">
        <v>21</v>
      </c>
      <c r="O145" s="459">
        <f>IFERROR(INDEX('[2]CN BC'!$J$10:$J$276,MATCH(B145,'[2]CN BC'!$H$10:$H$276,0)),"")</f>
        <v>21</v>
      </c>
      <c r="P145" s="515">
        <f t="shared" si="49"/>
        <v>4212000</v>
      </c>
      <c r="Q145" s="480"/>
      <c r="R145" s="377">
        <f t="shared" si="45"/>
        <v>0</v>
      </c>
      <c r="S145" s="385"/>
      <c r="T145" s="377">
        <f>S145*$G$8*1</f>
        <v>0</v>
      </c>
      <c r="U145" s="377">
        <f t="shared" si="46"/>
        <v>42120</v>
      </c>
      <c r="V145" s="386">
        <f t="shared" si="44"/>
        <v>4254120</v>
      </c>
      <c r="W145" s="459">
        <v>23</v>
      </c>
      <c r="X145" s="606">
        <f t="shared" si="47"/>
        <v>134</v>
      </c>
      <c r="Y145" s="514">
        <f>IFERROR(INDEX('[2]CN BC'!$M$10:$M$276,MATCH(B145,'[2]CN BC'!$H$10:$H$276,0)),"")</f>
        <v>0</v>
      </c>
      <c r="Z145" s="550" t="s">
        <v>1150</v>
      </c>
      <c r="AA145" s="113"/>
      <c r="AB145" s="114"/>
      <c r="AC145" s="161"/>
      <c r="AD145" s="114"/>
      <c r="AE145" s="114"/>
      <c r="AF145" s="114"/>
      <c r="AG145" s="114"/>
      <c r="AH145" s="114"/>
      <c r="AI145" s="114"/>
    </row>
    <row r="146" spans="1:39" s="387" customFormat="1" ht="31.5" customHeight="1">
      <c r="A146" s="394">
        <f>_xlfn.AGGREGATE(4,7,A$11:A145)+1</f>
        <v>135</v>
      </c>
      <c r="B146" s="378" t="s">
        <v>1498</v>
      </c>
      <c r="C146" s="379" t="s">
        <v>958</v>
      </c>
      <c r="D146" s="452" t="s">
        <v>1724</v>
      </c>
      <c r="E146" s="440" t="s">
        <v>1591</v>
      </c>
      <c r="F146" s="388">
        <v>3</v>
      </c>
      <c r="G146" s="382"/>
      <c r="H146" s="465">
        <f t="shared" si="41"/>
        <v>3</v>
      </c>
      <c r="I146" s="383"/>
      <c r="J146" s="384">
        <f t="shared" si="42"/>
        <v>3</v>
      </c>
      <c r="K146" s="377">
        <f t="shared" si="43"/>
        <v>5400000</v>
      </c>
      <c r="L146" s="381" t="str">
        <f>VLOOKUP(B146,'[1]Gui chi Quynh'!$B$7:$F$397,5,FALSE)</f>
        <v>A4</v>
      </c>
      <c r="M146" s="515">
        <f t="shared" si="48"/>
        <v>5400000</v>
      </c>
      <c r="N146" s="391">
        <v>21</v>
      </c>
      <c r="O146" s="459">
        <f>IFERROR(INDEX('[2]CN BC'!$J$10:$J$276,MATCH(B146,'[2]CN BC'!$H$10:$H$276,0)),"")</f>
        <v>21</v>
      </c>
      <c r="P146" s="515">
        <f t="shared" si="49"/>
        <v>5400000</v>
      </c>
      <c r="Q146" s="480"/>
      <c r="R146" s="377">
        <f t="shared" si="45"/>
        <v>0</v>
      </c>
      <c r="S146" s="385"/>
      <c r="T146" s="377">
        <f t="shared" ref="T146:T209" si="50">S146*$G$8*1</f>
        <v>0</v>
      </c>
      <c r="U146" s="377">
        <f t="shared" si="46"/>
        <v>54000</v>
      </c>
      <c r="V146" s="386">
        <f t="shared" si="44"/>
        <v>5454000</v>
      </c>
      <c r="W146" s="487">
        <v>23</v>
      </c>
      <c r="X146" s="606">
        <f t="shared" si="47"/>
        <v>135</v>
      </c>
      <c r="Y146" s="514">
        <f>IFERROR(INDEX('[2]CN BC'!$M$10:$M$276,MATCH(B146,'[2]CN BC'!$H$10:$H$276,0)),"")</f>
        <v>0</v>
      </c>
      <c r="Z146" s="550" t="s">
        <v>1151</v>
      </c>
      <c r="AA146" s="113"/>
      <c r="AB146" s="114"/>
      <c r="AC146" s="508"/>
    </row>
    <row r="147" spans="1:39" s="387" customFormat="1" ht="30.75" customHeight="1">
      <c r="A147" s="394">
        <f>_xlfn.AGGREGATE(4,7,A$11:A146)+1</f>
        <v>136</v>
      </c>
      <c r="B147" s="378" t="s">
        <v>1925</v>
      </c>
      <c r="C147" s="379"/>
      <c r="D147" s="452" t="s">
        <v>1965</v>
      </c>
      <c r="E147" s="541" t="s">
        <v>1930</v>
      </c>
      <c r="F147" s="381">
        <v>2.34</v>
      </c>
      <c r="G147" s="382"/>
      <c r="H147" s="383">
        <f t="shared" si="41"/>
        <v>2.34</v>
      </c>
      <c r="I147" s="383"/>
      <c r="J147" s="384">
        <f t="shared" si="42"/>
        <v>2.34</v>
      </c>
      <c r="K147" s="377">
        <f t="shared" si="43"/>
        <v>4212000</v>
      </c>
      <c r="L147" s="381" t="str">
        <f>VLOOKUP(B147,'[1]Gui chi Quynh'!$B$7:$F$397,5,FALSE)</f>
        <v>A4</v>
      </c>
      <c r="M147" s="515">
        <f t="shared" si="48"/>
        <v>4212000</v>
      </c>
      <c r="N147" s="391">
        <v>21</v>
      </c>
      <c r="O147" s="459">
        <f>IFERROR(INDEX('[2]CN BC'!$J$10:$J$276,MATCH(B147,'[2]CN BC'!$H$10:$H$276,0)),"")</f>
        <v>21</v>
      </c>
      <c r="P147" s="515">
        <f t="shared" si="49"/>
        <v>4212000</v>
      </c>
      <c r="Q147" s="480"/>
      <c r="R147" s="377">
        <f t="shared" si="45"/>
        <v>0</v>
      </c>
      <c r="S147" s="385"/>
      <c r="T147" s="377">
        <f t="shared" si="50"/>
        <v>0</v>
      </c>
      <c r="U147" s="377">
        <f t="shared" si="46"/>
        <v>42120</v>
      </c>
      <c r="V147" s="386">
        <f t="shared" si="44"/>
        <v>4254120</v>
      </c>
      <c r="W147" s="487">
        <v>23</v>
      </c>
      <c r="X147" s="606">
        <f t="shared" si="47"/>
        <v>136</v>
      </c>
      <c r="Y147" s="514">
        <f>IFERROR(INDEX('[2]CN BC'!$M$10:$M$276,MATCH(B147,'[2]CN BC'!$H$10:$H$276,0)),"")</f>
        <v>0</v>
      </c>
      <c r="Z147" s="550" t="s">
        <v>1152</v>
      </c>
      <c r="AA147" s="113"/>
      <c r="AB147" s="114"/>
      <c r="AC147" s="508"/>
    </row>
    <row r="148" spans="1:39" s="387" customFormat="1" ht="30.75" customHeight="1">
      <c r="A148" s="394">
        <f>_xlfn.AGGREGATE(4,7,A$11:A147)+1</f>
        <v>137</v>
      </c>
      <c r="B148" s="378" t="s">
        <v>2018</v>
      </c>
      <c r="C148" s="379"/>
      <c r="D148" s="452"/>
      <c r="E148" s="541"/>
      <c r="F148" s="381">
        <v>1.9890000000000001</v>
      </c>
      <c r="G148" s="382"/>
      <c r="H148" s="383">
        <f t="shared" si="41"/>
        <v>1.9890000000000001</v>
      </c>
      <c r="I148" s="383"/>
      <c r="J148" s="384">
        <f t="shared" si="42"/>
        <v>1.9890000000000001</v>
      </c>
      <c r="K148" s="377">
        <f t="shared" si="43"/>
        <v>3580200</v>
      </c>
      <c r="L148" s="381" t="str">
        <f>VLOOKUP(B148,'[1]Gui chi Quynh'!$B$7:$F$397,5,FALSE)</f>
        <v>A4</v>
      </c>
      <c r="M148" s="515">
        <f t="shared" si="48"/>
        <v>3580200</v>
      </c>
      <c r="N148" s="391">
        <v>21</v>
      </c>
      <c r="O148" s="459">
        <f>IFERROR(INDEX('[2]CN BC'!$J$10:$J$276,MATCH(B148,'[2]CN BC'!$H$10:$H$276,0)),"")</f>
        <v>21</v>
      </c>
      <c r="P148" s="515">
        <f t="shared" si="49"/>
        <v>3580200</v>
      </c>
      <c r="Q148" s="480"/>
      <c r="R148" s="377">
        <f t="shared" si="45"/>
        <v>0</v>
      </c>
      <c r="S148" s="385"/>
      <c r="T148" s="377">
        <f t="shared" si="50"/>
        <v>0</v>
      </c>
      <c r="U148" s="377">
        <f t="shared" si="46"/>
        <v>35802</v>
      </c>
      <c r="V148" s="386">
        <f t="shared" si="44"/>
        <v>3616002</v>
      </c>
      <c r="W148" s="487"/>
      <c r="X148" s="606">
        <f t="shared" si="47"/>
        <v>137</v>
      </c>
      <c r="Y148" s="514">
        <f>IFERROR(INDEX('[2]CN BC'!$M$10:$M$276,MATCH(B148,'[2]CN BC'!$H$10:$H$276,0)),"")</f>
        <v>0</v>
      </c>
      <c r="Z148" s="572"/>
      <c r="AA148" s="568"/>
      <c r="AC148" s="508"/>
    </row>
    <row r="149" spans="1:39" s="387" customFormat="1" ht="30.75" customHeight="1">
      <c r="A149" s="394">
        <f>_xlfn.AGGREGATE(4,7,A$11:A148)+1</f>
        <v>138</v>
      </c>
      <c r="B149" s="598" t="s">
        <v>2006</v>
      </c>
      <c r="C149" s="585"/>
      <c r="D149" s="599"/>
      <c r="E149" s="600"/>
      <c r="F149" s="590">
        <v>1.9890000000000001</v>
      </c>
      <c r="G149" s="586"/>
      <c r="H149" s="587">
        <f t="shared" si="41"/>
        <v>1.9890000000000001</v>
      </c>
      <c r="I149" s="587"/>
      <c r="J149" s="588">
        <f t="shared" si="42"/>
        <v>1.9890000000000001</v>
      </c>
      <c r="K149" s="589">
        <f t="shared" si="43"/>
        <v>3580200</v>
      </c>
      <c r="L149" s="590" t="str">
        <f>VLOOKUP(B149,'[1]Gui chi Quynh'!$B$7:$F$397,5,FALSE)</f>
        <v>KXL</v>
      </c>
      <c r="M149" s="591">
        <f t="shared" si="48"/>
        <v>0</v>
      </c>
      <c r="N149" s="592">
        <v>21</v>
      </c>
      <c r="O149" s="593">
        <f>IFERROR(INDEX('[2]CN BC'!$J$10:$J$276,MATCH(B149,'[2]CN BC'!$H$10:$H$276,0)),"")</f>
        <v>0</v>
      </c>
      <c r="P149" s="591">
        <f t="shared" si="49"/>
        <v>0</v>
      </c>
      <c r="Q149" s="594"/>
      <c r="R149" s="589">
        <f t="shared" si="45"/>
        <v>0</v>
      </c>
      <c r="S149" s="595"/>
      <c r="T149" s="589">
        <f t="shared" si="50"/>
        <v>0</v>
      </c>
      <c r="U149" s="589" t="str">
        <f t="shared" si="46"/>
        <v>0</v>
      </c>
      <c r="V149" s="596">
        <f t="shared" si="44"/>
        <v>0</v>
      </c>
      <c r="W149" s="593">
        <v>23</v>
      </c>
      <c r="X149" s="611">
        <f t="shared" si="47"/>
        <v>138</v>
      </c>
      <c r="Y149" s="597" t="str">
        <f>IFERROR(INDEX('[2]CN BC'!$M$10:$M$276,MATCH(B149,'[2]CN BC'!$H$10:$H$276,0)),"")</f>
        <v>Nghỉ không hưởng lương</v>
      </c>
      <c r="Z149" s="572" t="s">
        <v>1153</v>
      </c>
      <c r="AA149" s="568"/>
      <c r="AC149" s="508"/>
    </row>
    <row r="150" spans="1:39" s="387" customFormat="1" ht="30" customHeight="1">
      <c r="A150" s="394">
        <f>_xlfn.AGGREGATE(4,7,A$11:A149)+1</f>
        <v>139</v>
      </c>
      <c r="B150" s="378" t="s">
        <v>1499</v>
      </c>
      <c r="C150" s="555" t="s">
        <v>365</v>
      </c>
      <c r="D150" s="452" t="s">
        <v>1725</v>
      </c>
      <c r="E150" s="441" t="s">
        <v>378</v>
      </c>
      <c r="F150" s="388">
        <v>3.99</v>
      </c>
      <c r="G150" s="556"/>
      <c r="H150" s="383">
        <f t="shared" si="41"/>
        <v>3.99</v>
      </c>
      <c r="I150" s="383">
        <v>0.35</v>
      </c>
      <c r="J150" s="384">
        <f t="shared" si="42"/>
        <v>4.34</v>
      </c>
      <c r="K150" s="377">
        <f t="shared" si="43"/>
        <v>7812000</v>
      </c>
      <c r="L150" s="381" t="str">
        <f>VLOOKUP(B150,'[1]Gui chi Quynh'!$B$7:$F$397,5,FALSE)</f>
        <v>A4</v>
      </c>
      <c r="M150" s="515">
        <f t="shared" si="48"/>
        <v>7812000</v>
      </c>
      <c r="N150" s="391">
        <v>21</v>
      </c>
      <c r="O150" s="459">
        <f>IFERROR(INDEX('[2]CN BC'!$J$10:$J$276,MATCH(B150,'[2]CN BC'!$H$10:$H$276,0)),"")</f>
        <v>21</v>
      </c>
      <c r="P150" s="515">
        <f t="shared" si="49"/>
        <v>7812000</v>
      </c>
      <c r="Q150" s="480"/>
      <c r="R150" s="377">
        <f t="shared" si="45"/>
        <v>0</v>
      </c>
      <c r="S150" s="385"/>
      <c r="T150" s="377">
        <f t="shared" si="50"/>
        <v>0</v>
      </c>
      <c r="U150" s="377">
        <f t="shared" si="46"/>
        <v>78120</v>
      </c>
      <c r="V150" s="386">
        <f t="shared" si="44"/>
        <v>7890120</v>
      </c>
      <c r="W150" s="487">
        <v>23</v>
      </c>
      <c r="X150" s="606">
        <f t="shared" si="47"/>
        <v>139</v>
      </c>
      <c r="Y150" s="514">
        <f>IFERROR(INDEX('[2]CN BC'!$M$10:$M$276,MATCH(B150,'[2]CN BC'!$H$10:$H$276,0)),"")</f>
        <v>0</v>
      </c>
      <c r="Z150" s="550" t="s">
        <v>812</v>
      </c>
      <c r="AA150" s="113"/>
      <c r="AB150" s="114"/>
      <c r="AC150" s="508"/>
    </row>
    <row r="151" spans="1:39" s="114" customFormat="1" ht="28.5" customHeight="1">
      <c r="A151" s="394">
        <f>_xlfn.AGGREGATE(4,7,A$11:A150)+1</f>
        <v>140</v>
      </c>
      <c r="B151" s="37" t="s">
        <v>843</v>
      </c>
      <c r="C151" s="38" t="s">
        <v>865</v>
      </c>
      <c r="D151" s="424" t="s">
        <v>1726</v>
      </c>
      <c r="E151" s="442" t="s">
        <v>1316</v>
      </c>
      <c r="F151" s="88">
        <v>3.99</v>
      </c>
      <c r="G151" s="163"/>
      <c r="H151" s="383">
        <f t="shared" si="41"/>
        <v>3.99</v>
      </c>
      <c r="I151" s="86">
        <v>0.45</v>
      </c>
      <c r="J151" s="384">
        <f t="shared" si="42"/>
        <v>4.4400000000000004</v>
      </c>
      <c r="K151" s="377">
        <f t="shared" si="43"/>
        <v>7992000.0000000009</v>
      </c>
      <c r="L151" s="381" t="str">
        <f>VLOOKUP(B151,'[1]Gui chi Quynh'!$B$7:$F$397,5,FALSE)</f>
        <v>A1</v>
      </c>
      <c r="M151" s="515">
        <f t="shared" si="48"/>
        <v>12787200.000000002</v>
      </c>
      <c r="N151" s="391">
        <v>21</v>
      </c>
      <c r="O151" s="459">
        <f>IFERROR(INDEX('[2]CN BC'!$J$10:$J$276,MATCH(B151,'[2]CN BC'!$H$10:$H$276,0)),"")</f>
        <v>21</v>
      </c>
      <c r="P151" s="515">
        <f t="shared" si="49"/>
        <v>12787200.000000002</v>
      </c>
      <c r="Q151" s="409"/>
      <c r="R151" s="377">
        <f t="shared" si="45"/>
        <v>0</v>
      </c>
      <c r="S151" s="401"/>
      <c r="T151" s="377">
        <f t="shared" si="50"/>
        <v>0</v>
      </c>
      <c r="U151" s="377">
        <f t="shared" si="46"/>
        <v>79920</v>
      </c>
      <c r="V151" s="386">
        <f t="shared" si="44"/>
        <v>12867120.000000002</v>
      </c>
      <c r="W151" s="459">
        <v>23</v>
      </c>
      <c r="X151" s="606">
        <f t="shared" si="47"/>
        <v>140</v>
      </c>
      <c r="Y151" s="514">
        <f>IFERROR(INDEX('[2]CN BC'!$M$10:$M$276,MATCH(B151,'[2]CN BC'!$H$10:$H$276,0)),"")</f>
        <v>0</v>
      </c>
      <c r="Z151" s="550" t="s">
        <v>813</v>
      </c>
      <c r="AA151" s="113"/>
      <c r="AC151" s="161"/>
    </row>
    <row r="152" spans="1:39" s="387" customFormat="1" ht="28.5" customHeight="1">
      <c r="A152" s="394">
        <f>_xlfn.AGGREGATE(4,7,A$11:A151)+1</f>
        <v>141</v>
      </c>
      <c r="B152" s="378" t="s">
        <v>846</v>
      </c>
      <c r="C152" s="379" t="s">
        <v>920</v>
      </c>
      <c r="D152" s="424" t="s">
        <v>1727</v>
      </c>
      <c r="E152" s="441" t="s">
        <v>1317</v>
      </c>
      <c r="F152" s="388">
        <v>3.99</v>
      </c>
      <c r="G152" s="382"/>
      <c r="H152" s="383">
        <f t="shared" si="41"/>
        <v>3.99</v>
      </c>
      <c r="I152" s="383">
        <v>0.25</v>
      </c>
      <c r="J152" s="384">
        <f t="shared" si="42"/>
        <v>4.24</v>
      </c>
      <c r="K152" s="377">
        <f t="shared" si="43"/>
        <v>7632000</v>
      </c>
      <c r="L152" s="381" t="str">
        <f>VLOOKUP(B152,'[1]Gui chi Quynh'!$B$7:$F$397,5,FALSE)</f>
        <v>A3</v>
      </c>
      <c r="M152" s="515">
        <f t="shared" si="48"/>
        <v>9158400</v>
      </c>
      <c r="N152" s="391">
        <v>21</v>
      </c>
      <c r="O152" s="459">
        <f>IFERROR(INDEX('[2]CN BC'!$J$10:$J$276,MATCH(B152,'[2]CN BC'!$H$10:$H$276,0)),"")</f>
        <v>21</v>
      </c>
      <c r="P152" s="515">
        <f t="shared" si="49"/>
        <v>9158400</v>
      </c>
      <c r="Q152" s="409"/>
      <c r="R152" s="377">
        <f t="shared" si="45"/>
        <v>0</v>
      </c>
      <c r="S152" s="385"/>
      <c r="T152" s="377">
        <f t="shared" si="50"/>
        <v>0</v>
      </c>
      <c r="U152" s="377">
        <f t="shared" si="46"/>
        <v>76320</v>
      </c>
      <c r="V152" s="386">
        <f t="shared" si="44"/>
        <v>9234720</v>
      </c>
      <c r="W152" s="459">
        <v>23</v>
      </c>
      <c r="X152" s="606">
        <f t="shared" si="47"/>
        <v>141</v>
      </c>
      <c r="Y152" s="514">
        <f>IFERROR(INDEX('[2]CN BC'!$M$10:$M$276,MATCH(B152,'[2]CN BC'!$H$10:$H$276,0)),"")</f>
        <v>0</v>
      </c>
      <c r="Z152" s="550" t="s">
        <v>814</v>
      </c>
      <c r="AA152" s="113"/>
      <c r="AB152" s="114"/>
      <c r="AC152" s="161"/>
      <c r="AD152" s="114"/>
      <c r="AE152" s="114"/>
      <c r="AF152" s="114"/>
      <c r="AG152" s="114"/>
      <c r="AH152" s="114"/>
      <c r="AI152" s="114"/>
      <c r="AJ152" s="114"/>
      <c r="AK152" s="114"/>
      <c r="AL152" s="114"/>
      <c r="AM152" s="114"/>
    </row>
    <row r="153" spans="1:39" s="387" customFormat="1" ht="33" customHeight="1">
      <c r="A153" s="394">
        <f>_xlfn.AGGREGATE(4,7,A$11:A152)+1</f>
        <v>142</v>
      </c>
      <c r="B153" s="378" t="s">
        <v>1500</v>
      </c>
      <c r="C153" s="379" t="s">
        <v>277</v>
      </c>
      <c r="D153" s="452" t="s">
        <v>1728</v>
      </c>
      <c r="E153" s="441" t="s">
        <v>377</v>
      </c>
      <c r="F153" s="388">
        <v>3.99</v>
      </c>
      <c r="G153" s="382"/>
      <c r="H153" s="383">
        <f t="shared" si="41"/>
        <v>3.99</v>
      </c>
      <c r="I153" s="383"/>
      <c r="J153" s="384">
        <f t="shared" si="42"/>
        <v>3.99</v>
      </c>
      <c r="K153" s="377">
        <f t="shared" si="43"/>
        <v>7182000</v>
      </c>
      <c r="L153" s="381" t="str">
        <f>VLOOKUP(B153,'[1]Gui chi Quynh'!$B$7:$F$397,5,FALSE)</f>
        <v>A3</v>
      </c>
      <c r="M153" s="515">
        <f t="shared" ref="M153:M214" si="51">IF(L153="A1",K153*1.6,IF(L153="A2",K153*1.4,IF(L153="A3",K153*1.2,IF(L153="A4",K153*1,IF(L153="B1",K153*0.7,IF(L153="B2",K153*0.5,IF(L153="C1",K153*0.3,IF(L153="C2",K153*0.2,0))))))))</f>
        <v>8618400</v>
      </c>
      <c r="N153" s="391">
        <v>21</v>
      </c>
      <c r="O153" s="459">
        <f>IFERROR(INDEX('[2]CN BC'!$J$10:$J$276,MATCH(B153,'[2]CN BC'!$H$10:$H$276,0)),"")</f>
        <v>21</v>
      </c>
      <c r="P153" s="515">
        <f t="shared" si="49"/>
        <v>8618400</v>
      </c>
      <c r="Q153" s="480"/>
      <c r="R153" s="377">
        <f t="shared" si="45"/>
        <v>0</v>
      </c>
      <c r="S153" s="385"/>
      <c r="T153" s="377">
        <f t="shared" si="50"/>
        <v>0</v>
      </c>
      <c r="U153" s="377">
        <f t="shared" si="46"/>
        <v>71820</v>
      </c>
      <c r="V153" s="386">
        <f t="shared" si="44"/>
        <v>8690220</v>
      </c>
      <c r="W153" s="487">
        <v>0</v>
      </c>
      <c r="X153" s="606">
        <f t="shared" si="47"/>
        <v>142</v>
      </c>
      <c r="Y153" s="514">
        <f>IFERROR(INDEX('[2]CN BC'!$M$10:$M$276,MATCH(B153,'[2]CN BC'!$H$10:$H$276,0)),"")</f>
        <v>0</v>
      </c>
      <c r="Z153" s="572" t="s">
        <v>815</v>
      </c>
      <c r="AA153" s="568"/>
      <c r="AC153" s="508"/>
    </row>
    <row r="154" spans="1:39" s="387" customFormat="1" ht="30.75" customHeight="1">
      <c r="A154" s="394">
        <f>_xlfn.AGGREGATE(4,7,A$11:A153)+1</f>
        <v>143</v>
      </c>
      <c r="B154" s="378" t="s">
        <v>1877</v>
      </c>
      <c r="C154" s="379" t="s">
        <v>973</v>
      </c>
      <c r="D154" s="452" t="s">
        <v>1729</v>
      </c>
      <c r="E154" s="441" t="s">
        <v>1320</v>
      </c>
      <c r="F154" s="381">
        <v>4.6500000000000004</v>
      </c>
      <c r="G154" s="382"/>
      <c r="H154" s="383">
        <f t="shared" si="41"/>
        <v>4.6500000000000004</v>
      </c>
      <c r="I154" s="383"/>
      <c r="J154" s="384">
        <f t="shared" si="42"/>
        <v>4.6500000000000004</v>
      </c>
      <c r="K154" s="377">
        <f t="shared" si="43"/>
        <v>8370000.0000000009</v>
      </c>
      <c r="L154" s="381" t="str">
        <f>VLOOKUP(B154,'[1]Gui chi Quynh'!$B$7:$F$397,5,FALSE)</f>
        <v>A3</v>
      </c>
      <c r="M154" s="515">
        <f t="shared" si="51"/>
        <v>10044000</v>
      </c>
      <c r="N154" s="391">
        <v>21</v>
      </c>
      <c r="O154" s="459">
        <f>IFERROR(INDEX('[2]CN BC'!$J$10:$J$276,MATCH(B154,'[2]CN BC'!$H$10:$H$276,0)),"")</f>
        <v>21</v>
      </c>
      <c r="P154" s="515">
        <f t="shared" si="49"/>
        <v>10044000</v>
      </c>
      <c r="Q154" s="480"/>
      <c r="R154" s="377">
        <f t="shared" si="45"/>
        <v>0</v>
      </c>
      <c r="S154" s="385"/>
      <c r="T154" s="377">
        <f t="shared" si="50"/>
        <v>0</v>
      </c>
      <c r="U154" s="377">
        <f t="shared" si="46"/>
        <v>83700</v>
      </c>
      <c r="V154" s="386">
        <f t="shared" si="44"/>
        <v>10127700</v>
      </c>
      <c r="W154" s="487">
        <v>23</v>
      </c>
      <c r="X154" s="606">
        <f t="shared" si="47"/>
        <v>143</v>
      </c>
      <c r="Y154" s="514">
        <f>IFERROR(INDEX('[2]CN BC'!$M$10:$M$276,MATCH(B154,'[2]CN BC'!$H$10:$H$276,0)),"")</f>
        <v>0</v>
      </c>
      <c r="Z154" s="572" t="s">
        <v>816</v>
      </c>
      <c r="AA154" s="568"/>
      <c r="AC154" s="508"/>
    </row>
    <row r="155" spans="1:39" s="387" customFormat="1" ht="28.5" customHeight="1">
      <c r="A155" s="394">
        <f>_xlfn.AGGREGATE(4,7,A$11:A154)+1</f>
        <v>144</v>
      </c>
      <c r="B155" s="378" t="s">
        <v>1501</v>
      </c>
      <c r="C155" s="379" t="s">
        <v>313</v>
      </c>
      <c r="D155" s="452" t="s">
        <v>1730</v>
      </c>
      <c r="E155" s="440" t="s">
        <v>314</v>
      </c>
      <c r="F155" s="388">
        <v>3.66</v>
      </c>
      <c r="G155" s="382"/>
      <c r="H155" s="383">
        <f t="shared" si="41"/>
        <v>3.66</v>
      </c>
      <c r="I155" s="383"/>
      <c r="J155" s="384">
        <f t="shared" si="42"/>
        <v>3.66</v>
      </c>
      <c r="K155" s="377">
        <f t="shared" si="43"/>
        <v>6588000</v>
      </c>
      <c r="L155" s="381" t="str">
        <f>VLOOKUP(B155,'[1]Gui chi Quynh'!$B$7:$F$397,5,FALSE)</f>
        <v>A4</v>
      </c>
      <c r="M155" s="515">
        <f t="shared" si="51"/>
        <v>6588000</v>
      </c>
      <c r="N155" s="391">
        <v>21</v>
      </c>
      <c r="O155" s="459">
        <f>IFERROR(INDEX('[2]CN BC'!$J$10:$J$276,MATCH(B155,'[2]CN BC'!$H$10:$H$276,0)),"")</f>
        <v>21</v>
      </c>
      <c r="P155" s="515">
        <f t="shared" si="49"/>
        <v>6588000</v>
      </c>
      <c r="Q155" s="480"/>
      <c r="R155" s="377">
        <f t="shared" si="45"/>
        <v>0</v>
      </c>
      <c r="S155" s="385"/>
      <c r="T155" s="377">
        <f t="shared" si="50"/>
        <v>0</v>
      </c>
      <c r="U155" s="377">
        <f t="shared" si="46"/>
        <v>65880</v>
      </c>
      <c r="V155" s="386">
        <f t="shared" si="44"/>
        <v>6653880</v>
      </c>
      <c r="W155" s="459">
        <v>23</v>
      </c>
      <c r="X155" s="606">
        <f t="shared" si="47"/>
        <v>144</v>
      </c>
      <c r="Y155" s="514">
        <f>IFERROR(INDEX('[2]CN BC'!$M$10:$M$276,MATCH(B155,'[2]CN BC'!$H$10:$H$276,0)),"")</f>
        <v>0</v>
      </c>
      <c r="Z155" s="550" t="s">
        <v>817</v>
      </c>
      <c r="AA155" s="113"/>
      <c r="AB155" s="114"/>
      <c r="AC155" s="161"/>
      <c r="AD155" s="114"/>
      <c r="AE155" s="114"/>
      <c r="AF155" s="114"/>
      <c r="AG155" s="114"/>
      <c r="AH155" s="114"/>
      <c r="AI155" s="114"/>
    </row>
    <row r="156" spans="1:39" s="387" customFormat="1" ht="28.5" customHeight="1">
      <c r="A156" s="394">
        <f>_xlfn.AGGREGATE(4,7,A$11:A155)+1</f>
        <v>145</v>
      </c>
      <c r="B156" s="378" t="s">
        <v>1878</v>
      </c>
      <c r="C156" s="379" t="s">
        <v>970</v>
      </c>
      <c r="D156" s="452" t="s">
        <v>1731</v>
      </c>
      <c r="E156" s="441" t="s">
        <v>1314</v>
      </c>
      <c r="F156" s="381">
        <v>4.32</v>
      </c>
      <c r="G156" s="382"/>
      <c r="H156" s="383">
        <f t="shared" si="41"/>
        <v>4.32</v>
      </c>
      <c r="I156" s="383"/>
      <c r="J156" s="384">
        <f t="shared" si="42"/>
        <v>4.32</v>
      </c>
      <c r="K156" s="377">
        <f t="shared" si="43"/>
        <v>7776000.0000000009</v>
      </c>
      <c r="L156" s="381" t="str">
        <f>VLOOKUP(B156,'[1]Gui chi Quynh'!$B$7:$F$397,5,FALSE)</f>
        <v>A4</v>
      </c>
      <c r="M156" s="515">
        <f t="shared" si="51"/>
        <v>7776000.0000000009</v>
      </c>
      <c r="N156" s="391">
        <v>21</v>
      </c>
      <c r="O156" s="459">
        <f>IFERROR(INDEX('[2]CN BC'!$J$10:$J$276,MATCH(B156,'[2]CN BC'!$H$10:$H$276,0)),"")</f>
        <v>21</v>
      </c>
      <c r="P156" s="515">
        <f t="shared" si="49"/>
        <v>7776000.0000000009</v>
      </c>
      <c r="Q156" s="480"/>
      <c r="R156" s="377">
        <f t="shared" si="45"/>
        <v>0</v>
      </c>
      <c r="S156" s="385"/>
      <c r="T156" s="377">
        <f t="shared" si="50"/>
        <v>0</v>
      </c>
      <c r="U156" s="377">
        <f t="shared" si="46"/>
        <v>77760</v>
      </c>
      <c r="V156" s="386">
        <f t="shared" si="44"/>
        <v>7853760.0000000009</v>
      </c>
      <c r="W156" s="459">
        <v>23</v>
      </c>
      <c r="X156" s="606">
        <f t="shared" si="47"/>
        <v>145</v>
      </c>
      <c r="Y156" s="514">
        <f>IFERROR(INDEX('[2]CN BC'!$M$10:$M$276,MATCH(B156,'[2]CN BC'!$H$10:$H$276,0)),"")</f>
        <v>0</v>
      </c>
      <c r="Z156" s="550" t="s">
        <v>818</v>
      </c>
      <c r="AA156" s="113"/>
      <c r="AB156" s="114"/>
      <c r="AC156" s="161"/>
      <c r="AD156" s="114"/>
      <c r="AE156" s="114"/>
      <c r="AF156" s="114"/>
      <c r="AG156" s="114"/>
      <c r="AH156" s="114"/>
      <c r="AI156" s="114"/>
    </row>
    <row r="157" spans="1:39" s="387" customFormat="1" ht="28.5" customHeight="1">
      <c r="A157" s="394">
        <f>_xlfn.AGGREGATE(4,7,A$11:A156)+1</f>
        <v>146</v>
      </c>
      <c r="B157" s="378" t="s">
        <v>1879</v>
      </c>
      <c r="C157" s="379" t="s">
        <v>927</v>
      </c>
      <c r="D157" s="452" t="s">
        <v>1732</v>
      </c>
      <c r="E157" s="441" t="s">
        <v>1315</v>
      </c>
      <c r="F157" s="388">
        <v>4.32</v>
      </c>
      <c r="G157" s="382"/>
      <c r="H157" s="383">
        <f t="shared" ref="H157:H179" si="52">F157+(F157*G157)</f>
        <v>4.32</v>
      </c>
      <c r="I157" s="383"/>
      <c r="J157" s="384">
        <f t="shared" ref="J157:J179" si="53">H157+I157</f>
        <v>4.32</v>
      </c>
      <c r="K157" s="377">
        <f t="shared" si="43"/>
        <v>7776000.0000000009</v>
      </c>
      <c r="L157" s="381" t="str">
        <f>VLOOKUP(B157,'[1]Gui chi Quynh'!$B$7:$F$397,5,FALSE)</f>
        <v>A3</v>
      </c>
      <c r="M157" s="515">
        <f t="shared" si="51"/>
        <v>9331200</v>
      </c>
      <c r="N157" s="391">
        <v>21</v>
      </c>
      <c r="O157" s="459">
        <f>IFERROR(INDEX('[2]CN BC'!$J$10:$J$276,MATCH(B157,'[2]CN BC'!$H$10:$H$276,0)),"")</f>
        <v>21</v>
      </c>
      <c r="P157" s="515">
        <f t="shared" si="49"/>
        <v>9331200</v>
      </c>
      <c r="Q157" s="480"/>
      <c r="R157" s="377">
        <f t="shared" si="45"/>
        <v>0</v>
      </c>
      <c r="S157" s="385"/>
      <c r="T157" s="377">
        <f t="shared" si="50"/>
        <v>0</v>
      </c>
      <c r="U157" s="377">
        <f t="shared" si="46"/>
        <v>77760</v>
      </c>
      <c r="V157" s="386">
        <f t="shared" si="44"/>
        <v>9408960</v>
      </c>
      <c r="W157" s="459">
        <v>23</v>
      </c>
      <c r="X157" s="606">
        <f t="shared" si="47"/>
        <v>146</v>
      </c>
      <c r="Y157" s="514">
        <f>IFERROR(INDEX('[2]CN BC'!$M$10:$M$276,MATCH(B157,'[2]CN BC'!$H$10:$H$276,0)),"")</f>
        <v>0</v>
      </c>
      <c r="Z157" s="550" t="s">
        <v>819</v>
      </c>
      <c r="AA157" s="113"/>
      <c r="AB157" s="114"/>
      <c r="AC157" s="161"/>
      <c r="AD157" s="114"/>
      <c r="AE157" s="114"/>
      <c r="AF157" s="114"/>
      <c r="AG157" s="114"/>
      <c r="AH157" s="114"/>
      <c r="AI157" s="114"/>
    </row>
    <row r="158" spans="1:39" s="387" customFormat="1" ht="28.5" customHeight="1">
      <c r="A158" s="394">
        <f>_xlfn.AGGREGATE(4,7,A$11:A157)+1</f>
        <v>147</v>
      </c>
      <c r="B158" s="378" t="s">
        <v>1502</v>
      </c>
      <c r="C158" s="379" t="s">
        <v>1205</v>
      </c>
      <c r="D158" s="452" t="s">
        <v>1733</v>
      </c>
      <c r="E158" s="441" t="s">
        <v>1318</v>
      </c>
      <c r="F158" s="388">
        <v>3.66</v>
      </c>
      <c r="G158" s="382"/>
      <c r="H158" s="383">
        <f t="shared" si="52"/>
        <v>3.66</v>
      </c>
      <c r="I158" s="383"/>
      <c r="J158" s="384">
        <f t="shared" si="53"/>
        <v>3.66</v>
      </c>
      <c r="K158" s="377">
        <f t="shared" ref="K158:K180" si="54">J158*$G$8</f>
        <v>6588000</v>
      </c>
      <c r="L158" s="381" t="str">
        <f>VLOOKUP(B158,'[1]Gui chi Quynh'!$B$7:$F$397,5,FALSE)</f>
        <v>A3</v>
      </c>
      <c r="M158" s="515">
        <f t="shared" si="51"/>
        <v>7905600</v>
      </c>
      <c r="N158" s="391">
        <v>21</v>
      </c>
      <c r="O158" s="459">
        <f>IFERROR(INDEX('[2]CN BC'!$J$10:$J$276,MATCH(B158,'[2]CN BC'!$H$10:$H$276,0)),"")</f>
        <v>21</v>
      </c>
      <c r="P158" s="515">
        <f t="shared" si="49"/>
        <v>7905600</v>
      </c>
      <c r="Q158" s="480"/>
      <c r="R158" s="377">
        <f t="shared" si="45"/>
        <v>0</v>
      </c>
      <c r="S158" s="385"/>
      <c r="T158" s="377">
        <f t="shared" si="50"/>
        <v>0</v>
      </c>
      <c r="U158" s="377">
        <f t="shared" si="46"/>
        <v>65880</v>
      </c>
      <c r="V158" s="386">
        <f t="shared" si="44"/>
        <v>7971480</v>
      </c>
      <c r="W158" s="459">
        <v>23</v>
      </c>
      <c r="X158" s="606">
        <f t="shared" si="47"/>
        <v>147</v>
      </c>
      <c r="Y158" s="514">
        <f>IFERROR(INDEX('[2]CN BC'!$M$10:$M$276,MATCH(B158,'[2]CN BC'!$H$10:$H$276,0)),"")</f>
        <v>0</v>
      </c>
      <c r="Z158" s="550" t="s">
        <v>820</v>
      </c>
      <c r="AA158" s="113"/>
      <c r="AB158" s="114"/>
      <c r="AC158" s="161"/>
      <c r="AD158" s="114"/>
      <c r="AE158" s="114"/>
      <c r="AF158" s="114"/>
      <c r="AG158" s="114"/>
      <c r="AH158" s="114"/>
      <c r="AI158" s="114"/>
    </row>
    <row r="159" spans="1:39" s="387" customFormat="1" ht="28.5" customHeight="1">
      <c r="A159" s="601">
        <f>_xlfn.AGGREGATE(4,7,A$11:A158)+1</f>
        <v>148</v>
      </c>
      <c r="B159" s="598" t="s">
        <v>1880</v>
      </c>
      <c r="C159" s="585" t="s">
        <v>1178</v>
      </c>
      <c r="D159" s="599" t="s">
        <v>1734</v>
      </c>
      <c r="E159" s="603" t="s">
        <v>375</v>
      </c>
      <c r="F159" s="602">
        <v>3.66</v>
      </c>
      <c r="G159" s="586"/>
      <c r="H159" s="587">
        <f t="shared" si="52"/>
        <v>3.66</v>
      </c>
      <c r="I159" s="587"/>
      <c r="J159" s="588">
        <f t="shared" si="53"/>
        <v>3.66</v>
      </c>
      <c r="K159" s="589">
        <f t="shared" si="54"/>
        <v>6588000</v>
      </c>
      <c r="L159" s="590" t="str">
        <f>VLOOKUP(B159,'[1]Gui chi Quynh'!$B$7:$F$397,5,FALSE)</f>
        <v>A4</v>
      </c>
      <c r="M159" s="591">
        <f t="shared" si="51"/>
        <v>6588000</v>
      </c>
      <c r="N159" s="592">
        <v>21</v>
      </c>
      <c r="O159" s="593">
        <f>IFERROR(INDEX('[2]CN BC'!$J$10:$J$276,MATCH(B159,'[2]CN BC'!$H$10:$H$276,0)),"")</f>
        <v>7</v>
      </c>
      <c r="P159" s="591">
        <f t="shared" si="49"/>
        <v>2196000</v>
      </c>
      <c r="Q159" s="594"/>
      <c r="R159" s="589">
        <f t="shared" si="45"/>
        <v>0</v>
      </c>
      <c r="S159" s="595"/>
      <c r="T159" s="589">
        <f t="shared" si="50"/>
        <v>0</v>
      </c>
      <c r="U159" s="589">
        <v>0</v>
      </c>
      <c r="V159" s="596">
        <f t="shared" si="44"/>
        <v>2196000</v>
      </c>
      <c r="W159" s="593">
        <v>23</v>
      </c>
      <c r="X159" s="611">
        <f t="shared" si="47"/>
        <v>148</v>
      </c>
      <c r="Y159" s="597" t="str">
        <f>IFERROR(INDEX('[2]CN BC'!$M$10:$M$276,MATCH(B159,'[2]CN BC'!$H$10:$H$276,0)),"")</f>
        <v>Nghỉ hộ sản hưởng chế độ BHXH từ 12/12/2023</v>
      </c>
      <c r="Z159" s="550" t="s">
        <v>1119</v>
      </c>
      <c r="AA159" s="113"/>
      <c r="AB159" s="114"/>
      <c r="AC159" s="161"/>
      <c r="AD159" s="114"/>
      <c r="AE159" s="114"/>
      <c r="AF159" s="114"/>
      <c r="AG159" s="114"/>
      <c r="AH159" s="114"/>
      <c r="AI159" s="114"/>
    </row>
    <row r="160" spans="1:39" s="387" customFormat="1" ht="28.5" customHeight="1">
      <c r="A160" s="394">
        <f>_xlfn.AGGREGATE(4,7,A$11:A159)+1</f>
        <v>149</v>
      </c>
      <c r="B160" s="378" t="s">
        <v>1503</v>
      </c>
      <c r="C160" s="379" t="s">
        <v>276</v>
      </c>
      <c r="D160" s="452" t="s">
        <v>1735</v>
      </c>
      <c r="E160" s="441" t="s">
        <v>376</v>
      </c>
      <c r="F160" s="388">
        <v>3.66</v>
      </c>
      <c r="G160" s="382"/>
      <c r="H160" s="383">
        <f t="shared" si="52"/>
        <v>3.66</v>
      </c>
      <c r="I160" s="383"/>
      <c r="J160" s="384">
        <f t="shared" si="53"/>
        <v>3.66</v>
      </c>
      <c r="K160" s="377">
        <f t="shared" si="54"/>
        <v>6588000</v>
      </c>
      <c r="L160" s="381" t="str">
        <f>VLOOKUP(B160,'[1]Gui chi Quynh'!$B$7:$F$397,5,FALSE)</f>
        <v>A2</v>
      </c>
      <c r="M160" s="515">
        <f t="shared" si="51"/>
        <v>9223200</v>
      </c>
      <c r="N160" s="391">
        <v>21</v>
      </c>
      <c r="O160" s="459">
        <f>IFERROR(INDEX('[2]CN BC'!$J$10:$J$276,MATCH(B160,'[2]CN BC'!$H$10:$H$276,0)),"")</f>
        <v>21</v>
      </c>
      <c r="P160" s="515">
        <f t="shared" si="49"/>
        <v>9223200</v>
      </c>
      <c r="Q160" s="480"/>
      <c r="R160" s="377">
        <f t="shared" si="45"/>
        <v>0</v>
      </c>
      <c r="S160" s="385"/>
      <c r="T160" s="377">
        <f t="shared" si="50"/>
        <v>0</v>
      </c>
      <c r="U160" s="377">
        <f t="shared" si="46"/>
        <v>65880</v>
      </c>
      <c r="V160" s="386">
        <f t="shared" si="44"/>
        <v>9289080</v>
      </c>
      <c r="W160" s="459">
        <v>23</v>
      </c>
      <c r="X160" s="606">
        <f t="shared" si="47"/>
        <v>149</v>
      </c>
      <c r="Y160" s="514">
        <f>IFERROR(INDEX('[2]CN BC'!$M$10:$M$276,MATCH(B160,'[2]CN BC'!$H$10:$H$276,0)),"")</f>
        <v>0</v>
      </c>
      <c r="Z160" s="550" t="s">
        <v>1120</v>
      </c>
      <c r="AA160" s="113"/>
      <c r="AB160" s="114"/>
      <c r="AC160" s="161"/>
      <c r="AD160" s="114"/>
      <c r="AE160" s="114"/>
      <c r="AF160" s="114"/>
      <c r="AG160" s="114"/>
      <c r="AH160" s="114"/>
      <c r="AI160" s="114"/>
    </row>
    <row r="161" spans="1:35" s="387" customFormat="1" ht="26.25" customHeight="1">
      <c r="A161" s="394">
        <f>_xlfn.AGGREGATE(4,7,A$11:A160)+1</f>
        <v>150</v>
      </c>
      <c r="B161" s="378" t="s">
        <v>1504</v>
      </c>
      <c r="C161" s="379" t="s">
        <v>1041</v>
      </c>
      <c r="D161" s="452" t="s">
        <v>1736</v>
      </c>
      <c r="E161" s="452" t="s">
        <v>503</v>
      </c>
      <c r="F161" s="388">
        <v>4.32</v>
      </c>
      <c r="G161" s="382"/>
      <c r="H161" s="383">
        <f t="shared" si="52"/>
        <v>4.32</v>
      </c>
      <c r="I161" s="383"/>
      <c r="J161" s="384">
        <f t="shared" si="53"/>
        <v>4.32</v>
      </c>
      <c r="K161" s="377">
        <f t="shared" si="54"/>
        <v>7776000.0000000009</v>
      </c>
      <c r="L161" s="381" t="str">
        <f>VLOOKUP(B161,'[1]Gui chi Quynh'!$B$7:$F$397,5,FALSE)</f>
        <v>A3</v>
      </c>
      <c r="M161" s="515">
        <f t="shared" si="51"/>
        <v>9331200</v>
      </c>
      <c r="N161" s="391">
        <v>21</v>
      </c>
      <c r="O161" s="459">
        <f>IFERROR(INDEX('[2]CN BC'!$J$10:$J$276,MATCH(B161,'[2]CN BC'!$H$10:$H$276,0)),"")</f>
        <v>21</v>
      </c>
      <c r="P161" s="515">
        <f t="shared" si="49"/>
        <v>9331200</v>
      </c>
      <c r="Q161" s="480"/>
      <c r="R161" s="377">
        <f t="shared" si="45"/>
        <v>0</v>
      </c>
      <c r="S161" s="385"/>
      <c r="T161" s="377">
        <f t="shared" si="50"/>
        <v>0</v>
      </c>
      <c r="U161" s="377">
        <f t="shared" si="46"/>
        <v>77760</v>
      </c>
      <c r="V161" s="386">
        <f t="shared" si="44"/>
        <v>9408960</v>
      </c>
      <c r="W161" s="459">
        <v>23</v>
      </c>
      <c r="X161" s="606">
        <f t="shared" si="47"/>
        <v>150</v>
      </c>
      <c r="Y161" s="514">
        <f>IFERROR(INDEX('[2]CN BC'!$M$10:$M$276,MATCH(B161,'[2]CN BC'!$H$10:$H$276,0)),"")</f>
        <v>0</v>
      </c>
      <c r="Z161" s="550" t="s">
        <v>1121</v>
      </c>
      <c r="AA161" s="113"/>
      <c r="AB161" s="114"/>
      <c r="AC161" s="161"/>
      <c r="AD161" s="114"/>
      <c r="AE161" s="114"/>
      <c r="AF161" s="114"/>
      <c r="AG161" s="114"/>
      <c r="AH161" s="114"/>
      <c r="AI161" s="114"/>
    </row>
    <row r="162" spans="1:35" s="387" customFormat="1" ht="27" customHeight="1">
      <c r="A162" s="394">
        <f>_xlfn.AGGREGATE(4,7,A$11:A161)+1</f>
        <v>151</v>
      </c>
      <c r="B162" s="378" t="s">
        <v>1505</v>
      </c>
      <c r="C162" s="379" t="s">
        <v>920</v>
      </c>
      <c r="D162" s="452" t="s">
        <v>1737</v>
      </c>
      <c r="E162" s="440" t="s">
        <v>1592</v>
      </c>
      <c r="F162" s="388">
        <v>3.33</v>
      </c>
      <c r="G162" s="382"/>
      <c r="H162" s="465">
        <f t="shared" si="52"/>
        <v>3.33</v>
      </c>
      <c r="I162" s="383"/>
      <c r="J162" s="384">
        <f t="shared" si="53"/>
        <v>3.33</v>
      </c>
      <c r="K162" s="377">
        <f t="shared" si="54"/>
        <v>5994000</v>
      </c>
      <c r="L162" s="381" t="str">
        <f>VLOOKUP(B162,'[1]Gui chi Quynh'!$B$7:$F$397,5,FALSE)</f>
        <v>A3</v>
      </c>
      <c r="M162" s="515">
        <f t="shared" si="51"/>
        <v>7192800</v>
      </c>
      <c r="N162" s="391">
        <v>21</v>
      </c>
      <c r="O162" s="459">
        <f>IFERROR(INDEX('[2]CN BC'!$J$10:$J$276,MATCH(B162,'[2]CN BC'!$H$10:$H$276,0)),"")</f>
        <v>21</v>
      </c>
      <c r="P162" s="515">
        <f t="shared" si="49"/>
        <v>7192800</v>
      </c>
      <c r="Q162" s="480"/>
      <c r="R162" s="377">
        <f t="shared" si="45"/>
        <v>0</v>
      </c>
      <c r="S162" s="385"/>
      <c r="T162" s="377">
        <f t="shared" si="50"/>
        <v>0</v>
      </c>
      <c r="U162" s="377">
        <f t="shared" si="46"/>
        <v>59940</v>
      </c>
      <c r="V162" s="386">
        <f t="shared" si="44"/>
        <v>7252740</v>
      </c>
      <c r="W162" s="487">
        <v>23</v>
      </c>
      <c r="X162" s="606">
        <f t="shared" si="47"/>
        <v>151</v>
      </c>
      <c r="Y162" s="514">
        <f>IFERROR(INDEX('[2]CN BC'!$M$10:$M$276,MATCH(B162,'[2]CN BC'!$H$10:$H$276,0)),"")</f>
        <v>0</v>
      </c>
      <c r="Z162" s="550" t="s">
        <v>1122</v>
      </c>
      <c r="AA162" s="113"/>
      <c r="AB162" s="114"/>
      <c r="AC162" s="161"/>
      <c r="AD162" s="114"/>
      <c r="AE162" s="114"/>
      <c r="AF162" s="114"/>
      <c r="AG162" s="114"/>
      <c r="AH162" s="114"/>
      <c r="AI162" s="114"/>
    </row>
    <row r="163" spans="1:35" s="387" customFormat="1" ht="28.15" customHeight="1">
      <c r="A163" s="394">
        <f>_xlfn.AGGREGATE(4,7,A$11:A162)+1</f>
        <v>152</v>
      </c>
      <c r="B163" s="378" t="s">
        <v>1881</v>
      </c>
      <c r="C163" s="379" t="s">
        <v>891</v>
      </c>
      <c r="D163" s="452" t="s">
        <v>1738</v>
      </c>
      <c r="E163" s="441" t="s">
        <v>379</v>
      </c>
      <c r="F163" s="388">
        <v>3.66</v>
      </c>
      <c r="G163" s="382"/>
      <c r="H163" s="383">
        <f t="shared" si="52"/>
        <v>3.66</v>
      </c>
      <c r="I163" s="383"/>
      <c r="J163" s="384">
        <f t="shared" si="53"/>
        <v>3.66</v>
      </c>
      <c r="K163" s="377">
        <f t="shared" si="54"/>
        <v>6588000</v>
      </c>
      <c r="L163" s="381" t="str">
        <f>VLOOKUP(B163,'[1]Gui chi Quynh'!$B$7:$F$397,5,FALSE)</f>
        <v>A4</v>
      </c>
      <c r="M163" s="515">
        <f t="shared" si="51"/>
        <v>6588000</v>
      </c>
      <c r="N163" s="391">
        <v>21</v>
      </c>
      <c r="O163" s="459">
        <f>IFERROR(INDEX('[2]CN BC'!$J$10:$J$276,MATCH(B163,'[2]CN BC'!$H$10:$H$276,0)),"")</f>
        <v>21</v>
      </c>
      <c r="P163" s="515">
        <f t="shared" si="49"/>
        <v>6588000</v>
      </c>
      <c r="Q163" s="480">
        <v>0</v>
      </c>
      <c r="R163" s="377">
        <f t="shared" si="45"/>
        <v>0</v>
      </c>
      <c r="S163" s="385"/>
      <c r="T163" s="377">
        <f t="shared" si="50"/>
        <v>0</v>
      </c>
      <c r="U163" s="377">
        <f t="shared" si="46"/>
        <v>65880</v>
      </c>
      <c r="V163" s="386">
        <f t="shared" si="44"/>
        <v>6653880</v>
      </c>
      <c r="W163" s="459">
        <v>23</v>
      </c>
      <c r="X163" s="606">
        <f t="shared" si="47"/>
        <v>152</v>
      </c>
      <c r="Y163" s="514">
        <f>IFERROR(INDEX('[2]CN BC'!$M$10:$M$276,MATCH(B163,'[2]CN BC'!$H$10:$H$276,0)),"")</f>
        <v>0</v>
      </c>
      <c r="Z163" s="550" t="s">
        <v>1124</v>
      </c>
      <c r="AA163" s="113"/>
      <c r="AB163" s="114"/>
      <c r="AC163" s="161"/>
      <c r="AD163" s="114"/>
      <c r="AE163" s="114"/>
      <c r="AF163" s="114"/>
      <c r="AG163" s="114"/>
      <c r="AH163" s="114"/>
      <c r="AI163" s="114"/>
    </row>
    <row r="164" spans="1:35" s="387" customFormat="1" ht="27.75" customHeight="1">
      <c r="A164" s="394">
        <f>_xlfn.AGGREGATE(4,7,A$11:A163)+1</f>
        <v>153</v>
      </c>
      <c r="B164" s="406" t="s">
        <v>1506</v>
      </c>
      <c r="C164" s="511" t="s">
        <v>1426</v>
      </c>
      <c r="D164" s="452" t="s">
        <v>1739</v>
      </c>
      <c r="E164" s="440" t="s">
        <v>1427</v>
      </c>
      <c r="F164" s="388">
        <v>3.33</v>
      </c>
      <c r="G164" s="382"/>
      <c r="H164" s="465">
        <f t="shared" si="52"/>
        <v>3.33</v>
      </c>
      <c r="I164" s="383"/>
      <c r="J164" s="384">
        <f t="shared" si="53"/>
        <v>3.33</v>
      </c>
      <c r="K164" s="377">
        <f t="shared" si="54"/>
        <v>5994000</v>
      </c>
      <c r="L164" s="381" t="str">
        <f>VLOOKUP(B164,'[1]Gui chi Quynh'!$B$7:$F$397,5,FALSE)</f>
        <v>A4</v>
      </c>
      <c r="M164" s="515">
        <f t="shared" si="51"/>
        <v>5994000</v>
      </c>
      <c r="N164" s="391">
        <v>21</v>
      </c>
      <c r="O164" s="459">
        <f>IFERROR(INDEX('[2]CN BC'!$J$10:$J$276,MATCH(B164,'[2]CN BC'!$H$10:$H$276,0)),"")</f>
        <v>21</v>
      </c>
      <c r="P164" s="515">
        <f t="shared" si="49"/>
        <v>5994000</v>
      </c>
      <c r="Q164" s="480"/>
      <c r="R164" s="377">
        <f t="shared" si="45"/>
        <v>0</v>
      </c>
      <c r="S164" s="385"/>
      <c r="T164" s="377">
        <f t="shared" si="50"/>
        <v>0</v>
      </c>
      <c r="U164" s="377">
        <f t="shared" si="46"/>
        <v>59940</v>
      </c>
      <c r="V164" s="386">
        <f t="shared" si="44"/>
        <v>6053940</v>
      </c>
      <c r="W164" s="487">
        <v>23</v>
      </c>
      <c r="X164" s="606">
        <f t="shared" si="47"/>
        <v>153</v>
      </c>
      <c r="Y164" s="514">
        <f>IFERROR(INDEX('[2]CN BC'!$M$10:$M$276,MATCH(B164,'[2]CN BC'!$H$10:$H$276,0)),"")</f>
        <v>0</v>
      </c>
      <c r="Z164" s="550" t="s">
        <v>1125</v>
      </c>
      <c r="AA164" s="113"/>
      <c r="AB164" s="114"/>
      <c r="AC164" s="161"/>
    </row>
    <row r="165" spans="1:35" s="387" customFormat="1" ht="36.75" customHeight="1">
      <c r="A165" s="394">
        <f>_xlfn.AGGREGATE(4,7,A$11:A164)+1</f>
        <v>154</v>
      </c>
      <c r="B165" s="378" t="s">
        <v>1507</v>
      </c>
      <c r="C165" s="379" t="s">
        <v>1016</v>
      </c>
      <c r="D165" s="452" t="s">
        <v>1740</v>
      </c>
      <c r="E165" s="441" t="s">
        <v>1340</v>
      </c>
      <c r="F165" s="381">
        <v>3.99</v>
      </c>
      <c r="G165" s="382"/>
      <c r="H165" s="383">
        <f t="shared" si="52"/>
        <v>3.99</v>
      </c>
      <c r="I165" s="383"/>
      <c r="J165" s="384">
        <f t="shared" si="53"/>
        <v>3.99</v>
      </c>
      <c r="K165" s="377">
        <f t="shared" si="54"/>
        <v>7182000</v>
      </c>
      <c r="L165" s="381" t="str">
        <f>VLOOKUP(B165,'[1]Gui chi Quynh'!$B$7:$F$397,5,FALSE)</f>
        <v>A4</v>
      </c>
      <c r="M165" s="515">
        <f t="shared" si="51"/>
        <v>7182000</v>
      </c>
      <c r="N165" s="391">
        <v>21</v>
      </c>
      <c r="O165" s="459">
        <f>IFERROR(INDEX('[2]CN BC'!$J$10:$J$276,MATCH(B165,'[2]CN BC'!$H$10:$H$276,0)),"")</f>
        <v>21</v>
      </c>
      <c r="P165" s="515">
        <f t="shared" si="49"/>
        <v>7182000</v>
      </c>
      <c r="Q165" s="480"/>
      <c r="R165" s="377">
        <f t="shared" si="45"/>
        <v>0</v>
      </c>
      <c r="S165" s="385"/>
      <c r="T165" s="377">
        <f t="shared" si="50"/>
        <v>0</v>
      </c>
      <c r="U165" s="377">
        <f t="shared" si="46"/>
        <v>71820</v>
      </c>
      <c r="V165" s="386">
        <f t="shared" si="44"/>
        <v>7253820</v>
      </c>
      <c r="W165" s="487">
        <v>23</v>
      </c>
      <c r="X165" s="606">
        <f t="shared" si="47"/>
        <v>154</v>
      </c>
      <c r="Y165" s="514">
        <f>IFERROR(INDEX('[2]CN BC'!$M$10:$M$276,MATCH(B165,'[2]CN BC'!$H$10:$H$276,0)),"")</f>
        <v>0</v>
      </c>
      <c r="Z165" s="551" t="s">
        <v>812</v>
      </c>
      <c r="AA165" s="113"/>
      <c r="AB165" s="114"/>
      <c r="AC165" s="508"/>
    </row>
    <row r="166" spans="1:35" s="387" customFormat="1" ht="27" customHeight="1">
      <c r="A166" s="394">
        <f>_xlfn.AGGREGATE(4,7,A$11:A165)+1</f>
        <v>155</v>
      </c>
      <c r="B166" s="378" t="s">
        <v>1882</v>
      </c>
      <c r="C166" s="379" t="s">
        <v>947</v>
      </c>
      <c r="D166" s="452" t="s">
        <v>1741</v>
      </c>
      <c r="E166" s="441" t="s">
        <v>1341</v>
      </c>
      <c r="F166" s="388">
        <v>4.32</v>
      </c>
      <c r="G166" s="382"/>
      <c r="H166" s="383">
        <f t="shared" si="52"/>
        <v>4.32</v>
      </c>
      <c r="I166" s="383"/>
      <c r="J166" s="384">
        <f t="shared" si="53"/>
        <v>4.32</v>
      </c>
      <c r="K166" s="377">
        <f t="shared" si="54"/>
        <v>7776000.0000000009</v>
      </c>
      <c r="L166" s="381" t="str">
        <f>VLOOKUP(B166,'[1]Gui chi Quynh'!$B$7:$F$397,5,FALSE)</f>
        <v>A3</v>
      </c>
      <c r="M166" s="515">
        <f t="shared" si="51"/>
        <v>9331200</v>
      </c>
      <c r="N166" s="391">
        <v>21</v>
      </c>
      <c r="O166" s="459">
        <f>IFERROR(INDEX('[2]CN BC'!$J$10:$J$276,MATCH(B166,'[2]CN BC'!$H$10:$H$276,0)),"")</f>
        <v>21</v>
      </c>
      <c r="P166" s="515">
        <f t="shared" si="49"/>
        <v>9331200</v>
      </c>
      <c r="Q166" s="480"/>
      <c r="R166" s="377">
        <f t="shared" ref="R166:R186" si="55">Q166*$G$8*1</f>
        <v>0</v>
      </c>
      <c r="S166" s="385"/>
      <c r="T166" s="377">
        <f t="shared" si="50"/>
        <v>0</v>
      </c>
      <c r="U166" s="377">
        <f t="shared" si="46"/>
        <v>77760</v>
      </c>
      <c r="V166" s="386">
        <f t="shared" si="44"/>
        <v>9408960</v>
      </c>
      <c r="W166" s="487">
        <v>23</v>
      </c>
      <c r="X166" s="606">
        <f t="shared" si="47"/>
        <v>155</v>
      </c>
      <c r="Y166" s="514">
        <f>IFERROR(INDEX('[2]CN BC'!$M$10:$M$276,MATCH(B166,'[2]CN BC'!$H$10:$H$276,0)),"")</f>
        <v>0</v>
      </c>
      <c r="Z166" s="551" t="s">
        <v>813</v>
      </c>
      <c r="AA166" s="113"/>
      <c r="AB166" s="114"/>
      <c r="AC166" s="161"/>
    </row>
    <row r="167" spans="1:35" s="114" customFormat="1" ht="28.5" customHeight="1">
      <c r="A167" s="394">
        <f>_xlfn.AGGREGATE(4,7,A$11:A166)+1</f>
        <v>156</v>
      </c>
      <c r="B167" s="37" t="s">
        <v>1508</v>
      </c>
      <c r="C167" s="38" t="s">
        <v>1019</v>
      </c>
      <c r="D167" s="424" t="s">
        <v>1742</v>
      </c>
      <c r="E167" s="442" t="s">
        <v>1342</v>
      </c>
      <c r="F167" s="88">
        <v>3.99</v>
      </c>
      <c r="G167" s="163"/>
      <c r="H167" s="383">
        <f t="shared" si="52"/>
        <v>3.99</v>
      </c>
      <c r="I167" s="86"/>
      <c r="J167" s="384">
        <f t="shared" si="53"/>
        <v>3.99</v>
      </c>
      <c r="K167" s="377">
        <f t="shared" si="54"/>
        <v>7182000</v>
      </c>
      <c r="L167" s="381" t="str">
        <f>VLOOKUP(B167,'[1]Gui chi Quynh'!$B$7:$F$397,5,FALSE)</f>
        <v>A3</v>
      </c>
      <c r="M167" s="515">
        <f t="shared" si="51"/>
        <v>8618400</v>
      </c>
      <c r="N167" s="391">
        <v>21</v>
      </c>
      <c r="O167" s="459">
        <f>IFERROR(INDEX('[2]CN BC'!$J$10:$J$276,MATCH(B167,'[2]CN BC'!$H$10:$H$276,0)),"")</f>
        <v>21</v>
      </c>
      <c r="P167" s="515">
        <f t="shared" si="49"/>
        <v>8618400</v>
      </c>
      <c r="Q167" s="409"/>
      <c r="R167" s="377">
        <f t="shared" si="55"/>
        <v>0</v>
      </c>
      <c r="S167" s="401"/>
      <c r="T167" s="377">
        <f t="shared" si="50"/>
        <v>0</v>
      </c>
      <c r="U167" s="377">
        <f t="shared" si="46"/>
        <v>71820</v>
      </c>
      <c r="V167" s="386">
        <f t="shared" si="44"/>
        <v>8690220</v>
      </c>
      <c r="W167" s="459">
        <v>23</v>
      </c>
      <c r="X167" s="606">
        <f t="shared" si="47"/>
        <v>156</v>
      </c>
      <c r="Y167" s="514">
        <f>IFERROR(INDEX('[2]CN BC'!$M$10:$M$276,MATCH(B167,'[2]CN BC'!$H$10:$H$276,0)),"")</f>
        <v>0</v>
      </c>
      <c r="Z167" s="551" t="s">
        <v>814</v>
      </c>
      <c r="AA167" s="113"/>
      <c r="AC167" s="161"/>
    </row>
    <row r="168" spans="1:35" s="114" customFormat="1" ht="26.25" customHeight="1">
      <c r="A168" s="394">
        <f>_xlfn.AGGREGATE(4,7,A$11:A167)+1</f>
        <v>157</v>
      </c>
      <c r="B168" s="37" t="s">
        <v>1509</v>
      </c>
      <c r="C168" s="38" t="s">
        <v>1023</v>
      </c>
      <c r="D168" s="424" t="s">
        <v>1743</v>
      </c>
      <c r="E168" s="442" t="s">
        <v>1344</v>
      </c>
      <c r="F168" s="10">
        <v>3.99</v>
      </c>
      <c r="G168" s="163"/>
      <c r="H168" s="383">
        <f t="shared" si="52"/>
        <v>3.99</v>
      </c>
      <c r="I168" s="86"/>
      <c r="J168" s="384">
        <f t="shared" si="53"/>
        <v>3.99</v>
      </c>
      <c r="K168" s="377">
        <f t="shared" si="54"/>
        <v>7182000</v>
      </c>
      <c r="L168" s="381" t="str">
        <f>VLOOKUP(B168,'[1]Gui chi Quynh'!$B$7:$F$397,5,FALSE)</f>
        <v>A3</v>
      </c>
      <c r="M168" s="515">
        <f t="shared" si="51"/>
        <v>8618400</v>
      </c>
      <c r="N168" s="391">
        <v>21</v>
      </c>
      <c r="O168" s="459">
        <f>IFERROR(INDEX('[2]CN BC'!$J$10:$J$276,MATCH(B168,'[2]CN BC'!$H$10:$H$276,0)),"")</f>
        <v>21</v>
      </c>
      <c r="P168" s="515">
        <f t="shared" si="49"/>
        <v>8618400</v>
      </c>
      <c r="Q168" s="409"/>
      <c r="R168" s="377">
        <f t="shared" si="55"/>
        <v>0</v>
      </c>
      <c r="S168" s="401"/>
      <c r="T168" s="377">
        <f t="shared" si="50"/>
        <v>0</v>
      </c>
      <c r="U168" s="377">
        <f t="shared" si="46"/>
        <v>71820</v>
      </c>
      <c r="V168" s="386">
        <f t="shared" si="44"/>
        <v>8690220</v>
      </c>
      <c r="W168" s="459">
        <v>23</v>
      </c>
      <c r="X168" s="606">
        <f t="shared" si="47"/>
        <v>157</v>
      </c>
      <c r="Y168" s="514">
        <f>IFERROR(INDEX('[2]CN BC'!$M$10:$M$276,MATCH(B168,'[2]CN BC'!$H$10:$H$276,0)),"")</f>
        <v>0</v>
      </c>
      <c r="Z168" s="551" t="s">
        <v>815</v>
      </c>
      <c r="AA168" s="113"/>
      <c r="AC168" s="161"/>
    </row>
    <row r="169" spans="1:35" s="387" customFormat="1" ht="25.5" customHeight="1">
      <c r="A169" s="394">
        <f>_xlfn.AGGREGATE(4,7,A$11:A168)+1</f>
        <v>158</v>
      </c>
      <c r="B169" s="378" t="s">
        <v>1510</v>
      </c>
      <c r="C169" s="379" t="s">
        <v>891</v>
      </c>
      <c r="D169" s="452" t="s">
        <v>1744</v>
      </c>
      <c r="E169" s="441" t="s">
        <v>1347</v>
      </c>
      <c r="F169" s="388">
        <v>3.66</v>
      </c>
      <c r="G169" s="382"/>
      <c r="H169" s="383">
        <f t="shared" si="52"/>
        <v>3.66</v>
      </c>
      <c r="I169" s="383"/>
      <c r="J169" s="384">
        <f t="shared" si="53"/>
        <v>3.66</v>
      </c>
      <c r="K169" s="377">
        <f t="shared" si="54"/>
        <v>6588000</v>
      </c>
      <c r="L169" s="381" t="str">
        <f>VLOOKUP(B169,'[1]Gui chi Quynh'!$B$7:$F$397,5,FALSE)</f>
        <v>A4</v>
      </c>
      <c r="M169" s="515">
        <f t="shared" si="51"/>
        <v>6588000</v>
      </c>
      <c r="N169" s="381">
        <v>21</v>
      </c>
      <c r="O169" s="487">
        <f>IFERROR(INDEX('[2]CN BC'!$J$10:$J$276,MATCH(B169,'[2]CN BC'!$H$10:$H$276,0)),"")</f>
        <v>21</v>
      </c>
      <c r="P169" s="515">
        <f t="shared" si="49"/>
        <v>6588000</v>
      </c>
      <c r="Q169" s="480"/>
      <c r="R169" s="377">
        <f t="shared" si="55"/>
        <v>0</v>
      </c>
      <c r="S169" s="385"/>
      <c r="T169" s="377">
        <f t="shared" si="50"/>
        <v>0</v>
      </c>
      <c r="U169" s="377">
        <f t="shared" si="46"/>
        <v>65880</v>
      </c>
      <c r="V169" s="386">
        <f t="shared" si="44"/>
        <v>6653880</v>
      </c>
      <c r="W169" s="487">
        <v>23</v>
      </c>
      <c r="X169" s="606">
        <f t="shared" si="47"/>
        <v>158</v>
      </c>
      <c r="Y169" s="584">
        <f>IFERROR(INDEX('[2]CN BC'!$M$10:$M$276,MATCH(B169,'[2]CN BC'!$H$10:$H$276,0)),"")</f>
        <v>0</v>
      </c>
      <c r="Z169" s="571" t="s">
        <v>816</v>
      </c>
      <c r="AA169" s="568"/>
      <c r="AC169" s="508"/>
    </row>
    <row r="170" spans="1:35" s="387" customFormat="1" ht="27" customHeight="1">
      <c r="A170" s="394">
        <f>_xlfn.AGGREGATE(4,7,A$11:A169)+1</f>
        <v>159</v>
      </c>
      <c r="B170" s="406" t="s">
        <v>1511</v>
      </c>
      <c r="C170" s="379" t="s">
        <v>867</v>
      </c>
      <c r="D170" s="452" t="s">
        <v>1745</v>
      </c>
      <c r="E170" s="441" t="s">
        <v>1349</v>
      </c>
      <c r="F170" s="388">
        <v>3.99</v>
      </c>
      <c r="G170" s="382"/>
      <c r="H170" s="383">
        <f t="shared" si="52"/>
        <v>3.99</v>
      </c>
      <c r="I170" s="383"/>
      <c r="J170" s="384">
        <f t="shared" si="53"/>
        <v>3.99</v>
      </c>
      <c r="K170" s="377">
        <f t="shared" si="54"/>
        <v>7182000</v>
      </c>
      <c r="L170" s="381" t="str">
        <f>VLOOKUP(B170,'[1]Gui chi Quynh'!$B$7:$F$397,5,FALSE)</f>
        <v>A3</v>
      </c>
      <c r="M170" s="515">
        <f t="shared" si="51"/>
        <v>8618400</v>
      </c>
      <c r="N170" s="391">
        <v>21</v>
      </c>
      <c r="O170" s="459">
        <f>IFERROR(INDEX('[2]CN BC'!$J$10:$J$276,MATCH(B170,'[2]CN BC'!$H$10:$H$276,0)),"")</f>
        <v>21</v>
      </c>
      <c r="P170" s="515">
        <f t="shared" si="49"/>
        <v>8618400</v>
      </c>
      <c r="Q170" s="409"/>
      <c r="R170" s="377">
        <f t="shared" si="55"/>
        <v>0</v>
      </c>
      <c r="S170" s="385"/>
      <c r="T170" s="377">
        <f t="shared" si="50"/>
        <v>0</v>
      </c>
      <c r="U170" s="377">
        <f t="shared" si="46"/>
        <v>71820</v>
      </c>
      <c r="V170" s="386">
        <f t="shared" si="44"/>
        <v>8690220</v>
      </c>
      <c r="W170" s="459">
        <v>23</v>
      </c>
      <c r="X170" s="606">
        <f t="shared" si="47"/>
        <v>159</v>
      </c>
      <c r="Y170" s="514">
        <f>IFERROR(INDEX('[2]CN BC'!$M$10:$M$276,MATCH(B170,'[2]CN BC'!$H$10:$H$276,0)),"")</f>
        <v>0</v>
      </c>
      <c r="Z170" s="551" t="s">
        <v>817</v>
      </c>
      <c r="AA170" s="113"/>
      <c r="AB170" s="114"/>
      <c r="AC170" s="161"/>
      <c r="AD170" s="114"/>
      <c r="AE170" s="114"/>
      <c r="AF170" s="114"/>
      <c r="AG170" s="114"/>
      <c r="AH170" s="114"/>
      <c r="AI170" s="114"/>
    </row>
    <row r="171" spans="1:35" s="387" customFormat="1" ht="27" customHeight="1">
      <c r="A171" s="394">
        <f>_xlfn.AGGREGATE(4,7,A$11:A170)+1</f>
        <v>160</v>
      </c>
      <c r="B171" s="378" t="s">
        <v>1512</v>
      </c>
      <c r="C171" s="379" t="s">
        <v>1209</v>
      </c>
      <c r="D171" s="452" t="s">
        <v>1746</v>
      </c>
      <c r="E171" s="441" t="s">
        <v>1350</v>
      </c>
      <c r="F171" s="388">
        <v>3.99</v>
      </c>
      <c r="G171" s="382"/>
      <c r="H171" s="383">
        <f t="shared" si="52"/>
        <v>3.99</v>
      </c>
      <c r="I171" s="383"/>
      <c r="J171" s="384">
        <f t="shared" si="53"/>
        <v>3.99</v>
      </c>
      <c r="K171" s="377">
        <f t="shared" si="54"/>
        <v>7182000</v>
      </c>
      <c r="L171" s="381" t="str">
        <f>VLOOKUP(B171,'[1]Gui chi Quynh'!$B$7:$F$397,5,FALSE)</f>
        <v>A4</v>
      </c>
      <c r="M171" s="515">
        <f t="shared" si="51"/>
        <v>7182000</v>
      </c>
      <c r="N171" s="391">
        <v>21</v>
      </c>
      <c r="O171" s="459">
        <f>IFERROR(INDEX('[2]CN BC'!$J$10:$J$276,MATCH(B171,'[2]CN BC'!$H$10:$H$276,0)),"")</f>
        <v>21</v>
      </c>
      <c r="P171" s="515">
        <f t="shared" si="49"/>
        <v>7182000</v>
      </c>
      <c r="Q171" s="480"/>
      <c r="R171" s="377">
        <f t="shared" si="55"/>
        <v>0</v>
      </c>
      <c r="S171" s="385"/>
      <c r="T171" s="377">
        <f t="shared" si="50"/>
        <v>0</v>
      </c>
      <c r="U171" s="377">
        <f t="shared" si="46"/>
        <v>71820</v>
      </c>
      <c r="V171" s="386">
        <f t="shared" si="44"/>
        <v>7253820</v>
      </c>
      <c r="W171" s="487">
        <v>23</v>
      </c>
      <c r="X171" s="606">
        <f t="shared" si="47"/>
        <v>160</v>
      </c>
      <c r="Y171" s="514">
        <f>IFERROR(INDEX('[2]CN BC'!$M$10:$M$276,MATCH(B171,'[2]CN BC'!$H$10:$H$276,0)),"")</f>
        <v>0</v>
      </c>
      <c r="Z171" s="551" t="s">
        <v>818</v>
      </c>
      <c r="AA171" s="113"/>
      <c r="AB171" s="114"/>
      <c r="AC171" s="161"/>
      <c r="AD171" s="114"/>
      <c r="AE171" s="114"/>
      <c r="AF171" s="114"/>
      <c r="AG171" s="114"/>
      <c r="AH171" s="114"/>
      <c r="AI171" s="114"/>
    </row>
    <row r="172" spans="1:35" s="114" customFormat="1" ht="27" customHeight="1">
      <c r="A172" s="394">
        <f>_xlfn.AGGREGATE(4,7,A$11:A171)+1</f>
        <v>161</v>
      </c>
      <c r="B172" s="37" t="s">
        <v>1513</v>
      </c>
      <c r="C172" s="38" t="s">
        <v>1211</v>
      </c>
      <c r="D172" s="424" t="s">
        <v>1747</v>
      </c>
      <c r="E172" s="442" t="s">
        <v>1353</v>
      </c>
      <c r="F172" s="88">
        <v>3.99</v>
      </c>
      <c r="G172" s="163"/>
      <c r="H172" s="383">
        <f t="shared" si="52"/>
        <v>3.99</v>
      </c>
      <c r="I172" s="540">
        <v>0.45</v>
      </c>
      <c r="J172" s="384">
        <f t="shared" si="53"/>
        <v>4.4400000000000004</v>
      </c>
      <c r="K172" s="377">
        <f t="shared" si="54"/>
        <v>7992000.0000000009</v>
      </c>
      <c r="L172" s="381" t="str">
        <f>VLOOKUP(B172,'[1]Gui chi Quynh'!$B$7:$F$397,5,FALSE)</f>
        <v>A4</v>
      </c>
      <c r="M172" s="515">
        <f t="shared" si="51"/>
        <v>7992000.0000000009</v>
      </c>
      <c r="N172" s="391">
        <v>21</v>
      </c>
      <c r="O172" s="459">
        <f>IFERROR(INDEX('[2]CN BC'!$J$10:$J$276,MATCH(B172,'[2]CN BC'!$H$10:$H$276,0)),"")</f>
        <v>21</v>
      </c>
      <c r="P172" s="515">
        <f t="shared" si="49"/>
        <v>7992000.0000000009</v>
      </c>
      <c r="Q172" s="409"/>
      <c r="R172" s="377">
        <f t="shared" si="55"/>
        <v>0</v>
      </c>
      <c r="S172" s="401"/>
      <c r="T172" s="377">
        <f t="shared" si="50"/>
        <v>0</v>
      </c>
      <c r="U172" s="377">
        <f t="shared" si="46"/>
        <v>79920</v>
      </c>
      <c r="V172" s="386">
        <f t="shared" si="44"/>
        <v>8071920.0000000009</v>
      </c>
      <c r="W172" s="512">
        <v>24</v>
      </c>
      <c r="X172" s="606">
        <f t="shared" si="47"/>
        <v>161</v>
      </c>
      <c r="Y172" s="514">
        <f>IFERROR(INDEX('[2]CN BC'!$M$10:$M$276,MATCH(B172,'[2]CN BC'!$H$10:$H$276,0)),"")</f>
        <v>0</v>
      </c>
      <c r="Z172" s="551" t="s">
        <v>819</v>
      </c>
      <c r="AA172" s="113"/>
      <c r="AC172" s="161"/>
    </row>
    <row r="173" spans="1:35" s="387" customFormat="1" ht="30" customHeight="1">
      <c r="A173" s="394">
        <f>_xlfn.AGGREGATE(4,7,A$11:A172)+1</f>
        <v>162</v>
      </c>
      <c r="B173" s="378" t="s">
        <v>1514</v>
      </c>
      <c r="C173" s="379" t="s">
        <v>979</v>
      </c>
      <c r="D173" s="452" t="s">
        <v>1748</v>
      </c>
      <c r="E173" s="441" t="s">
        <v>1354</v>
      </c>
      <c r="F173" s="388">
        <v>3.66</v>
      </c>
      <c r="G173" s="382"/>
      <c r="H173" s="383">
        <f t="shared" si="52"/>
        <v>3.66</v>
      </c>
      <c r="I173" s="383"/>
      <c r="J173" s="384">
        <f t="shared" si="53"/>
        <v>3.66</v>
      </c>
      <c r="K173" s="377">
        <f t="shared" si="54"/>
        <v>6588000</v>
      </c>
      <c r="L173" s="381" t="str">
        <f>VLOOKUP(B173,'[1]Gui chi Quynh'!$B$7:$F$397,5,FALSE)</f>
        <v>A4</v>
      </c>
      <c r="M173" s="515">
        <f t="shared" si="51"/>
        <v>6588000</v>
      </c>
      <c r="N173" s="391">
        <v>21</v>
      </c>
      <c r="O173" s="459">
        <f>IFERROR(INDEX('[2]CN BC'!$J$10:$J$276,MATCH(B173,'[2]CN BC'!$H$10:$H$276,0)),"")</f>
        <v>21</v>
      </c>
      <c r="P173" s="515">
        <f t="shared" si="49"/>
        <v>6588000</v>
      </c>
      <c r="Q173" s="480"/>
      <c r="R173" s="377">
        <f t="shared" si="55"/>
        <v>0</v>
      </c>
      <c r="S173" s="385"/>
      <c r="T173" s="377">
        <f t="shared" si="50"/>
        <v>0</v>
      </c>
      <c r="U173" s="377">
        <f t="shared" si="46"/>
        <v>65880</v>
      </c>
      <c r="V173" s="386">
        <f t="shared" si="44"/>
        <v>6653880</v>
      </c>
      <c r="W173" s="549">
        <v>23</v>
      </c>
      <c r="X173" s="606">
        <f t="shared" si="47"/>
        <v>162</v>
      </c>
      <c r="Y173" s="514">
        <f>IFERROR(INDEX('[2]CN BC'!$M$10:$M$276,MATCH(B173,'[2]CN BC'!$H$10:$H$276,0)),"")</f>
        <v>0</v>
      </c>
      <c r="Z173" s="551" t="s">
        <v>820</v>
      </c>
      <c r="AA173" s="113"/>
      <c r="AB173" s="114"/>
      <c r="AC173" s="508"/>
    </row>
    <row r="174" spans="1:35" s="387" customFormat="1" ht="24.75" customHeight="1">
      <c r="A174" s="394">
        <f>_xlfn.AGGREGATE(4,7,A$11:A173)+1</f>
        <v>163</v>
      </c>
      <c r="B174" s="378" t="s">
        <v>1515</v>
      </c>
      <c r="C174" s="379" t="s">
        <v>1212</v>
      </c>
      <c r="D174" s="452" t="s">
        <v>1749</v>
      </c>
      <c r="E174" s="441" t="s">
        <v>1355</v>
      </c>
      <c r="F174" s="388">
        <v>3.66</v>
      </c>
      <c r="G174" s="382"/>
      <c r="H174" s="383">
        <f t="shared" si="52"/>
        <v>3.66</v>
      </c>
      <c r="I174" s="383"/>
      <c r="J174" s="384">
        <f t="shared" si="53"/>
        <v>3.66</v>
      </c>
      <c r="K174" s="377">
        <f t="shared" si="54"/>
        <v>6588000</v>
      </c>
      <c r="L174" s="381" t="str">
        <f>VLOOKUP(B174,'[1]Gui chi Quynh'!$B$7:$F$397,5,FALSE)</f>
        <v>A3</v>
      </c>
      <c r="M174" s="515">
        <f t="shared" si="51"/>
        <v>7905600</v>
      </c>
      <c r="N174" s="391">
        <v>21</v>
      </c>
      <c r="O174" s="459">
        <f>IFERROR(INDEX('[2]CN BC'!$J$10:$J$276,MATCH(B174,'[2]CN BC'!$H$10:$H$276,0)),"")</f>
        <v>21</v>
      </c>
      <c r="P174" s="515">
        <f t="shared" si="49"/>
        <v>7905600</v>
      </c>
      <c r="Q174" s="409"/>
      <c r="R174" s="377">
        <f t="shared" si="55"/>
        <v>0</v>
      </c>
      <c r="S174" s="385"/>
      <c r="T174" s="377">
        <f t="shared" si="50"/>
        <v>0</v>
      </c>
      <c r="U174" s="377">
        <f t="shared" si="46"/>
        <v>65880</v>
      </c>
      <c r="V174" s="386">
        <f t="shared" si="44"/>
        <v>7971480</v>
      </c>
      <c r="W174" s="512">
        <v>23</v>
      </c>
      <c r="X174" s="606">
        <f t="shared" si="47"/>
        <v>163</v>
      </c>
      <c r="Y174" s="514">
        <f>IFERROR(INDEX('[2]CN BC'!$M$10:$M$276,MATCH(B174,'[2]CN BC'!$H$10:$H$276,0)),"")</f>
        <v>0</v>
      </c>
      <c r="Z174" s="551" t="s">
        <v>1119</v>
      </c>
      <c r="AA174" s="113"/>
      <c r="AB174" s="114"/>
      <c r="AC174" s="161"/>
      <c r="AD174" s="114"/>
      <c r="AE174" s="114"/>
      <c r="AF174" s="114"/>
      <c r="AG174" s="114"/>
      <c r="AH174" s="114"/>
      <c r="AI174" s="114"/>
    </row>
    <row r="175" spans="1:35" s="114" customFormat="1" ht="24.75" customHeight="1">
      <c r="A175" s="394">
        <f>_xlfn.AGGREGATE(4,7,A$11:A174)+1</f>
        <v>164</v>
      </c>
      <c r="B175" s="37" t="s">
        <v>1516</v>
      </c>
      <c r="C175" s="38" t="s">
        <v>1213</v>
      </c>
      <c r="D175" s="424" t="s">
        <v>1750</v>
      </c>
      <c r="E175" s="442" t="s">
        <v>1356</v>
      </c>
      <c r="F175" s="388">
        <v>3.66</v>
      </c>
      <c r="G175" s="163"/>
      <c r="H175" s="383">
        <f t="shared" si="52"/>
        <v>3.66</v>
      </c>
      <c r="I175" s="86"/>
      <c r="J175" s="384">
        <f t="shared" si="53"/>
        <v>3.66</v>
      </c>
      <c r="K175" s="377">
        <f t="shared" si="54"/>
        <v>6588000</v>
      </c>
      <c r="L175" s="381" t="str">
        <f>VLOOKUP(B175,'[1]Gui chi Quynh'!$B$7:$F$397,5,FALSE)</f>
        <v>A3</v>
      </c>
      <c r="M175" s="515">
        <f t="shared" si="51"/>
        <v>7905600</v>
      </c>
      <c r="N175" s="391">
        <v>21</v>
      </c>
      <c r="O175" s="459">
        <f>IFERROR(INDEX('[2]CN BC'!$J$10:$J$276,MATCH(B175,'[2]CN BC'!$H$10:$H$276,0)),"")</f>
        <v>21</v>
      </c>
      <c r="P175" s="515">
        <f t="shared" si="49"/>
        <v>7905600</v>
      </c>
      <c r="Q175" s="409"/>
      <c r="R175" s="377">
        <f t="shared" si="55"/>
        <v>0</v>
      </c>
      <c r="S175" s="401"/>
      <c r="T175" s="377">
        <f t="shared" si="50"/>
        <v>0</v>
      </c>
      <c r="U175" s="377">
        <f t="shared" si="46"/>
        <v>65880</v>
      </c>
      <c r="V175" s="386">
        <f t="shared" si="44"/>
        <v>7971480</v>
      </c>
      <c r="W175" s="459">
        <v>23</v>
      </c>
      <c r="X175" s="606">
        <f t="shared" si="47"/>
        <v>164</v>
      </c>
      <c r="Y175" s="514">
        <f>IFERROR(INDEX('[2]CN BC'!$M$10:$M$276,MATCH(B175,'[2]CN BC'!$H$10:$H$276,0)),"")</f>
        <v>0</v>
      </c>
      <c r="Z175" s="551" t="s">
        <v>1120</v>
      </c>
      <c r="AA175" s="113"/>
      <c r="AC175" s="161"/>
    </row>
    <row r="176" spans="1:35" s="114" customFormat="1" ht="26.25" customHeight="1">
      <c r="A176" s="394">
        <f>_xlfn.AGGREGATE(4,7,A$11:A175)+1</f>
        <v>165</v>
      </c>
      <c r="B176" s="37" t="s">
        <v>1883</v>
      </c>
      <c r="C176" s="38" t="s">
        <v>282</v>
      </c>
      <c r="D176" s="424" t="s">
        <v>1751</v>
      </c>
      <c r="E176" s="442" t="s">
        <v>381</v>
      </c>
      <c r="F176" s="88">
        <v>3.99</v>
      </c>
      <c r="G176" s="163"/>
      <c r="H176" s="383">
        <f t="shared" si="52"/>
        <v>3.99</v>
      </c>
      <c r="I176" s="86">
        <v>0.35</v>
      </c>
      <c r="J176" s="384">
        <f t="shared" si="53"/>
        <v>4.34</v>
      </c>
      <c r="K176" s="377">
        <f t="shared" si="54"/>
        <v>7812000</v>
      </c>
      <c r="L176" s="381" t="str">
        <f>VLOOKUP(B176,'[1]Gui chi Quynh'!$B$7:$F$397,5,FALSE)</f>
        <v>A4</v>
      </c>
      <c r="M176" s="515">
        <f t="shared" si="51"/>
        <v>7812000</v>
      </c>
      <c r="N176" s="391">
        <v>21</v>
      </c>
      <c r="O176" s="459">
        <f>IFERROR(INDEX('[2]CN BC'!$J$10:$J$276,MATCH(B176,'[2]CN BC'!$H$10:$H$276,0)),"")</f>
        <v>21</v>
      </c>
      <c r="P176" s="515">
        <f t="shared" si="49"/>
        <v>7812000</v>
      </c>
      <c r="Q176" s="409"/>
      <c r="R176" s="377">
        <f t="shared" si="55"/>
        <v>0</v>
      </c>
      <c r="S176" s="401"/>
      <c r="T176" s="377">
        <f t="shared" si="50"/>
        <v>0</v>
      </c>
      <c r="U176" s="377">
        <f t="shared" si="46"/>
        <v>78120</v>
      </c>
      <c r="V176" s="386">
        <f t="shared" si="44"/>
        <v>7890120</v>
      </c>
      <c r="W176" s="459">
        <v>23</v>
      </c>
      <c r="X176" s="606">
        <f t="shared" si="47"/>
        <v>165</v>
      </c>
      <c r="Y176" s="514">
        <f>IFERROR(INDEX('[2]CN BC'!$M$10:$M$276,MATCH(B176,'[2]CN BC'!$H$10:$H$276,0)),"")</f>
        <v>0</v>
      </c>
      <c r="Z176" s="551" t="s">
        <v>1121</v>
      </c>
      <c r="AA176" s="113"/>
      <c r="AC176" s="161"/>
    </row>
    <row r="177" spans="1:39" s="387" customFormat="1" ht="23.25" customHeight="1">
      <c r="A177" s="394">
        <f>_xlfn.AGGREGATE(4,7,A$11:A176)+1</f>
        <v>166</v>
      </c>
      <c r="B177" s="378" t="s">
        <v>1833</v>
      </c>
      <c r="C177" s="379"/>
      <c r="D177" s="452" t="s">
        <v>1966</v>
      </c>
      <c r="E177" s="507">
        <v>1603215005649</v>
      </c>
      <c r="F177" s="388">
        <v>3.33</v>
      </c>
      <c r="G177" s="382"/>
      <c r="H177" s="465">
        <f t="shared" si="52"/>
        <v>3.33</v>
      </c>
      <c r="I177" s="383"/>
      <c r="J177" s="384">
        <f t="shared" si="53"/>
        <v>3.33</v>
      </c>
      <c r="K177" s="377">
        <f t="shared" si="54"/>
        <v>5994000</v>
      </c>
      <c r="L177" s="381" t="str">
        <f>VLOOKUP(B177,'[1]Gui chi Quynh'!$B$7:$F$397,5,FALSE)</f>
        <v>A3</v>
      </c>
      <c r="M177" s="515">
        <f t="shared" si="51"/>
        <v>7192800</v>
      </c>
      <c r="N177" s="391">
        <v>21</v>
      </c>
      <c r="O177" s="459">
        <f>IFERROR(INDEX('[2]CN BC'!$J$10:$J$276,MATCH(B177,'[2]CN BC'!$H$10:$H$276,0)),"")</f>
        <v>21</v>
      </c>
      <c r="P177" s="515">
        <f t="shared" si="49"/>
        <v>7192800</v>
      </c>
      <c r="Q177" s="480"/>
      <c r="R177" s="377">
        <f t="shared" si="55"/>
        <v>0</v>
      </c>
      <c r="S177" s="385"/>
      <c r="T177" s="377">
        <f t="shared" si="50"/>
        <v>0</v>
      </c>
      <c r="U177" s="377">
        <f t="shared" si="46"/>
        <v>59940</v>
      </c>
      <c r="V177" s="386">
        <f t="shared" si="44"/>
        <v>7252740</v>
      </c>
      <c r="W177" s="487">
        <v>23</v>
      </c>
      <c r="X177" s="606">
        <f t="shared" si="47"/>
        <v>166</v>
      </c>
      <c r="Y177" s="514">
        <f>IFERROR(INDEX('[2]CN BC'!$M$10:$M$276,MATCH(B177,'[2]CN BC'!$H$10:$H$276,0)),"")</f>
        <v>0</v>
      </c>
      <c r="Z177" s="551" t="s">
        <v>1122</v>
      </c>
      <c r="AA177" s="113"/>
      <c r="AB177" s="114"/>
      <c r="AC177" s="161"/>
    </row>
    <row r="178" spans="1:39" s="387" customFormat="1" ht="29.25" customHeight="1">
      <c r="A178" s="394">
        <f>_xlfn.AGGREGATE(4,7,A$11:A177)+1</f>
        <v>167</v>
      </c>
      <c r="B178" s="378" t="s">
        <v>1884</v>
      </c>
      <c r="C178" s="379" t="s">
        <v>1175</v>
      </c>
      <c r="D178" s="424" t="s">
        <v>1752</v>
      </c>
      <c r="E178" s="441" t="s">
        <v>1345</v>
      </c>
      <c r="F178" s="388">
        <v>3.99</v>
      </c>
      <c r="G178" s="382"/>
      <c r="H178" s="383">
        <f t="shared" si="52"/>
        <v>3.99</v>
      </c>
      <c r="I178" s="383">
        <v>0.25</v>
      </c>
      <c r="J178" s="384">
        <f t="shared" si="53"/>
        <v>4.24</v>
      </c>
      <c r="K178" s="377">
        <f t="shared" si="54"/>
        <v>7632000</v>
      </c>
      <c r="L178" s="381" t="str">
        <f>VLOOKUP(B178,'[1]Gui chi Quynh'!$B$7:$F$397,5,FALSE)</f>
        <v>A3</v>
      </c>
      <c r="M178" s="515">
        <f t="shared" si="51"/>
        <v>9158400</v>
      </c>
      <c r="N178" s="391">
        <v>21</v>
      </c>
      <c r="O178" s="459">
        <f>IFERROR(INDEX('[2]CN BC'!$J$10:$J$276,MATCH(B178,'[2]CN BC'!$H$10:$H$276,0)),"")</f>
        <v>21</v>
      </c>
      <c r="P178" s="515">
        <f t="shared" si="49"/>
        <v>9158400</v>
      </c>
      <c r="Q178" s="409"/>
      <c r="R178" s="377">
        <f t="shared" si="55"/>
        <v>0</v>
      </c>
      <c r="S178" s="385"/>
      <c r="T178" s="377">
        <f t="shared" si="50"/>
        <v>0</v>
      </c>
      <c r="U178" s="377">
        <f t="shared" si="46"/>
        <v>76320</v>
      </c>
      <c r="V178" s="386">
        <f t="shared" si="44"/>
        <v>9234720</v>
      </c>
      <c r="W178" s="459">
        <v>23</v>
      </c>
      <c r="X178" s="606">
        <f t="shared" si="47"/>
        <v>167</v>
      </c>
      <c r="Y178" s="514">
        <f>IFERROR(INDEX('[2]CN BC'!$M$10:$M$276,MATCH(B178,'[2]CN BC'!$H$10:$H$276,0)),"")</f>
        <v>0</v>
      </c>
      <c r="Z178" s="551" t="s">
        <v>1123</v>
      </c>
      <c r="AA178" s="113"/>
      <c r="AB178" s="114"/>
      <c r="AC178" s="161"/>
      <c r="AD178" s="114"/>
      <c r="AE178" s="114"/>
      <c r="AF178" s="114"/>
      <c r="AG178" s="114"/>
      <c r="AH178" s="114"/>
      <c r="AI178" s="114"/>
      <c r="AJ178" s="114"/>
      <c r="AK178" s="114"/>
      <c r="AL178" s="114"/>
      <c r="AM178" s="114"/>
    </row>
    <row r="179" spans="1:39" s="387" customFormat="1" ht="29.25" customHeight="1">
      <c r="A179" s="394">
        <f>_xlfn.AGGREGATE(4,7,A$11:A178)+1</f>
        <v>168</v>
      </c>
      <c r="B179" s="378" t="s">
        <v>1517</v>
      </c>
      <c r="C179" s="379" t="s">
        <v>731</v>
      </c>
      <c r="D179" s="452" t="s">
        <v>1753</v>
      </c>
      <c r="E179" s="444">
        <v>1603205286594</v>
      </c>
      <c r="F179" s="388">
        <v>3.33</v>
      </c>
      <c r="G179" s="382"/>
      <c r="H179" s="465">
        <f t="shared" si="52"/>
        <v>3.33</v>
      </c>
      <c r="I179" s="383"/>
      <c r="J179" s="384">
        <f t="shared" si="53"/>
        <v>3.33</v>
      </c>
      <c r="K179" s="377">
        <f t="shared" si="54"/>
        <v>5994000</v>
      </c>
      <c r="L179" s="381" t="str">
        <f>VLOOKUP(B179,'[1]Gui chi Quynh'!$B$7:$F$397,5,FALSE)</f>
        <v>A3</v>
      </c>
      <c r="M179" s="515">
        <f t="shared" si="51"/>
        <v>7192800</v>
      </c>
      <c r="N179" s="391">
        <v>21</v>
      </c>
      <c r="O179" s="459">
        <f>IFERROR(INDEX('[2]CN BC'!$J$10:$J$276,MATCH(B179,'[2]CN BC'!$H$10:$H$276,0)),"")</f>
        <v>21</v>
      </c>
      <c r="P179" s="515">
        <f t="shared" si="49"/>
        <v>7192800</v>
      </c>
      <c r="Q179" s="480"/>
      <c r="R179" s="377">
        <f t="shared" si="55"/>
        <v>0</v>
      </c>
      <c r="S179" s="385"/>
      <c r="T179" s="377">
        <f t="shared" si="50"/>
        <v>0</v>
      </c>
      <c r="U179" s="377">
        <f t="shared" si="46"/>
        <v>59940</v>
      </c>
      <c r="V179" s="386">
        <f t="shared" si="44"/>
        <v>7252740</v>
      </c>
      <c r="W179" s="487">
        <v>23</v>
      </c>
      <c r="X179" s="606">
        <f t="shared" si="47"/>
        <v>168</v>
      </c>
      <c r="Y179" s="514">
        <f>IFERROR(INDEX('[2]CN BC'!$M$10:$M$276,MATCH(B179,'[2]CN BC'!$H$10:$H$276,0)),"")</f>
        <v>0</v>
      </c>
      <c r="Z179" s="551" t="s">
        <v>1124</v>
      </c>
      <c r="AA179" s="113"/>
      <c r="AB179" s="114"/>
      <c r="AC179" s="508"/>
    </row>
    <row r="180" spans="1:39" s="387" customFormat="1" ht="28.5" customHeight="1">
      <c r="A180" s="394">
        <f>_xlfn.AGGREGATE(4,7,A$11:A179)+1</f>
        <v>169</v>
      </c>
      <c r="B180" s="378" t="s">
        <v>1518</v>
      </c>
      <c r="C180" s="379" t="s">
        <v>1207</v>
      </c>
      <c r="D180" s="424" t="s">
        <v>1754</v>
      </c>
      <c r="E180" s="441" t="s">
        <v>1346</v>
      </c>
      <c r="F180" s="381">
        <v>3.99</v>
      </c>
      <c r="G180" s="382"/>
      <c r="H180" s="383">
        <f t="shared" ref="H180:H247" si="56">F180+(F180*G180)</f>
        <v>3.99</v>
      </c>
      <c r="I180" s="383"/>
      <c r="J180" s="384">
        <f t="shared" ref="J180:J247" si="57">H180+I180</f>
        <v>3.99</v>
      </c>
      <c r="K180" s="377">
        <f t="shared" si="54"/>
        <v>7182000</v>
      </c>
      <c r="L180" s="381" t="str">
        <f>VLOOKUP(B180,'[1]Gui chi Quynh'!$B$7:$F$397,5,FALSE)</f>
        <v>A3</v>
      </c>
      <c r="M180" s="515">
        <f t="shared" si="51"/>
        <v>8618400</v>
      </c>
      <c r="N180" s="391">
        <v>21</v>
      </c>
      <c r="O180" s="459">
        <f>IFERROR(INDEX('[2]CN BC'!$J$10:$J$276,MATCH(B180,'[2]CN BC'!$H$10:$H$276,0)),"")</f>
        <v>21</v>
      </c>
      <c r="P180" s="515">
        <f t="shared" si="49"/>
        <v>8618400</v>
      </c>
      <c r="Q180" s="409"/>
      <c r="R180" s="377">
        <f t="shared" si="55"/>
        <v>0</v>
      </c>
      <c r="S180" s="401"/>
      <c r="T180" s="377">
        <f t="shared" si="50"/>
        <v>0</v>
      </c>
      <c r="U180" s="377">
        <f t="shared" si="46"/>
        <v>71820</v>
      </c>
      <c r="V180" s="386">
        <f t="shared" si="44"/>
        <v>8690220</v>
      </c>
      <c r="W180" s="459">
        <v>23</v>
      </c>
      <c r="X180" s="606">
        <f t="shared" si="47"/>
        <v>169</v>
      </c>
      <c r="Y180" s="514">
        <f>IFERROR(INDEX('[2]CN BC'!$M$10:$M$276,MATCH(B180,'[2]CN BC'!$H$10:$H$276,0)),"")</f>
        <v>0</v>
      </c>
      <c r="Z180" s="551" t="s">
        <v>1125</v>
      </c>
      <c r="AA180" s="113"/>
      <c r="AB180" s="114"/>
      <c r="AC180" s="161"/>
      <c r="AD180" s="114"/>
      <c r="AE180" s="114"/>
      <c r="AF180" s="114"/>
      <c r="AG180" s="114"/>
      <c r="AH180" s="114"/>
      <c r="AI180" s="114"/>
      <c r="AJ180" s="114"/>
      <c r="AK180" s="114"/>
      <c r="AL180" s="114"/>
      <c r="AM180" s="114"/>
    </row>
    <row r="181" spans="1:39" s="387" customFormat="1" ht="28.5" customHeight="1">
      <c r="A181" s="394">
        <f>_xlfn.AGGREGATE(4,7,A$11:A180)+1</f>
        <v>170</v>
      </c>
      <c r="B181" s="378" t="s">
        <v>1519</v>
      </c>
      <c r="C181" s="379" t="s">
        <v>728</v>
      </c>
      <c r="D181" s="424" t="s">
        <v>1755</v>
      </c>
      <c r="E181" s="441" t="s">
        <v>771</v>
      </c>
      <c r="F181" s="388">
        <v>3.66</v>
      </c>
      <c r="G181" s="382"/>
      <c r="H181" s="383">
        <f t="shared" si="56"/>
        <v>3.66</v>
      </c>
      <c r="I181" s="383"/>
      <c r="J181" s="384">
        <f t="shared" si="57"/>
        <v>3.66</v>
      </c>
      <c r="K181" s="377">
        <f t="shared" ref="K181:K248" si="58">J181*$G$8</f>
        <v>6588000</v>
      </c>
      <c r="L181" s="381" t="str">
        <f>VLOOKUP(B181,'[1]Gui chi Quynh'!$B$7:$F$397,5,FALSE)</f>
        <v>A4</v>
      </c>
      <c r="M181" s="515">
        <f t="shared" si="51"/>
        <v>6588000</v>
      </c>
      <c r="N181" s="391">
        <v>21</v>
      </c>
      <c r="O181" s="459">
        <f>IFERROR(INDEX('[2]CN BC'!$J$10:$J$276,MATCH(B181,'[2]CN BC'!$H$10:$H$276,0)),"")</f>
        <v>21</v>
      </c>
      <c r="P181" s="515">
        <f t="shared" si="49"/>
        <v>6588000</v>
      </c>
      <c r="Q181" s="409"/>
      <c r="R181" s="377">
        <f t="shared" si="55"/>
        <v>0</v>
      </c>
      <c r="S181" s="401"/>
      <c r="T181" s="377">
        <f t="shared" si="50"/>
        <v>0</v>
      </c>
      <c r="U181" s="377">
        <f t="shared" si="46"/>
        <v>65880</v>
      </c>
      <c r="V181" s="386">
        <f t="shared" si="44"/>
        <v>6653880</v>
      </c>
      <c r="W181" s="459">
        <v>23</v>
      </c>
      <c r="X181" s="606">
        <f t="shared" si="47"/>
        <v>170</v>
      </c>
      <c r="Y181" s="514">
        <f>IFERROR(INDEX('[2]CN BC'!$M$10:$M$276,MATCH(B181,'[2]CN BC'!$H$10:$H$276,0)),"")</f>
        <v>0</v>
      </c>
      <c r="Z181" s="551" t="s">
        <v>1126</v>
      </c>
      <c r="AA181" s="113"/>
      <c r="AB181" s="114"/>
      <c r="AC181" s="161"/>
      <c r="AD181" s="114"/>
      <c r="AE181" s="114"/>
      <c r="AF181" s="114"/>
      <c r="AG181" s="114"/>
      <c r="AH181" s="114"/>
      <c r="AI181" s="114"/>
      <c r="AJ181" s="114"/>
      <c r="AK181" s="114"/>
      <c r="AL181" s="114"/>
      <c r="AM181" s="114"/>
    </row>
    <row r="182" spans="1:39" s="387" customFormat="1" ht="60">
      <c r="A182" s="394">
        <f>_xlfn.AGGREGATE(4,7,A$11:A181)+1</f>
        <v>171</v>
      </c>
      <c r="B182" s="598" t="s">
        <v>1520</v>
      </c>
      <c r="C182" s="585" t="s">
        <v>876</v>
      </c>
      <c r="D182" s="599" t="s">
        <v>1756</v>
      </c>
      <c r="E182" s="618" t="s">
        <v>1593</v>
      </c>
      <c r="F182" s="602">
        <v>3.99</v>
      </c>
      <c r="G182" s="586"/>
      <c r="H182" s="587">
        <f t="shared" si="56"/>
        <v>3.99</v>
      </c>
      <c r="I182" s="587">
        <v>0.25</v>
      </c>
      <c r="J182" s="588">
        <f t="shared" si="57"/>
        <v>4.24</v>
      </c>
      <c r="K182" s="589">
        <f t="shared" si="58"/>
        <v>7632000</v>
      </c>
      <c r="L182" s="590" t="str">
        <f>VLOOKUP(B182,'[1]Gui chi Quynh'!$B$7:$F$397,5,FALSE)</f>
        <v>B1</v>
      </c>
      <c r="M182" s="591">
        <f t="shared" si="51"/>
        <v>5342400</v>
      </c>
      <c r="N182" s="592">
        <v>21</v>
      </c>
      <c r="O182" s="593">
        <f>IFERROR(INDEX('[2]CN BC'!$J$10:$J$276,MATCH(B182,'[2]CN BC'!$H$10:$H$276,0)),"")</f>
        <v>21</v>
      </c>
      <c r="P182" s="591">
        <f t="shared" si="49"/>
        <v>5342400</v>
      </c>
      <c r="Q182" s="594"/>
      <c r="R182" s="589">
        <f t="shared" si="55"/>
        <v>0</v>
      </c>
      <c r="S182" s="595"/>
      <c r="T182" s="589">
        <f t="shared" si="50"/>
        <v>0</v>
      </c>
      <c r="U182" s="589">
        <f t="shared" si="46"/>
        <v>76320</v>
      </c>
      <c r="V182" s="596">
        <f t="shared" si="44"/>
        <v>5418720</v>
      </c>
      <c r="W182" s="593">
        <v>23</v>
      </c>
      <c r="X182" s="611">
        <f t="shared" si="47"/>
        <v>171</v>
      </c>
      <c r="Y182" s="597" t="s">
        <v>2024</v>
      </c>
      <c r="Z182" s="551" t="s">
        <v>1127</v>
      </c>
      <c r="AA182" s="113"/>
      <c r="AB182" s="114"/>
      <c r="AC182" s="161"/>
      <c r="AD182" s="114"/>
      <c r="AE182" s="114"/>
      <c r="AF182" s="114"/>
      <c r="AG182" s="114"/>
      <c r="AH182" s="114"/>
      <c r="AI182" s="114"/>
      <c r="AJ182" s="114"/>
      <c r="AK182" s="114"/>
      <c r="AL182" s="114"/>
      <c r="AM182" s="114"/>
    </row>
    <row r="183" spans="1:39" s="387" customFormat="1" ht="28.5" customHeight="1">
      <c r="A183" s="394">
        <f>_xlfn.AGGREGATE(4,7,A$11:A182)+1</f>
        <v>172</v>
      </c>
      <c r="B183" s="378" t="s">
        <v>1467</v>
      </c>
      <c r="C183" s="390" t="s">
        <v>1021</v>
      </c>
      <c r="D183" s="452" t="s">
        <v>1674</v>
      </c>
      <c r="E183" s="441" t="s">
        <v>1343</v>
      </c>
      <c r="F183" s="381">
        <v>3.99</v>
      </c>
      <c r="G183" s="382"/>
      <c r="H183" s="383">
        <f>F183+(F183*G183)</f>
        <v>3.99</v>
      </c>
      <c r="I183" s="383"/>
      <c r="J183" s="384">
        <f>H183+I183</f>
        <v>3.99</v>
      </c>
      <c r="K183" s="377">
        <f>J183*$G$8</f>
        <v>7182000</v>
      </c>
      <c r="L183" s="381" t="str">
        <f>VLOOKUP(B183,'[1]Gui chi Quynh'!$B$7:$F$397,5,FALSE)</f>
        <v>A3</v>
      </c>
      <c r="M183" s="515">
        <f t="shared" si="51"/>
        <v>8618400</v>
      </c>
      <c r="N183" s="391">
        <v>21</v>
      </c>
      <c r="O183" s="459">
        <f>IFERROR(INDEX('[2]CN BC'!$J$10:$J$276,MATCH(B183,'[2]CN BC'!$H$10:$H$276,0)),"")</f>
        <v>21</v>
      </c>
      <c r="P183" s="515">
        <f t="shared" si="49"/>
        <v>8618400</v>
      </c>
      <c r="Q183" s="480"/>
      <c r="R183" s="377">
        <f t="shared" si="55"/>
        <v>0</v>
      </c>
      <c r="S183" s="385"/>
      <c r="T183" s="377">
        <f t="shared" si="50"/>
        <v>0</v>
      </c>
      <c r="U183" s="377">
        <f>IF(OR(L183="A DN",L183="KXL", L183=""),"0",ROUND(J183*0.01*$G$8+Q183*1%*$G$8+S183*1%*$G$8,))</f>
        <v>71820</v>
      </c>
      <c r="V183" s="386">
        <f>(P183+R183+T183+U183)</f>
        <v>8690220</v>
      </c>
      <c r="W183" s="487">
        <v>23</v>
      </c>
      <c r="X183" s="606">
        <f t="shared" si="47"/>
        <v>172</v>
      </c>
      <c r="Y183" s="514">
        <f>IFERROR(INDEX('[2]CN BC'!$M$10:$M$276,MATCH(B183,'[2]CN BC'!$H$10:$H$276,0)),"")</f>
        <v>0</v>
      </c>
      <c r="Z183" s="551" t="s">
        <v>1131</v>
      </c>
      <c r="AA183" s="113"/>
      <c r="AB183" s="114"/>
      <c r="AC183" s="161">
        <f>3.68*1490000*1.4</f>
        <v>7676479.9999999991</v>
      </c>
      <c r="AD183" s="114"/>
      <c r="AE183" s="114"/>
      <c r="AF183" s="114"/>
      <c r="AG183" s="114"/>
      <c r="AH183" s="114"/>
      <c r="AI183" s="114"/>
    </row>
    <row r="184" spans="1:39" s="387" customFormat="1" ht="28.5" customHeight="1">
      <c r="A184" s="394">
        <f>_xlfn.AGGREGATE(4,7,A$11:A183)+1</f>
        <v>173</v>
      </c>
      <c r="B184" s="378" t="s">
        <v>2011</v>
      </c>
      <c r="C184" s="390"/>
      <c r="D184" s="452"/>
      <c r="E184" s="441"/>
      <c r="F184" s="381">
        <v>2.2690000000000001</v>
      </c>
      <c r="G184" s="382"/>
      <c r="H184" s="383">
        <f>F184+(F184*G184)</f>
        <v>2.2690000000000001</v>
      </c>
      <c r="I184" s="383"/>
      <c r="J184" s="384">
        <f>H184+I184</f>
        <v>2.2690000000000001</v>
      </c>
      <c r="K184" s="377">
        <f>J184*$G$8</f>
        <v>4084200</v>
      </c>
      <c r="L184" s="381" t="str">
        <f>VLOOKUP(B184,'[1]Gui chi Quynh'!$B$7:$F$397,5,FALSE)</f>
        <v>A3</v>
      </c>
      <c r="M184" s="515">
        <f t="shared" si="51"/>
        <v>4901040</v>
      </c>
      <c r="N184" s="391">
        <v>21</v>
      </c>
      <c r="O184" s="459">
        <f>IFERROR(INDEX('[2]CN BC'!$J$10:$J$276,MATCH(B184,'[2]CN BC'!$H$10:$H$276,0)),"")</f>
        <v>21</v>
      </c>
      <c r="P184" s="515">
        <f t="shared" si="49"/>
        <v>4901040</v>
      </c>
      <c r="Q184" s="480"/>
      <c r="R184" s="377">
        <f t="shared" si="55"/>
        <v>0</v>
      </c>
      <c r="S184" s="385"/>
      <c r="T184" s="377">
        <f t="shared" si="50"/>
        <v>0</v>
      </c>
      <c r="U184" s="377">
        <f>IF(OR(L184="A DN",L184="KXL", L184=""),"0",ROUND(J184*0.01*$G$8+Q184*1%*$G$8+S184*1%*$G$8,))</f>
        <v>40842</v>
      </c>
      <c r="V184" s="386">
        <f>(P184+R184+T184+U184)</f>
        <v>4941882</v>
      </c>
      <c r="W184" s="487"/>
      <c r="X184" s="606">
        <f t="shared" si="47"/>
        <v>173</v>
      </c>
      <c r="Y184" s="514">
        <f>IFERROR(INDEX('[2]CN BC'!$M$10:$M$276,MATCH(B184,'[2]CN BC'!$H$10:$H$276,0)),"")</f>
        <v>0</v>
      </c>
      <c r="Z184" s="578"/>
      <c r="AA184" s="568"/>
      <c r="AC184" s="508"/>
    </row>
    <row r="185" spans="1:39" s="387" customFormat="1" ht="28.5" customHeight="1">
      <c r="A185" s="394">
        <f>_xlfn.AGGREGATE(4,7,A$11:A184)+1</f>
        <v>174</v>
      </c>
      <c r="B185" s="378" t="s">
        <v>2017</v>
      </c>
      <c r="C185" s="390"/>
      <c r="D185" s="452"/>
      <c r="E185" s="441"/>
      <c r="F185" s="381">
        <v>1.9890000000000001</v>
      </c>
      <c r="G185" s="382"/>
      <c r="H185" s="383">
        <f>F185+(F185*G185)</f>
        <v>1.9890000000000001</v>
      </c>
      <c r="I185" s="383"/>
      <c r="J185" s="384">
        <f>H185+I185</f>
        <v>1.9890000000000001</v>
      </c>
      <c r="K185" s="377">
        <f>J185*$G$8</f>
        <v>3580200</v>
      </c>
      <c r="L185" s="381" t="str">
        <f>VLOOKUP(B185,'[1]Gui chi Quynh'!$B$7:$F$397,5,FALSE)</f>
        <v>A4</v>
      </c>
      <c r="M185" s="515">
        <f t="shared" si="51"/>
        <v>3580200</v>
      </c>
      <c r="N185" s="391">
        <v>21</v>
      </c>
      <c r="O185" s="459">
        <f>IFERROR(INDEX('[2]CN BC'!$J$10:$J$276,MATCH(B185,'[2]CN BC'!$H$10:$H$276,0)),"")</f>
        <v>21</v>
      </c>
      <c r="P185" s="515">
        <f t="shared" si="49"/>
        <v>3580200</v>
      </c>
      <c r="Q185" s="480"/>
      <c r="R185" s="377">
        <f t="shared" si="55"/>
        <v>0</v>
      </c>
      <c r="S185" s="385"/>
      <c r="T185" s="377">
        <f t="shared" si="50"/>
        <v>0</v>
      </c>
      <c r="U185" s="377">
        <f>IF(OR(L185="A DN",L185="KXL", L185=""),"0",ROUND(J185*0.01*$G$8+Q185*1%*$G$8+S185*1%*$G$8,))</f>
        <v>35802</v>
      </c>
      <c r="V185" s="386">
        <f>(P185+R185+T185+U185)</f>
        <v>3616002</v>
      </c>
      <c r="W185" s="487"/>
      <c r="X185" s="606">
        <f t="shared" si="47"/>
        <v>174</v>
      </c>
      <c r="Y185" s="514">
        <f>IFERROR(INDEX('[2]CN BC'!$M$10:$M$276,MATCH(B185,'[2]CN BC'!$H$10:$H$276,0)),"")</f>
        <v>0</v>
      </c>
      <c r="Z185" s="578"/>
      <c r="AA185" s="568"/>
      <c r="AC185" s="508"/>
    </row>
    <row r="186" spans="1:39" s="387" customFormat="1" ht="28.5" customHeight="1">
      <c r="A186" s="394">
        <f>_xlfn.AGGREGATE(4,7,A$11:A185)+1</f>
        <v>175</v>
      </c>
      <c r="B186" s="378" t="s">
        <v>1885</v>
      </c>
      <c r="C186" s="379" t="s">
        <v>1041</v>
      </c>
      <c r="D186" s="452" t="s">
        <v>1757</v>
      </c>
      <c r="E186" s="441" t="s">
        <v>1368</v>
      </c>
      <c r="F186" s="381">
        <v>4.6500000000000004</v>
      </c>
      <c r="G186" s="382"/>
      <c r="H186" s="383">
        <f t="shared" si="56"/>
        <v>4.6500000000000004</v>
      </c>
      <c r="I186" s="383">
        <v>0.45</v>
      </c>
      <c r="J186" s="384">
        <f t="shared" si="57"/>
        <v>5.1000000000000005</v>
      </c>
      <c r="K186" s="377">
        <f t="shared" si="58"/>
        <v>9180000.0000000019</v>
      </c>
      <c r="L186" s="381" t="str">
        <f>VLOOKUP(B186,'[1]Gui chi Quynh'!$B$7:$F$397,5,FALSE)</f>
        <v>A1</v>
      </c>
      <c r="M186" s="515">
        <f t="shared" si="51"/>
        <v>14688000.000000004</v>
      </c>
      <c r="N186" s="391">
        <v>21</v>
      </c>
      <c r="O186" s="459">
        <f>IFERROR(INDEX('[2]CN BC'!$J$10:$J$276,MATCH(B186,'[2]CN BC'!$H$10:$H$276,0)),"")</f>
        <v>26</v>
      </c>
      <c r="P186" s="515">
        <f t="shared" si="49"/>
        <v>14688000.000000004</v>
      </c>
      <c r="Q186" s="409"/>
      <c r="R186" s="377">
        <f t="shared" si="55"/>
        <v>0</v>
      </c>
      <c r="S186" s="385"/>
      <c r="T186" s="377">
        <f t="shared" si="50"/>
        <v>0</v>
      </c>
      <c r="U186" s="377">
        <f>IF(OR(L186="A DN",L186="KXL", L186=""),"0",ROUND(J186*0.01*$G$8+Q186*1%*$G$8+S186*1%*$G$8,))</f>
        <v>91800</v>
      </c>
      <c r="V186" s="386">
        <f>(P186+R186+T186+U186)</f>
        <v>14779800.000000004</v>
      </c>
      <c r="W186" s="459">
        <v>27</v>
      </c>
      <c r="X186" s="606">
        <f t="shared" si="47"/>
        <v>175</v>
      </c>
      <c r="Y186" s="514">
        <f>IFERROR(INDEX('[2]CN BC'!$M$10:$M$276,MATCH(B186,'[2]CN BC'!$H$10:$H$276,0)),"")</f>
        <v>0</v>
      </c>
      <c r="Z186" s="550" t="s">
        <v>812</v>
      </c>
      <c r="AA186" s="113"/>
      <c r="AB186" s="114"/>
      <c r="AC186" s="161"/>
      <c r="AD186" s="114"/>
      <c r="AE186" s="114"/>
      <c r="AF186" s="114"/>
      <c r="AG186" s="114"/>
      <c r="AH186" s="114"/>
      <c r="AI186" s="114"/>
    </row>
    <row r="187" spans="1:39" s="114" customFormat="1" ht="26.25" customHeight="1">
      <c r="A187" s="394">
        <f>_xlfn.AGGREGATE(4,7,A$11:A186)+1</f>
        <v>176</v>
      </c>
      <c r="B187" s="37" t="s">
        <v>1886</v>
      </c>
      <c r="C187" s="38" t="s">
        <v>1032</v>
      </c>
      <c r="D187" s="424" t="s">
        <v>1758</v>
      </c>
      <c r="E187" s="442" t="s">
        <v>1363</v>
      </c>
      <c r="F187" s="10">
        <v>4.9800000000000004</v>
      </c>
      <c r="G187" s="163">
        <v>7.0000000000000007E-2</v>
      </c>
      <c r="H187" s="383">
        <f t="shared" si="56"/>
        <v>5.3286000000000007</v>
      </c>
      <c r="I187" s="86"/>
      <c r="J187" s="384">
        <f t="shared" si="57"/>
        <v>5.3286000000000007</v>
      </c>
      <c r="K187" s="377">
        <f t="shared" si="58"/>
        <v>9591480.0000000019</v>
      </c>
      <c r="L187" s="381" t="str">
        <f>VLOOKUP(B187,'[1]Gui chi Quynh'!$B$7:$F$397,5,FALSE)</f>
        <v>A4</v>
      </c>
      <c r="M187" s="515">
        <f t="shared" si="51"/>
        <v>9591480.0000000019</v>
      </c>
      <c r="N187" s="391">
        <v>21</v>
      </c>
      <c r="O187" s="459">
        <f>IFERROR(INDEX('[2]CN BC'!$J$10:$J$276,MATCH(B187,'[2]CN BC'!$H$10:$H$276,0)),"")</f>
        <v>21</v>
      </c>
      <c r="P187" s="515">
        <f t="shared" si="49"/>
        <v>9591480.0000000019</v>
      </c>
      <c r="Q187" s="409"/>
      <c r="R187" s="377">
        <f t="shared" ref="R187:R250" si="59">Q187*$G$8*1</f>
        <v>0</v>
      </c>
      <c r="S187" s="401"/>
      <c r="T187" s="377">
        <f t="shared" si="50"/>
        <v>0</v>
      </c>
      <c r="U187" s="377">
        <f t="shared" si="46"/>
        <v>95915</v>
      </c>
      <c r="V187" s="386">
        <f t="shared" si="44"/>
        <v>9687395.0000000019</v>
      </c>
      <c r="W187" s="459">
        <v>23</v>
      </c>
      <c r="X187" s="606">
        <f t="shared" si="47"/>
        <v>176</v>
      </c>
      <c r="Y187" s="514">
        <f>IFERROR(INDEX('[2]CN BC'!$M$10:$M$276,MATCH(B187,'[2]CN BC'!$H$10:$H$276,0)),"")</f>
        <v>0</v>
      </c>
      <c r="Z187" s="550" t="s">
        <v>812</v>
      </c>
      <c r="AA187" s="113"/>
      <c r="AC187" s="161"/>
    </row>
    <row r="188" spans="1:39" s="387" customFormat="1" ht="31.5" customHeight="1">
      <c r="A188" s="394">
        <f>_xlfn.AGGREGATE(4,7,A$11:A187)+1</f>
        <v>177</v>
      </c>
      <c r="B188" s="378" t="s">
        <v>1887</v>
      </c>
      <c r="C188" s="379" t="s">
        <v>884</v>
      </c>
      <c r="D188" s="452" t="s">
        <v>1759</v>
      </c>
      <c r="E188" s="441" t="s">
        <v>1364</v>
      </c>
      <c r="F188" s="381">
        <v>4.9800000000000004</v>
      </c>
      <c r="G188" s="382">
        <v>7.0000000000000007E-2</v>
      </c>
      <c r="H188" s="383">
        <f t="shared" si="56"/>
        <v>5.3286000000000007</v>
      </c>
      <c r="I188" s="383"/>
      <c r="J188" s="384">
        <f t="shared" si="57"/>
        <v>5.3286000000000007</v>
      </c>
      <c r="K188" s="377">
        <f t="shared" si="58"/>
        <v>9591480.0000000019</v>
      </c>
      <c r="L188" s="381" t="str">
        <f>VLOOKUP(B188,'[1]Gui chi Quynh'!$B$7:$F$397,5,FALSE)</f>
        <v>A3</v>
      </c>
      <c r="M188" s="515">
        <f t="shared" si="51"/>
        <v>11509776.000000002</v>
      </c>
      <c r="N188" s="391">
        <v>21</v>
      </c>
      <c r="O188" s="459">
        <f>IFERROR(INDEX('[2]CN BC'!$J$10:$J$276,MATCH(B188,'[2]CN BC'!$H$10:$H$276,0)),"")</f>
        <v>21</v>
      </c>
      <c r="P188" s="515">
        <f t="shared" si="49"/>
        <v>11509776.000000002</v>
      </c>
      <c r="Q188" s="409"/>
      <c r="R188" s="377">
        <f t="shared" si="59"/>
        <v>0</v>
      </c>
      <c r="S188" s="385"/>
      <c r="T188" s="377">
        <f t="shared" si="50"/>
        <v>0</v>
      </c>
      <c r="U188" s="377">
        <f t="shared" si="46"/>
        <v>95915</v>
      </c>
      <c r="V188" s="386">
        <f t="shared" si="44"/>
        <v>11605691.000000002</v>
      </c>
      <c r="W188" s="459">
        <v>23</v>
      </c>
      <c r="X188" s="606">
        <f t="shared" si="47"/>
        <v>177</v>
      </c>
      <c r="Y188" s="514">
        <f>IFERROR(INDEX('[2]CN BC'!$M$10:$M$276,MATCH(B188,'[2]CN BC'!$H$10:$H$276,0)),"")</f>
        <v>0</v>
      </c>
      <c r="Z188" s="550" t="s">
        <v>813</v>
      </c>
      <c r="AA188" s="113"/>
      <c r="AB188" s="114"/>
      <c r="AC188" s="161"/>
      <c r="AD188" s="114"/>
      <c r="AE188" s="114"/>
      <c r="AF188" s="114"/>
      <c r="AG188" s="114"/>
      <c r="AH188" s="114"/>
      <c r="AI188" s="114"/>
    </row>
    <row r="189" spans="1:39" s="387" customFormat="1" ht="25.5" customHeight="1">
      <c r="A189" s="394">
        <f>_xlfn.AGGREGATE(4,7,A$11:A188)+1</f>
        <v>178</v>
      </c>
      <c r="B189" s="378" t="s">
        <v>1888</v>
      </c>
      <c r="C189" s="379" t="s">
        <v>1043</v>
      </c>
      <c r="D189" s="452" t="s">
        <v>1760</v>
      </c>
      <c r="E189" s="441" t="s">
        <v>1369</v>
      </c>
      <c r="F189" s="381">
        <v>4.32</v>
      </c>
      <c r="G189" s="382"/>
      <c r="H189" s="383">
        <f t="shared" si="56"/>
        <v>4.32</v>
      </c>
      <c r="I189" s="383"/>
      <c r="J189" s="384">
        <f t="shared" si="57"/>
        <v>4.32</v>
      </c>
      <c r="K189" s="377">
        <f t="shared" si="58"/>
        <v>7776000.0000000009</v>
      </c>
      <c r="L189" s="381" t="str">
        <f>VLOOKUP(B189,'[1]Gui chi Quynh'!$B$7:$F$397,5,FALSE)</f>
        <v>A4</v>
      </c>
      <c r="M189" s="515">
        <f t="shared" si="51"/>
        <v>7776000.0000000009</v>
      </c>
      <c r="N189" s="391">
        <v>21</v>
      </c>
      <c r="O189" s="459">
        <f>IFERROR(INDEX('[2]CN BC'!$J$10:$J$276,MATCH(B189,'[2]CN BC'!$H$10:$H$276,0)),"")</f>
        <v>21</v>
      </c>
      <c r="P189" s="515">
        <f t="shared" si="49"/>
        <v>7776000.0000000009</v>
      </c>
      <c r="Q189" s="480"/>
      <c r="R189" s="377">
        <f t="shared" si="59"/>
        <v>0</v>
      </c>
      <c r="S189" s="385"/>
      <c r="T189" s="377">
        <f t="shared" si="50"/>
        <v>0</v>
      </c>
      <c r="U189" s="377">
        <f t="shared" si="46"/>
        <v>77760</v>
      </c>
      <c r="V189" s="386">
        <f t="shared" si="44"/>
        <v>7853760.0000000009</v>
      </c>
      <c r="W189" s="459">
        <v>23</v>
      </c>
      <c r="X189" s="606">
        <f t="shared" si="47"/>
        <v>178</v>
      </c>
      <c r="Y189" s="514">
        <f>IFERROR(INDEX('[2]CN BC'!$M$10:$M$276,MATCH(B189,'[2]CN BC'!$H$10:$H$276,0)),"")</f>
        <v>0</v>
      </c>
      <c r="Z189" s="550" t="s">
        <v>814</v>
      </c>
      <c r="AA189" s="113"/>
      <c r="AB189" s="114"/>
      <c r="AC189" s="161"/>
      <c r="AD189" s="114"/>
      <c r="AE189" s="114"/>
      <c r="AF189" s="114"/>
      <c r="AG189" s="114"/>
      <c r="AH189" s="114"/>
      <c r="AI189" s="114"/>
    </row>
    <row r="190" spans="1:39" s="387" customFormat="1" ht="25.5" customHeight="1">
      <c r="A190" s="394">
        <f>_xlfn.AGGREGATE(4,7,A$11:A189)+1</f>
        <v>179</v>
      </c>
      <c r="B190" s="378" t="s">
        <v>1889</v>
      </c>
      <c r="C190" s="379" t="s">
        <v>1028</v>
      </c>
      <c r="D190" s="452" t="s">
        <v>1761</v>
      </c>
      <c r="E190" s="441" t="s">
        <v>42</v>
      </c>
      <c r="F190" s="381">
        <v>4.9800000000000004</v>
      </c>
      <c r="G190" s="382">
        <v>0.15</v>
      </c>
      <c r="H190" s="383">
        <f t="shared" si="56"/>
        <v>5.7270000000000003</v>
      </c>
      <c r="I190" s="383"/>
      <c r="J190" s="384">
        <f t="shared" si="57"/>
        <v>5.7270000000000003</v>
      </c>
      <c r="K190" s="377">
        <f t="shared" si="58"/>
        <v>10308600</v>
      </c>
      <c r="L190" s="381" t="str">
        <f>VLOOKUP(B190,'[1]Gui chi Quynh'!$B$7:$F$397,5,FALSE)</f>
        <v>A4</v>
      </c>
      <c r="M190" s="515">
        <f t="shared" si="51"/>
        <v>10308600</v>
      </c>
      <c r="N190" s="391">
        <v>21</v>
      </c>
      <c r="O190" s="459">
        <f>IFERROR(INDEX('[2]CN BC'!$J$10:$J$276,MATCH(B190,'[2]CN BC'!$H$10:$H$276,0)),"")</f>
        <v>21</v>
      </c>
      <c r="P190" s="515">
        <f t="shared" si="49"/>
        <v>10308600</v>
      </c>
      <c r="Q190" s="480"/>
      <c r="R190" s="377">
        <f t="shared" si="59"/>
        <v>0</v>
      </c>
      <c r="S190" s="385"/>
      <c r="T190" s="377">
        <f t="shared" si="50"/>
        <v>0</v>
      </c>
      <c r="U190" s="377">
        <f t="shared" si="46"/>
        <v>103086</v>
      </c>
      <c r="V190" s="386">
        <f>(P190+R190+T190+U190)</f>
        <v>10411686</v>
      </c>
      <c r="W190" s="459">
        <v>23</v>
      </c>
      <c r="X190" s="606">
        <f t="shared" si="47"/>
        <v>179</v>
      </c>
      <c r="Y190" s="514">
        <f>IFERROR(INDEX('[2]CN BC'!$M$10:$M$276,MATCH(B190,'[2]CN BC'!$H$10:$H$276,0)),"")</f>
        <v>0</v>
      </c>
      <c r="Z190" s="550" t="s">
        <v>815</v>
      </c>
      <c r="AA190" s="113"/>
      <c r="AB190" s="114"/>
      <c r="AC190" s="161"/>
      <c r="AD190" s="114"/>
      <c r="AE190" s="114"/>
      <c r="AF190" s="114"/>
      <c r="AG190" s="114"/>
      <c r="AH190" s="114"/>
      <c r="AI190" s="114"/>
    </row>
    <row r="191" spans="1:39" s="387" customFormat="1" ht="25.5" customHeight="1">
      <c r="A191" s="394">
        <f>_xlfn.AGGREGATE(4,7,A$11:A190)+1</f>
        <v>180</v>
      </c>
      <c r="B191" s="378" t="s">
        <v>1890</v>
      </c>
      <c r="C191" s="379" t="s">
        <v>1039</v>
      </c>
      <c r="D191" s="452" t="s">
        <v>1762</v>
      </c>
      <c r="E191" s="441" t="s">
        <v>1367</v>
      </c>
      <c r="F191" s="381">
        <v>4.6500000000000004</v>
      </c>
      <c r="G191" s="382"/>
      <c r="H191" s="383">
        <f t="shared" si="56"/>
        <v>4.6500000000000004</v>
      </c>
      <c r="I191" s="383">
        <f>0.25</f>
        <v>0.25</v>
      </c>
      <c r="J191" s="384">
        <f t="shared" si="57"/>
        <v>4.9000000000000004</v>
      </c>
      <c r="K191" s="377">
        <f t="shared" si="58"/>
        <v>8820000</v>
      </c>
      <c r="L191" s="381" t="str">
        <f>VLOOKUP(B191,'[1]Gui chi Quynh'!$B$7:$F$397,5,FALSE)</f>
        <v>A3</v>
      </c>
      <c r="M191" s="515">
        <f t="shared" si="51"/>
        <v>10584000</v>
      </c>
      <c r="N191" s="391">
        <v>21</v>
      </c>
      <c r="O191" s="459">
        <f>IFERROR(INDEX('[2]CN BC'!$J$10:$J$276,MATCH(B191,'[2]CN BC'!$H$10:$H$276,0)),"")</f>
        <v>21</v>
      </c>
      <c r="P191" s="515">
        <f t="shared" si="49"/>
        <v>10584000</v>
      </c>
      <c r="Q191" s="480"/>
      <c r="R191" s="377">
        <f t="shared" si="59"/>
        <v>0</v>
      </c>
      <c r="S191" s="385"/>
      <c r="T191" s="377">
        <f t="shared" si="50"/>
        <v>0</v>
      </c>
      <c r="U191" s="377">
        <f t="shared" si="46"/>
        <v>88200</v>
      </c>
      <c r="V191" s="386">
        <f t="shared" si="44"/>
        <v>10672200</v>
      </c>
      <c r="W191" s="459">
        <v>23</v>
      </c>
      <c r="X191" s="606">
        <f t="shared" si="47"/>
        <v>180</v>
      </c>
      <c r="Y191" s="514">
        <f>IFERROR(INDEX('[2]CN BC'!$M$10:$M$276,MATCH(B191,'[2]CN BC'!$H$10:$H$276,0)),"")</f>
        <v>0</v>
      </c>
      <c r="Z191" s="550" t="s">
        <v>816</v>
      </c>
      <c r="AA191" s="113"/>
      <c r="AB191" s="114"/>
      <c r="AC191" s="161"/>
      <c r="AD191" s="114"/>
      <c r="AE191" s="114"/>
      <c r="AF191" s="114"/>
      <c r="AG191" s="114"/>
      <c r="AH191" s="114"/>
      <c r="AI191" s="114"/>
    </row>
    <row r="192" spans="1:39" s="387" customFormat="1" ht="25.5" customHeight="1">
      <c r="A192" s="394">
        <f>_xlfn.AGGREGATE(4,7,A$11:A191)+1</f>
        <v>181</v>
      </c>
      <c r="B192" s="378" t="s">
        <v>1891</v>
      </c>
      <c r="C192" s="379" t="s">
        <v>1000</v>
      </c>
      <c r="D192" s="452" t="s">
        <v>1763</v>
      </c>
      <c r="E192" s="441" t="s">
        <v>1377</v>
      </c>
      <c r="F192" s="381">
        <v>4.9800000000000004</v>
      </c>
      <c r="G192" s="382">
        <v>0.06</v>
      </c>
      <c r="H192" s="383">
        <f t="shared" si="56"/>
        <v>5.2788000000000004</v>
      </c>
      <c r="I192" s="383">
        <v>0.25</v>
      </c>
      <c r="J192" s="384">
        <f t="shared" si="57"/>
        <v>5.5288000000000004</v>
      </c>
      <c r="K192" s="377">
        <f t="shared" si="58"/>
        <v>9951840</v>
      </c>
      <c r="L192" s="381" t="str">
        <f>VLOOKUP(B192,'[1]Gui chi Quynh'!$B$7:$F$397,5,FALSE)</f>
        <v>A3</v>
      </c>
      <c r="M192" s="515">
        <f t="shared" si="51"/>
        <v>11942208</v>
      </c>
      <c r="N192" s="391">
        <v>21</v>
      </c>
      <c r="O192" s="459">
        <f>IFERROR(INDEX('[2]CN BC'!$J$10:$J$276,MATCH(B192,'[2]CN BC'!$H$10:$H$276,0)),"")</f>
        <v>21</v>
      </c>
      <c r="P192" s="515">
        <f t="shared" si="49"/>
        <v>11942208</v>
      </c>
      <c r="Q192" s="409"/>
      <c r="R192" s="377">
        <f t="shared" si="59"/>
        <v>0</v>
      </c>
      <c r="S192" s="385"/>
      <c r="T192" s="377">
        <f t="shared" si="50"/>
        <v>0</v>
      </c>
      <c r="U192" s="377">
        <f t="shared" si="46"/>
        <v>99518</v>
      </c>
      <c r="V192" s="386">
        <f t="shared" ref="V192:V254" si="60">(P192+R192+T192+U192)</f>
        <v>12041726</v>
      </c>
      <c r="W192" s="459">
        <v>23</v>
      </c>
      <c r="X192" s="606">
        <f t="shared" si="47"/>
        <v>181</v>
      </c>
      <c r="Y192" s="514">
        <f>IFERROR(INDEX('[2]CN BC'!$M$10:$M$276,MATCH(B192,'[2]CN BC'!$H$10:$H$276,0)),"")</f>
        <v>0</v>
      </c>
      <c r="Z192" s="550" t="s">
        <v>817</v>
      </c>
      <c r="AA192" s="113"/>
      <c r="AB192" s="114"/>
      <c r="AC192" s="161"/>
      <c r="AD192" s="114"/>
      <c r="AE192" s="114"/>
      <c r="AF192" s="114"/>
      <c r="AG192" s="114"/>
      <c r="AH192" s="114"/>
      <c r="AI192" s="114"/>
    </row>
    <row r="193" spans="1:39" s="387" customFormat="1" ht="25.5" customHeight="1">
      <c r="A193" s="394">
        <f>_xlfn.AGGREGATE(4,7,A$11:A192)+1</f>
        <v>182</v>
      </c>
      <c r="B193" s="378" t="s">
        <v>1525</v>
      </c>
      <c r="C193" s="379" t="s">
        <v>1009</v>
      </c>
      <c r="D193" s="452" t="s">
        <v>1764</v>
      </c>
      <c r="E193" s="441" t="s">
        <v>1372</v>
      </c>
      <c r="F193" s="388">
        <v>3.99</v>
      </c>
      <c r="G193" s="382"/>
      <c r="H193" s="383">
        <f t="shared" si="56"/>
        <v>3.99</v>
      </c>
      <c r="I193" s="383"/>
      <c r="J193" s="384">
        <f t="shared" si="57"/>
        <v>3.99</v>
      </c>
      <c r="K193" s="377">
        <f t="shared" si="58"/>
        <v>7182000</v>
      </c>
      <c r="L193" s="381" t="str">
        <f>VLOOKUP(B193,'[1]Gui chi Quynh'!$B$7:$F$397,5,FALSE)</f>
        <v>A4</v>
      </c>
      <c r="M193" s="515">
        <f t="shared" si="51"/>
        <v>7182000</v>
      </c>
      <c r="N193" s="391">
        <v>21</v>
      </c>
      <c r="O193" s="459">
        <f>IFERROR(INDEX('[2]CN BC'!$J$10:$J$276,MATCH(B193,'[2]CN BC'!$H$10:$H$276,0)),"")</f>
        <v>21</v>
      </c>
      <c r="P193" s="515">
        <f t="shared" si="49"/>
        <v>7182000</v>
      </c>
      <c r="Q193" s="480"/>
      <c r="R193" s="377">
        <f t="shared" si="59"/>
        <v>0</v>
      </c>
      <c r="S193" s="385"/>
      <c r="T193" s="377">
        <f t="shared" si="50"/>
        <v>0</v>
      </c>
      <c r="U193" s="377">
        <f t="shared" si="46"/>
        <v>71820</v>
      </c>
      <c r="V193" s="386">
        <f t="shared" si="60"/>
        <v>7253820</v>
      </c>
      <c r="W193" s="459">
        <v>23</v>
      </c>
      <c r="X193" s="606">
        <f t="shared" si="47"/>
        <v>182</v>
      </c>
      <c r="Y193" s="514">
        <f>IFERROR(INDEX('[2]CN BC'!$M$10:$M$276,MATCH(B193,'[2]CN BC'!$H$10:$H$276,0)),"")</f>
        <v>0</v>
      </c>
      <c r="Z193" s="550" t="s">
        <v>818</v>
      </c>
      <c r="AA193" s="491"/>
      <c r="AB193" s="114"/>
      <c r="AC193" s="161"/>
      <c r="AD193" s="114"/>
      <c r="AE193" s="114"/>
      <c r="AF193" s="114"/>
      <c r="AG193" s="114"/>
      <c r="AH193" s="114"/>
      <c r="AI193" s="114"/>
    </row>
    <row r="194" spans="1:39" s="387" customFormat="1" ht="25.5" customHeight="1">
      <c r="A194" s="394">
        <f>_xlfn.AGGREGATE(4,7,A$11:A193)+1</f>
        <v>183</v>
      </c>
      <c r="B194" s="378" t="s">
        <v>1892</v>
      </c>
      <c r="C194" s="379" t="s">
        <v>920</v>
      </c>
      <c r="D194" s="424" t="s">
        <v>1765</v>
      </c>
      <c r="E194" s="441" t="s">
        <v>1374</v>
      </c>
      <c r="F194" s="381">
        <v>4.9800000000000004</v>
      </c>
      <c r="G194" s="382">
        <v>0.05</v>
      </c>
      <c r="H194" s="383">
        <f t="shared" si="56"/>
        <v>5.2290000000000001</v>
      </c>
      <c r="I194" s="383"/>
      <c r="J194" s="384">
        <f t="shared" si="57"/>
        <v>5.2290000000000001</v>
      </c>
      <c r="K194" s="377">
        <f t="shared" si="58"/>
        <v>9412200</v>
      </c>
      <c r="L194" s="381" t="str">
        <f>VLOOKUP(B194,'[1]Gui chi Quynh'!$B$7:$F$397,5,FALSE)</f>
        <v>A4</v>
      </c>
      <c r="M194" s="515">
        <f t="shared" si="51"/>
        <v>9412200</v>
      </c>
      <c r="N194" s="391">
        <v>21</v>
      </c>
      <c r="O194" s="459">
        <f>IFERROR(INDEX('[2]CN BC'!$J$10:$J$276,MATCH(B194,'[2]CN BC'!$H$10:$H$276,0)),"")</f>
        <v>21</v>
      </c>
      <c r="P194" s="515">
        <f t="shared" si="49"/>
        <v>9412200</v>
      </c>
      <c r="Q194" s="409"/>
      <c r="R194" s="377">
        <f t="shared" si="59"/>
        <v>0</v>
      </c>
      <c r="S194" s="385"/>
      <c r="T194" s="377">
        <f t="shared" si="50"/>
        <v>0</v>
      </c>
      <c r="U194" s="377">
        <f t="shared" si="46"/>
        <v>94122</v>
      </c>
      <c r="V194" s="386">
        <f t="shared" si="60"/>
        <v>9506322</v>
      </c>
      <c r="W194" s="459">
        <v>23</v>
      </c>
      <c r="X194" s="606">
        <f t="shared" si="47"/>
        <v>183</v>
      </c>
      <c r="Y194" s="514">
        <f>IFERROR(INDEX('[2]CN BC'!$M$10:$M$276,MATCH(B194,'[2]CN BC'!$H$10:$H$276,0)),"")</f>
        <v>0</v>
      </c>
      <c r="Z194" s="550" t="s">
        <v>819</v>
      </c>
      <c r="AA194" s="113"/>
      <c r="AB194" s="114"/>
      <c r="AC194" s="161"/>
      <c r="AD194" s="114"/>
      <c r="AE194" s="114"/>
      <c r="AF194" s="114"/>
      <c r="AG194" s="114"/>
      <c r="AH194" s="114"/>
      <c r="AI194" s="114"/>
      <c r="AJ194" s="114"/>
      <c r="AK194" s="114"/>
      <c r="AL194" s="114"/>
      <c r="AM194" s="114"/>
    </row>
    <row r="195" spans="1:39" s="387" customFormat="1" ht="25.5" customHeight="1">
      <c r="A195" s="394">
        <f>_xlfn.AGGREGATE(4,7,A$11:A194)+1</f>
        <v>184</v>
      </c>
      <c r="B195" s="378" t="s">
        <v>1526</v>
      </c>
      <c r="C195" s="379" t="s">
        <v>1214</v>
      </c>
      <c r="D195" s="452" t="s">
        <v>1766</v>
      </c>
      <c r="E195" s="202" t="s">
        <v>1939</v>
      </c>
      <c r="F195" s="388">
        <v>3.66</v>
      </c>
      <c r="G195" s="382"/>
      <c r="H195" s="383">
        <f t="shared" si="56"/>
        <v>3.66</v>
      </c>
      <c r="I195" s="383">
        <v>0.35</v>
      </c>
      <c r="J195" s="384">
        <f t="shared" si="57"/>
        <v>4.01</v>
      </c>
      <c r="K195" s="377">
        <f t="shared" si="58"/>
        <v>7218000</v>
      </c>
      <c r="L195" s="381" t="str">
        <f>VLOOKUP(B195,'[1]Gui chi Quynh'!$B$7:$F$397,5,FALSE)</f>
        <v>A4</v>
      </c>
      <c r="M195" s="515">
        <f t="shared" si="51"/>
        <v>7218000</v>
      </c>
      <c r="N195" s="391">
        <v>21</v>
      </c>
      <c r="O195" s="459">
        <f>IFERROR(INDEX('[2]CN BC'!$J$10:$J$276,MATCH(B195,'[2]CN BC'!$H$10:$H$276,0)),"")</f>
        <v>21</v>
      </c>
      <c r="P195" s="515">
        <f t="shared" si="49"/>
        <v>7218000</v>
      </c>
      <c r="Q195" s="480"/>
      <c r="R195" s="377">
        <f t="shared" si="59"/>
        <v>0</v>
      </c>
      <c r="S195" s="385"/>
      <c r="T195" s="377">
        <f t="shared" si="50"/>
        <v>0</v>
      </c>
      <c r="U195" s="377">
        <f t="shared" si="46"/>
        <v>72180</v>
      </c>
      <c r="V195" s="386">
        <f t="shared" si="60"/>
        <v>7290180</v>
      </c>
      <c r="W195" s="459">
        <v>23</v>
      </c>
      <c r="X195" s="606">
        <f t="shared" si="47"/>
        <v>184</v>
      </c>
      <c r="Y195" s="514">
        <f>IFERROR(INDEX('[2]CN BC'!$M$10:$M$276,MATCH(B195,'[2]CN BC'!$H$10:$H$276,0)),"")</f>
        <v>0</v>
      </c>
      <c r="Z195" s="550" t="s">
        <v>820</v>
      </c>
      <c r="AA195" s="113"/>
      <c r="AB195" s="114"/>
      <c r="AC195" s="161"/>
      <c r="AD195" s="114"/>
      <c r="AE195" s="114"/>
      <c r="AF195" s="114"/>
      <c r="AG195" s="114"/>
      <c r="AH195" s="114"/>
      <c r="AI195" s="114"/>
    </row>
    <row r="196" spans="1:39" s="387" customFormat="1" ht="26.25" customHeight="1">
      <c r="A196" s="394">
        <f>_xlfn.AGGREGATE(4,7,A$11:A195)+1</f>
        <v>185</v>
      </c>
      <c r="B196" s="378" t="s">
        <v>1527</v>
      </c>
      <c r="C196" s="379" t="s">
        <v>1009</v>
      </c>
      <c r="D196" s="452" t="s">
        <v>1767</v>
      </c>
      <c r="E196" s="441" t="s">
        <v>1379</v>
      </c>
      <c r="F196" s="388">
        <v>3.66</v>
      </c>
      <c r="G196" s="382"/>
      <c r="H196" s="383">
        <f t="shared" si="56"/>
        <v>3.66</v>
      </c>
      <c r="I196" s="383"/>
      <c r="J196" s="384">
        <f t="shared" si="57"/>
        <v>3.66</v>
      </c>
      <c r="K196" s="377">
        <f t="shared" si="58"/>
        <v>6588000</v>
      </c>
      <c r="L196" s="381" t="str">
        <f>VLOOKUP(B196,'[1]Gui chi Quynh'!$B$7:$F$397,5,FALSE)</f>
        <v>A4</v>
      </c>
      <c r="M196" s="515">
        <f t="shared" si="51"/>
        <v>6588000</v>
      </c>
      <c r="N196" s="391">
        <v>21</v>
      </c>
      <c r="O196" s="459">
        <f>IFERROR(INDEX('[2]CN BC'!$J$10:$J$276,MATCH(B196,'[2]CN BC'!$H$10:$H$276,0)),"")</f>
        <v>21</v>
      </c>
      <c r="P196" s="515">
        <f t="shared" si="49"/>
        <v>6588000</v>
      </c>
      <c r="Q196" s="480"/>
      <c r="R196" s="377">
        <f t="shared" si="59"/>
        <v>0</v>
      </c>
      <c r="S196" s="385"/>
      <c r="T196" s="377">
        <f t="shared" si="50"/>
        <v>0</v>
      </c>
      <c r="U196" s="377">
        <f t="shared" si="46"/>
        <v>65880</v>
      </c>
      <c r="V196" s="386">
        <f t="shared" si="60"/>
        <v>6653880</v>
      </c>
      <c r="W196" s="487">
        <v>23</v>
      </c>
      <c r="X196" s="606">
        <f t="shared" si="47"/>
        <v>185</v>
      </c>
      <c r="Y196" s="514">
        <f>IFERROR(INDEX('[2]CN BC'!$M$10:$M$276,MATCH(B196,'[2]CN BC'!$H$10:$H$276,0)),"")</f>
        <v>0</v>
      </c>
      <c r="Z196" s="550" t="s">
        <v>1119</v>
      </c>
      <c r="AA196" s="113"/>
      <c r="AB196" s="114"/>
      <c r="AC196" s="508"/>
    </row>
    <row r="197" spans="1:39" s="387" customFormat="1" ht="27.75" customHeight="1">
      <c r="A197" s="394">
        <f>_xlfn.AGGREGATE(4,7,A$11:A196)+1</f>
        <v>186</v>
      </c>
      <c r="B197" s="378" t="s">
        <v>1893</v>
      </c>
      <c r="C197" s="379" t="s">
        <v>891</v>
      </c>
      <c r="D197" s="452" t="s">
        <v>1768</v>
      </c>
      <c r="E197" s="441" t="s">
        <v>387</v>
      </c>
      <c r="F197" s="388">
        <v>3.66</v>
      </c>
      <c r="G197" s="382"/>
      <c r="H197" s="383">
        <f t="shared" si="56"/>
        <v>3.66</v>
      </c>
      <c r="I197" s="383"/>
      <c r="J197" s="384">
        <f t="shared" si="57"/>
        <v>3.66</v>
      </c>
      <c r="K197" s="377">
        <f t="shared" si="58"/>
        <v>6588000</v>
      </c>
      <c r="L197" s="381" t="str">
        <f>VLOOKUP(B197,'[1]Gui chi Quynh'!$B$7:$F$397,5,FALSE)</f>
        <v>A4</v>
      </c>
      <c r="M197" s="515">
        <f t="shared" si="51"/>
        <v>6588000</v>
      </c>
      <c r="N197" s="391">
        <v>21</v>
      </c>
      <c r="O197" s="459">
        <f>IFERROR(INDEX('[2]CN BC'!$J$10:$J$276,MATCH(B197,'[2]CN BC'!$H$10:$H$276,0)),"")</f>
        <v>21</v>
      </c>
      <c r="P197" s="515">
        <f t="shared" si="49"/>
        <v>6588000</v>
      </c>
      <c r="Q197" s="409"/>
      <c r="R197" s="377">
        <f t="shared" si="59"/>
        <v>0</v>
      </c>
      <c r="S197" s="385"/>
      <c r="T197" s="377">
        <f t="shared" si="50"/>
        <v>0</v>
      </c>
      <c r="U197" s="377">
        <f t="shared" si="46"/>
        <v>65880</v>
      </c>
      <c r="V197" s="386">
        <f t="shared" si="60"/>
        <v>6653880</v>
      </c>
      <c r="W197" s="459">
        <v>23</v>
      </c>
      <c r="X197" s="606">
        <f t="shared" si="47"/>
        <v>186</v>
      </c>
      <c r="Y197" s="514">
        <f>IFERROR(INDEX('[2]CN BC'!$M$10:$M$276,MATCH(B197,'[2]CN BC'!$H$10:$H$276,0)),"")</f>
        <v>0</v>
      </c>
      <c r="Z197" s="550" t="s">
        <v>1120</v>
      </c>
      <c r="AA197" s="113"/>
      <c r="AB197" s="114"/>
      <c r="AC197" s="161"/>
      <c r="AD197" s="114"/>
      <c r="AE197" s="114"/>
      <c r="AF197" s="114"/>
      <c r="AG197" s="114"/>
      <c r="AH197" s="114"/>
      <c r="AI197" s="114"/>
    </row>
    <row r="198" spans="1:39" s="387" customFormat="1" ht="27.75" customHeight="1">
      <c r="A198" s="394">
        <f>_xlfn.AGGREGATE(4,7,A$11:A197)+1</f>
        <v>187</v>
      </c>
      <c r="B198" s="378" t="s">
        <v>1894</v>
      </c>
      <c r="C198" s="379" t="s">
        <v>880</v>
      </c>
      <c r="D198" s="452" t="s">
        <v>1769</v>
      </c>
      <c r="E198" s="441" t="s">
        <v>388</v>
      </c>
      <c r="F198" s="388">
        <v>3.66</v>
      </c>
      <c r="G198" s="382"/>
      <c r="H198" s="383">
        <f t="shared" si="56"/>
        <v>3.66</v>
      </c>
      <c r="I198" s="383"/>
      <c r="J198" s="384">
        <f t="shared" si="57"/>
        <v>3.66</v>
      </c>
      <c r="K198" s="377">
        <f t="shared" si="58"/>
        <v>6588000</v>
      </c>
      <c r="L198" s="381" t="str">
        <f>VLOOKUP(B198,'[1]Gui chi Quynh'!$B$7:$F$397,5,FALSE)</f>
        <v>A4</v>
      </c>
      <c r="M198" s="515">
        <f t="shared" si="51"/>
        <v>6588000</v>
      </c>
      <c r="N198" s="391">
        <v>21</v>
      </c>
      <c r="O198" s="459">
        <f>IFERROR(INDEX('[2]CN BC'!$J$10:$J$276,MATCH(B198,'[2]CN BC'!$H$10:$H$276,0)),"")</f>
        <v>21</v>
      </c>
      <c r="P198" s="515">
        <f t="shared" si="49"/>
        <v>6588000</v>
      </c>
      <c r="Q198" s="480"/>
      <c r="R198" s="377">
        <f t="shared" si="59"/>
        <v>0</v>
      </c>
      <c r="S198" s="385"/>
      <c r="T198" s="377">
        <f t="shared" si="50"/>
        <v>0</v>
      </c>
      <c r="U198" s="377">
        <f t="shared" si="46"/>
        <v>65880</v>
      </c>
      <c r="V198" s="386">
        <f t="shared" si="60"/>
        <v>6653880</v>
      </c>
      <c r="W198" s="459">
        <v>23</v>
      </c>
      <c r="X198" s="606">
        <f t="shared" si="47"/>
        <v>187</v>
      </c>
      <c r="Y198" s="514">
        <f>IFERROR(INDEX('[2]CN BC'!$M$10:$M$276,MATCH(B198,'[2]CN BC'!$H$10:$H$276,0)),"")</f>
        <v>0</v>
      </c>
      <c r="Z198" s="550" t="s">
        <v>1121</v>
      </c>
      <c r="AA198" s="113"/>
      <c r="AB198" s="114"/>
      <c r="AC198" s="161"/>
      <c r="AD198" s="114"/>
      <c r="AE198" s="114"/>
      <c r="AF198" s="114"/>
      <c r="AG198" s="114"/>
      <c r="AH198" s="114"/>
      <c r="AI198" s="114"/>
    </row>
    <row r="199" spans="1:39" s="387" customFormat="1" ht="48">
      <c r="A199" s="394">
        <f>_xlfn.AGGREGATE(4,7,A$11:A198)+1</f>
        <v>188</v>
      </c>
      <c r="B199" s="613" t="s">
        <v>1499</v>
      </c>
      <c r="C199" s="614" t="s">
        <v>364</v>
      </c>
      <c r="D199" s="615" t="s">
        <v>1770</v>
      </c>
      <c r="E199" s="616" t="s">
        <v>386</v>
      </c>
      <c r="F199" s="617">
        <v>3.66</v>
      </c>
      <c r="G199" s="558"/>
      <c r="H199" s="492">
        <f t="shared" si="56"/>
        <v>3.66</v>
      </c>
      <c r="I199" s="492"/>
      <c r="J199" s="559">
        <f t="shared" si="57"/>
        <v>3.66</v>
      </c>
      <c r="K199" s="560">
        <f t="shared" si="58"/>
        <v>6588000</v>
      </c>
      <c r="L199" s="581" t="s">
        <v>2023</v>
      </c>
      <c r="M199" s="561">
        <f t="shared" si="51"/>
        <v>3294000</v>
      </c>
      <c r="N199" s="582">
        <v>21</v>
      </c>
      <c r="O199" s="562">
        <f>IFERROR(INDEX('[2]CN BC'!$J$10:$J$276,MATCH(B199,'[2]CN BC'!$H$10:$H$276,0)),"")</f>
        <v>21</v>
      </c>
      <c r="P199" s="561">
        <f t="shared" si="49"/>
        <v>3294000</v>
      </c>
      <c r="Q199" s="563"/>
      <c r="R199" s="560">
        <f t="shared" si="59"/>
        <v>0</v>
      </c>
      <c r="S199" s="564"/>
      <c r="T199" s="560">
        <f t="shared" si="50"/>
        <v>0</v>
      </c>
      <c r="U199" s="560">
        <f t="shared" ref="U199:U271" si="61">IF(OR(L199="A DN",L199="KXL", L199=""),"0",ROUND(J199*0.01*$G$8+Q199*1%*$G$8+S199*1%*$G$8,))</f>
        <v>65880</v>
      </c>
      <c r="V199" s="580">
        <f t="shared" si="60"/>
        <v>3359880</v>
      </c>
      <c r="W199" s="562">
        <v>23</v>
      </c>
      <c r="X199" s="609">
        <f t="shared" si="47"/>
        <v>188</v>
      </c>
      <c r="Y199" s="583" t="s">
        <v>2022</v>
      </c>
      <c r="Z199" s="550" t="s">
        <v>1122</v>
      </c>
      <c r="AA199" s="113"/>
      <c r="AB199" s="114"/>
      <c r="AC199" s="161"/>
      <c r="AD199" s="114"/>
      <c r="AE199" s="114"/>
      <c r="AF199" s="114"/>
      <c r="AG199" s="114"/>
      <c r="AH199" s="114"/>
      <c r="AI199" s="114"/>
    </row>
    <row r="200" spans="1:39" s="387" customFormat="1" ht="27.75" customHeight="1">
      <c r="A200" s="394">
        <f>_xlfn.AGGREGATE(4,7,A$11:A199)+1</f>
        <v>189</v>
      </c>
      <c r="B200" s="378" t="s">
        <v>1528</v>
      </c>
      <c r="C200" s="379" t="s">
        <v>455</v>
      </c>
      <c r="D200" s="424" t="s">
        <v>1771</v>
      </c>
      <c r="E200" s="441" t="s">
        <v>456</v>
      </c>
      <c r="F200" s="388">
        <v>3.66</v>
      </c>
      <c r="G200" s="382"/>
      <c r="H200" s="465">
        <f t="shared" si="56"/>
        <v>3.66</v>
      </c>
      <c r="I200" s="383"/>
      <c r="J200" s="384">
        <f t="shared" si="57"/>
        <v>3.66</v>
      </c>
      <c r="K200" s="377">
        <f t="shared" si="58"/>
        <v>6588000</v>
      </c>
      <c r="L200" s="381" t="str">
        <f>VLOOKUP(B200,'[1]Gui chi Quynh'!$B$7:$F$397,5,FALSE)</f>
        <v>A4</v>
      </c>
      <c r="M200" s="515">
        <f t="shared" si="51"/>
        <v>6588000</v>
      </c>
      <c r="N200" s="391">
        <v>21</v>
      </c>
      <c r="O200" s="459">
        <f>IFERROR(INDEX('[2]CN BC'!$J$10:$J$276,MATCH(B200,'[2]CN BC'!$H$10:$H$276,0)),"")</f>
        <v>21</v>
      </c>
      <c r="P200" s="515">
        <f t="shared" si="49"/>
        <v>6588000</v>
      </c>
      <c r="Q200" s="409"/>
      <c r="R200" s="377">
        <f t="shared" si="59"/>
        <v>0</v>
      </c>
      <c r="S200" s="385"/>
      <c r="T200" s="377">
        <f t="shared" si="50"/>
        <v>0</v>
      </c>
      <c r="U200" s="377">
        <f t="shared" si="61"/>
        <v>65880</v>
      </c>
      <c r="V200" s="386">
        <f t="shared" si="60"/>
        <v>6653880</v>
      </c>
      <c r="W200" s="459">
        <v>23</v>
      </c>
      <c r="X200" s="606">
        <f t="shared" si="47"/>
        <v>189</v>
      </c>
      <c r="Y200" s="514">
        <f>IFERROR(INDEX('[2]CN BC'!$M$10:$M$276,MATCH(B200,'[2]CN BC'!$H$10:$H$276,0)),"")</f>
        <v>0</v>
      </c>
      <c r="Z200" s="550" t="s">
        <v>1123</v>
      </c>
      <c r="AA200" s="113"/>
      <c r="AB200" s="114"/>
      <c r="AC200" s="161"/>
      <c r="AD200" s="114"/>
      <c r="AE200" s="114"/>
      <c r="AF200" s="114"/>
      <c r="AG200" s="114"/>
      <c r="AH200" s="114"/>
      <c r="AI200" s="114"/>
      <c r="AJ200" s="114"/>
      <c r="AK200" s="114"/>
      <c r="AL200" s="114"/>
      <c r="AM200" s="114"/>
    </row>
    <row r="201" spans="1:39" s="387" customFormat="1" ht="24" customHeight="1">
      <c r="A201" s="394">
        <f>_xlfn.AGGREGATE(4,7,A$11:A200)+1</f>
        <v>190</v>
      </c>
      <c r="B201" s="378" t="s">
        <v>1529</v>
      </c>
      <c r="C201" s="379" t="s">
        <v>876</v>
      </c>
      <c r="D201" s="424" t="s">
        <v>1772</v>
      </c>
      <c r="E201" s="441" t="s">
        <v>743</v>
      </c>
      <c r="F201" s="388">
        <v>3.33</v>
      </c>
      <c r="G201" s="382"/>
      <c r="H201" s="465">
        <f t="shared" si="56"/>
        <v>3.33</v>
      </c>
      <c r="I201" s="383">
        <v>0.25</v>
      </c>
      <c r="J201" s="384">
        <f t="shared" si="57"/>
        <v>3.58</v>
      </c>
      <c r="K201" s="377">
        <f t="shared" si="58"/>
        <v>6444000</v>
      </c>
      <c r="L201" s="381" t="str">
        <f>VLOOKUP(B201,'[1]Gui chi Quynh'!$B$7:$F$397,5,FALSE)</f>
        <v>A2</v>
      </c>
      <c r="M201" s="515">
        <f t="shared" si="51"/>
        <v>9021600</v>
      </c>
      <c r="N201" s="391">
        <v>21</v>
      </c>
      <c r="O201" s="459">
        <f>IFERROR(INDEX('[2]CN BC'!$J$10:$J$276,MATCH(B201,'[2]CN BC'!$H$10:$H$276,0)),"")</f>
        <v>21</v>
      </c>
      <c r="P201" s="515">
        <f t="shared" si="49"/>
        <v>9021600</v>
      </c>
      <c r="Q201" s="409"/>
      <c r="R201" s="377">
        <f t="shared" si="59"/>
        <v>0</v>
      </c>
      <c r="S201" s="401"/>
      <c r="T201" s="377">
        <f t="shared" si="50"/>
        <v>0</v>
      </c>
      <c r="U201" s="377">
        <f t="shared" si="61"/>
        <v>64440</v>
      </c>
      <c r="V201" s="386">
        <f t="shared" si="60"/>
        <v>9086040</v>
      </c>
      <c r="W201" s="459">
        <v>23</v>
      </c>
      <c r="X201" s="606">
        <f t="shared" ref="X201:X271" si="62">A201</f>
        <v>190</v>
      </c>
      <c r="Y201" s="514">
        <f>IFERROR(INDEX('[2]CN BC'!$M$10:$M$276,MATCH(B201,'[2]CN BC'!$H$10:$H$276,0)),"")</f>
        <v>0</v>
      </c>
      <c r="Z201" s="550" t="s">
        <v>1124</v>
      </c>
      <c r="AA201" s="113"/>
      <c r="AB201" s="114"/>
      <c r="AC201" s="161"/>
      <c r="AD201" s="114"/>
      <c r="AE201" s="114"/>
      <c r="AF201" s="114"/>
      <c r="AG201" s="114"/>
      <c r="AH201" s="114"/>
      <c r="AI201" s="114"/>
      <c r="AJ201" s="114"/>
      <c r="AK201" s="114"/>
      <c r="AL201" s="114"/>
      <c r="AM201" s="114"/>
    </row>
    <row r="202" spans="1:39" s="387" customFormat="1" ht="30" customHeight="1">
      <c r="A202" s="394">
        <f>_xlfn.AGGREGATE(4,7,A$11:A201)+1</f>
        <v>191</v>
      </c>
      <c r="B202" s="378" t="s">
        <v>1530</v>
      </c>
      <c r="C202" s="379" t="s">
        <v>886</v>
      </c>
      <c r="D202" s="452" t="s">
        <v>1773</v>
      </c>
      <c r="E202" s="448">
        <v>1603205357641</v>
      </c>
      <c r="F202" s="388">
        <v>3.66</v>
      </c>
      <c r="G202" s="382"/>
      <c r="H202" s="383">
        <f t="shared" si="56"/>
        <v>3.66</v>
      </c>
      <c r="I202" s="383"/>
      <c r="J202" s="384">
        <f t="shared" si="57"/>
        <v>3.66</v>
      </c>
      <c r="K202" s="377">
        <f t="shared" si="58"/>
        <v>6588000</v>
      </c>
      <c r="L202" s="381" t="str">
        <f>VLOOKUP(B202,'[1]Gui chi Quynh'!$B$7:$F$397,5,FALSE)</f>
        <v>A4</v>
      </c>
      <c r="M202" s="515">
        <f t="shared" si="51"/>
        <v>6588000</v>
      </c>
      <c r="N202" s="391">
        <v>21</v>
      </c>
      <c r="O202" s="459">
        <f>IFERROR(INDEX('[2]CN BC'!$J$10:$J$276,MATCH(B202,'[2]CN BC'!$H$10:$H$276,0)),"")</f>
        <v>21</v>
      </c>
      <c r="P202" s="515">
        <f t="shared" si="49"/>
        <v>6588000</v>
      </c>
      <c r="Q202" s="480"/>
      <c r="R202" s="377">
        <f t="shared" si="59"/>
        <v>0</v>
      </c>
      <c r="S202" s="385"/>
      <c r="T202" s="377">
        <f t="shared" si="50"/>
        <v>0</v>
      </c>
      <c r="U202" s="377">
        <f t="shared" si="61"/>
        <v>65880</v>
      </c>
      <c r="V202" s="386">
        <f t="shared" si="60"/>
        <v>6653880</v>
      </c>
      <c r="W202" s="487">
        <v>23</v>
      </c>
      <c r="X202" s="606">
        <f t="shared" si="62"/>
        <v>191</v>
      </c>
      <c r="Y202" s="514">
        <f>IFERROR(INDEX('[2]CN BC'!$M$10:$M$276,MATCH(B202,'[2]CN BC'!$H$10:$H$276,0)),"")</f>
        <v>0</v>
      </c>
      <c r="Z202" s="572" t="s">
        <v>1125</v>
      </c>
      <c r="AA202" s="573"/>
      <c r="AC202" s="508"/>
    </row>
    <row r="203" spans="1:39" s="387" customFormat="1" ht="25.9" customHeight="1">
      <c r="A203" s="394">
        <f>_xlfn.AGGREGATE(4,7,A$11:A202)+1</f>
        <v>192</v>
      </c>
      <c r="B203" s="378" t="s">
        <v>1531</v>
      </c>
      <c r="C203" s="379" t="s">
        <v>746</v>
      </c>
      <c r="D203" s="424" t="s">
        <v>1774</v>
      </c>
      <c r="E203" s="448">
        <v>1603205357120</v>
      </c>
      <c r="F203" s="388">
        <v>3.33</v>
      </c>
      <c r="G203" s="382"/>
      <c r="H203" s="465">
        <f t="shared" si="56"/>
        <v>3.33</v>
      </c>
      <c r="I203" s="383"/>
      <c r="J203" s="384">
        <f t="shared" si="57"/>
        <v>3.33</v>
      </c>
      <c r="K203" s="377">
        <f t="shared" si="58"/>
        <v>5994000</v>
      </c>
      <c r="L203" s="381" t="str">
        <f>VLOOKUP(B203,'[1]Gui chi Quynh'!$B$7:$F$397,5,FALSE)</f>
        <v>A3</v>
      </c>
      <c r="M203" s="515">
        <f t="shared" si="51"/>
        <v>7192800</v>
      </c>
      <c r="N203" s="391">
        <v>21</v>
      </c>
      <c r="O203" s="459">
        <f>IFERROR(INDEX('[2]CN BC'!$J$10:$J$276,MATCH(B203,'[2]CN BC'!$H$10:$H$276,0)),"")</f>
        <v>21</v>
      </c>
      <c r="P203" s="515">
        <f t="shared" si="49"/>
        <v>7192800</v>
      </c>
      <c r="Q203" s="409"/>
      <c r="R203" s="377">
        <f t="shared" si="59"/>
        <v>0</v>
      </c>
      <c r="S203" s="385"/>
      <c r="T203" s="377">
        <f t="shared" si="50"/>
        <v>0</v>
      </c>
      <c r="U203" s="377">
        <f t="shared" si="61"/>
        <v>59940</v>
      </c>
      <c r="V203" s="386">
        <f t="shared" si="60"/>
        <v>7252740</v>
      </c>
      <c r="W203" s="459">
        <v>23</v>
      </c>
      <c r="X203" s="606">
        <f t="shared" si="62"/>
        <v>192</v>
      </c>
      <c r="Y203" s="514">
        <f>IFERROR(INDEX('[2]CN BC'!$M$10:$M$276,MATCH(B203,'[2]CN BC'!$H$10:$H$276,0)),"")</f>
        <v>0</v>
      </c>
      <c r="Z203" s="550" t="s">
        <v>1126</v>
      </c>
      <c r="AA203" s="113"/>
      <c r="AB203" s="114"/>
      <c r="AC203" s="161"/>
      <c r="AD203" s="114"/>
      <c r="AE203" s="114"/>
      <c r="AF203" s="114"/>
      <c r="AG203" s="114"/>
      <c r="AH203" s="114"/>
      <c r="AI203" s="114"/>
      <c r="AJ203" s="114"/>
      <c r="AK203" s="114"/>
      <c r="AL203" s="114"/>
      <c r="AM203" s="114"/>
    </row>
    <row r="204" spans="1:39" s="387" customFormat="1" ht="32.25" customHeight="1">
      <c r="A204" s="394">
        <f>_xlfn.AGGREGATE(4,7,A$11:A203)+1</f>
        <v>193</v>
      </c>
      <c r="B204" s="378" t="s">
        <v>1895</v>
      </c>
      <c r="C204" s="379" t="s">
        <v>905</v>
      </c>
      <c r="D204" s="452" t="s">
        <v>1775</v>
      </c>
      <c r="E204" s="441" t="s">
        <v>1261</v>
      </c>
      <c r="F204" s="381">
        <v>4.9800000000000004</v>
      </c>
      <c r="G204" s="382">
        <v>7.0000000000000007E-2</v>
      </c>
      <c r="H204" s="383">
        <f t="shared" si="56"/>
        <v>5.3286000000000007</v>
      </c>
      <c r="I204" s="383"/>
      <c r="J204" s="384">
        <f t="shared" si="57"/>
        <v>5.3286000000000007</v>
      </c>
      <c r="K204" s="377">
        <f t="shared" si="58"/>
        <v>9591480.0000000019</v>
      </c>
      <c r="L204" s="381" t="str">
        <f>VLOOKUP(B204,'[1]Gui chi Quynh'!$B$7:$F$397,5,FALSE)</f>
        <v>A3</v>
      </c>
      <c r="M204" s="515">
        <f t="shared" si="51"/>
        <v>11509776.000000002</v>
      </c>
      <c r="N204" s="391">
        <v>21</v>
      </c>
      <c r="O204" s="459">
        <f>IFERROR(INDEX('[2]CN BC'!$J$10:$J$276,MATCH(B204,'[2]CN BC'!$H$10:$H$276,0)),"")</f>
        <v>21</v>
      </c>
      <c r="P204" s="515">
        <f t="shared" si="49"/>
        <v>11509776.000000002</v>
      </c>
      <c r="Q204" s="409"/>
      <c r="R204" s="377">
        <f t="shared" si="59"/>
        <v>0</v>
      </c>
      <c r="S204" s="385"/>
      <c r="T204" s="377">
        <f t="shared" si="50"/>
        <v>0</v>
      </c>
      <c r="U204" s="377">
        <f t="shared" si="61"/>
        <v>95915</v>
      </c>
      <c r="V204" s="386">
        <f t="shared" si="60"/>
        <v>11605691.000000002</v>
      </c>
      <c r="W204" s="459">
        <v>23</v>
      </c>
      <c r="X204" s="606">
        <f t="shared" si="62"/>
        <v>193</v>
      </c>
      <c r="Y204" s="514">
        <f>IFERROR(INDEX('[2]CN BC'!$M$10:$M$276,MATCH(B204,'[2]CN BC'!$H$10:$H$276,0)),"")</f>
        <v>0</v>
      </c>
      <c r="Z204" s="550" t="s">
        <v>1127</v>
      </c>
      <c r="AA204" s="552"/>
      <c r="AB204" s="114"/>
      <c r="AC204" s="161"/>
      <c r="AD204" s="114"/>
      <c r="AE204" s="114"/>
      <c r="AF204" s="114"/>
      <c r="AG204" s="114"/>
      <c r="AH204" s="114"/>
      <c r="AI204" s="114"/>
    </row>
    <row r="205" spans="1:39" s="387" customFormat="1" ht="25.5" customHeight="1">
      <c r="A205" s="394">
        <f>_xlfn.AGGREGATE(4,7,A$11:A204)+1</f>
        <v>194</v>
      </c>
      <c r="B205" s="378" t="s">
        <v>1896</v>
      </c>
      <c r="C205" s="379" t="s">
        <v>1035</v>
      </c>
      <c r="D205" s="452" t="s">
        <v>1776</v>
      </c>
      <c r="E205" s="441" t="s">
        <v>1365</v>
      </c>
      <c r="F205" s="381">
        <v>4.9800000000000004</v>
      </c>
      <c r="G205" s="382">
        <v>0.1</v>
      </c>
      <c r="H205" s="383">
        <f t="shared" si="56"/>
        <v>5.4780000000000006</v>
      </c>
      <c r="I205" s="383"/>
      <c r="J205" s="384">
        <f t="shared" si="57"/>
        <v>5.4780000000000006</v>
      </c>
      <c r="K205" s="377">
        <f t="shared" si="58"/>
        <v>9860400.0000000019</v>
      </c>
      <c r="L205" s="381" t="str">
        <f>VLOOKUP(B205,'[1]Gui chi Quynh'!$B$7:$F$397,5,FALSE)</f>
        <v>A4</v>
      </c>
      <c r="M205" s="515">
        <f t="shared" si="51"/>
        <v>9860400.0000000019</v>
      </c>
      <c r="N205" s="391">
        <v>21</v>
      </c>
      <c r="O205" s="459">
        <f>IFERROR(INDEX('[2]CN BC'!$J$10:$J$276,MATCH(B205,'[2]CN BC'!$H$10:$H$276,0)),"")</f>
        <v>21</v>
      </c>
      <c r="P205" s="515">
        <f t="shared" si="49"/>
        <v>9860400.0000000019</v>
      </c>
      <c r="Q205" s="506"/>
      <c r="R205" s="377">
        <f>Q205*$G$8*0.8</f>
        <v>0</v>
      </c>
      <c r="S205" s="385"/>
      <c r="T205" s="377">
        <f t="shared" si="50"/>
        <v>0</v>
      </c>
      <c r="U205" s="377">
        <f t="shared" si="61"/>
        <v>98604</v>
      </c>
      <c r="V205" s="386">
        <f t="shared" si="60"/>
        <v>9959004.0000000019</v>
      </c>
      <c r="W205" s="487">
        <v>23</v>
      </c>
      <c r="X205" s="606">
        <f t="shared" si="62"/>
        <v>194</v>
      </c>
      <c r="Y205" s="514">
        <f>IFERROR(INDEX('[2]CN BC'!$M$10:$M$276,MATCH(B205,'[2]CN BC'!$H$10:$H$276,0)),"")</f>
        <v>0</v>
      </c>
      <c r="Z205" s="550" t="s">
        <v>1131</v>
      </c>
      <c r="AA205" s="113"/>
      <c r="AB205" s="114"/>
      <c r="AC205" s="161"/>
      <c r="AD205" s="114"/>
      <c r="AE205" s="114"/>
      <c r="AF205" s="114"/>
      <c r="AG205" s="114"/>
      <c r="AH205" s="114"/>
      <c r="AI205" s="114"/>
    </row>
    <row r="206" spans="1:39" s="387" customFormat="1" ht="29.25" customHeight="1">
      <c r="A206" s="394">
        <f>_xlfn.AGGREGATE(4,7,A$11:A205)+1</f>
        <v>195</v>
      </c>
      <c r="B206" s="378" t="s">
        <v>1532</v>
      </c>
      <c r="C206" s="379" t="s">
        <v>884</v>
      </c>
      <c r="D206" s="424" t="s">
        <v>1777</v>
      </c>
      <c r="E206" s="440" t="s">
        <v>1594</v>
      </c>
      <c r="F206" s="388">
        <v>3.33</v>
      </c>
      <c r="G206" s="382"/>
      <c r="H206" s="465">
        <f t="shared" si="56"/>
        <v>3.33</v>
      </c>
      <c r="I206" s="383"/>
      <c r="J206" s="384">
        <f t="shared" si="57"/>
        <v>3.33</v>
      </c>
      <c r="K206" s="377">
        <f t="shared" si="58"/>
        <v>5994000</v>
      </c>
      <c r="L206" s="381" t="str">
        <f>VLOOKUP(B206,'[1]Gui chi Quynh'!$B$7:$F$397,5,FALSE)</f>
        <v>A4</v>
      </c>
      <c r="M206" s="515">
        <f t="shared" si="51"/>
        <v>5994000</v>
      </c>
      <c r="N206" s="391">
        <v>21</v>
      </c>
      <c r="O206" s="459">
        <f>IFERROR(INDEX('[2]CN BC'!$J$10:$J$276,MATCH(B206,'[2]CN BC'!$H$10:$H$276,0)),"")</f>
        <v>21</v>
      </c>
      <c r="P206" s="515">
        <f t="shared" si="49"/>
        <v>5994000</v>
      </c>
      <c r="Q206" s="475"/>
      <c r="R206" s="377">
        <f t="shared" si="59"/>
        <v>0</v>
      </c>
      <c r="S206" s="385"/>
      <c r="T206" s="377">
        <f t="shared" si="50"/>
        <v>0</v>
      </c>
      <c r="U206" s="377">
        <f t="shared" si="61"/>
        <v>59940</v>
      </c>
      <c r="V206" s="386">
        <f t="shared" si="60"/>
        <v>6053940</v>
      </c>
      <c r="W206" s="459">
        <v>23</v>
      </c>
      <c r="X206" s="606">
        <f t="shared" si="62"/>
        <v>195</v>
      </c>
      <c r="Y206" s="514">
        <f>IFERROR(INDEX('[2]CN BC'!$M$10:$M$276,MATCH(B206,'[2]CN BC'!$H$10:$H$276,0)),"")</f>
        <v>0</v>
      </c>
      <c r="Z206" s="550" t="s">
        <v>1132</v>
      </c>
      <c r="AA206" s="113"/>
      <c r="AB206" s="114"/>
      <c r="AC206" s="161"/>
      <c r="AD206" s="114"/>
      <c r="AE206" s="114"/>
      <c r="AF206" s="114"/>
      <c r="AG206" s="114"/>
      <c r="AH206" s="114"/>
      <c r="AI206" s="114"/>
      <c r="AJ206" s="114"/>
      <c r="AK206" s="114"/>
      <c r="AL206" s="114"/>
      <c r="AM206" s="114"/>
    </row>
    <row r="207" spans="1:39" s="387" customFormat="1" ht="25.5" customHeight="1">
      <c r="A207" s="394">
        <f>_xlfn.AGGREGATE(4,7,A$11:A206)+1</f>
        <v>196</v>
      </c>
      <c r="B207" s="378" t="s">
        <v>1608</v>
      </c>
      <c r="C207" s="390" t="s">
        <v>1011</v>
      </c>
      <c r="D207" s="503" t="s">
        <v>1968</v>
      </c>
      <c r="E207" s="107">
        <v>1603215003955</v>
      </c>
      <c r="F207" s="388">
        <v>3</v>
      </c>
      <c r="G207" s="393"/>
      <c r="H207" s="465">
        <f t="shared" si="56"/>
        <v>3</v>
      </c>
      <c r="I207" s="383"/>
      <c r="J207" s="384">
        <f t="shared" si="57"/>
        <v>3</v>
      </c>
      <c r="K207" s="377">
        <f t="shared" si="58"/>
        <v>5400000</v>
      </c>
      <c r="L207" s="381" t="str">
        <f>VLOOKUP(B207,'[1]Gui chi Quynh'!$B$7:$F$397,5,FALSE)</f>
        <v>A3</v>
      </c>
      <c r="M207" s="515">
        <f t="shared" si="51"/>
        <v>6480000</v>
      </c>
      <c r="N207" s="391">
        <v>21</v>
      </c>
      <c r="O207" s="459">
        <f>IFERROR(INDEX('[2]CN BC'!$J$10:$J$276,MATCH(B207,'[2]CN BC'!$H$10:$H$276,0)),"")</f>
        <v>21</v>
      </c>
      <c r="P207" s="515">
        <f t="shared" si="49"/>
        <v>6480000</v>
      </c>
      <c r="Q207" s="480"/>
      <c r="R207" s="377">
        <f t="shared" si="59"/>
        <v>0</v>
      </c>
      <c r="S207" s="385"/>
      <c r="T207" s="377">
        <f t="shared" si="50"/>
        <v>0</v>
      </c>
      <c r="U207" s="377">
        <f t="shared" si="61"/>
        <v>54000</v>
      </c>
      <c r="V207" s="386">
        <f t="shared" si="60"/>
        <v>6534000</v>
      </c>
      <c r="W207" s="459">
        <v>23</v>
      </c>
      <c r="X207" s="606">
        <f t="shared" si="62"/>
        <v>196</v>
      </c>
      <c r="Y207" s="514">
        <f>IFERROR(INDEX('[2]CN BC'!$M$10:$M$276,MATCH(B207,'[2]CN BC'!$H$10:$H$276,0)),"")</f>
        <v>0</v>
      </c>
      <c r="Z207" s="550" t="s">
        <v>1133</v>
      </c>
      <c r="AA207" s="113"/>
      <c r="AB207" s="114"/>
      <c r="AC207" s="161"/>
      <c r="AD207" s="114"/>
      <c r="AE207" s="114"/>
      <c r="AF207" s="114"/>
      <c r="AG207" s="114"/>
      <c r="AH207" s="114"/>
      <c r="AI207" s="114"/>
    </row>
    <row r="208" spans="1:39" s="387" customFormat="1" ht="24.75" customHeight="1">
      <c r="A208" s="394">
        <f>_xlfn.AGGREGATE(4,7,A$11:A207)+1</f>
        <v>197</v>
      </c>
      <c r="B208" s="378" t="s">
        <v>1835</v>
      </c>
      <c r="C208" s="390"/>
      <c r="D208" s="452" t="s">
        <v>1970</v>
      </c>
      <c r="E208" s="498" t="s">
        <v>1969</v>
      </c>
      <c r="F208" s="388">
        <v>3</v>
      </c>
      <c r="G208" s="393"/>
      <c r="H208" s="383">
        <f t="shared" si="56"/>
        <v>3</v>
      </c>
      <c r="I208" s="383"/>
      <c r="J208" s="384">
        <f t="shared" si="57"/>
        <v>3</v>
      </c>
      <c r="K208" s="377">
        <f t="shared" si="58"/>
        <v>5400000</v>
      </c>
      <c r="L208" s="381" t="str">
        <f>VLOOKUP(B208,'[1]Gui chi Quynh'!$B$7:$F$397,5,FALSE)</f>
        <v>A2</v>
      </c>
      <c r="M208" s="515">
        <f t="shared" si="51"/>
        <v>7559999.9999999991</v>
      </c>
      <c r="N208" s="391">
        <v>21</v>
      </c>
      <c r="O208" s="459">
        <f>IFERROR(INDEX('[2]CN BC'!$J$10:$J$276,MATCH(B208,'[2]CN BC'!$H$10:$H$276,0)),"")</f>
        <v>21</v>
      </c>
      <c r="P208" s="515">
        <f t="shared" ref="P208:P273" si="63">IF(O208&gt;=N208,M208,M208/N208*O208)</f>
        <v>7559999.9999999991</v>
      </c>
      <c r="Q208" s="409"/>
      <c r="R208" s="377">
        <f t="shared" si="59"/>
        <v>0</v>
      </c>
      <c r="S208" s="385"/>
      <c r="T208" s="377">
        <f t="shared" si="50"/>
        <v>0</v>
      </c>
      <c r="U208" s="377">
        <f t="shared" si="61"/>
        <v>54000</v>
      </c>
      <c r="V208" s="386">
        <f t="shared" si="60"/>
        <v>7613999.9999999991</v>
      </c>
      <c r="W208" s="459">
        <v>23</v>
      </c>
      <c r="X208" s="606">
        <f t="shared" si="62"/>
        <v>197</v>
      </c>
      <c r="Y208" s="514">
        <f>IFERROR(INDEX('[2]CN BC'!$M$10:$M$276,MATCH(B208,'[2]CN BC'!$H$10:$H$276,0)),"")</f>
        <v>0</v>
      </c>
      <c r="Z208" s="550" t="s">
        <v>1142</v>
      </c>
      <c r="AA208" s="113"/>
      <c r="AB208" s="114"/>
      <c r="AC208" s="161"/>
      <c r="AD208" s="114"/>
      <c r="AE208" s="114"/>
      <c r="AF208" s="114"/>
      <c r="AG208" s="114"/>
      <c r="AH208" s="114"/>
      <c r="AI208" s="114"/>
    </row>
    <row r="209" spans="1:39" s="387" customFormat="1" ht="29.25" customHeight="1">
      <c r="A209" s="394">
        <f>_xlfn.AGGREGATE(4,7,A$11:A208)+1</f>
        <v>198</v>
      </c>
      <c r="B209" s="378" t="s">
        <v>1897</v>
      </c>
      <c r="C209" s="390" t="s">
        <v>868</v>
      </c>
      <c r="D209" s="452" t="s">
        <v>1670</v>
      </c>
      <c r="E209" s="441" t="s">
        <v>1286</v>
      </c>
      <c r="F209" s="381">
        <v>4.9800000000000004</v>
      </c>
      <c r="G209" s="382">
        <v>0.11</v>
      </c>
      <c r="H209" s="383">
        <f t="shared" ref="H209:H215" si="64">F209+(F209*G209)</f>
        <v>5.5278000000000009</v>
      </c>
      <c r="I209" s="383"/>
      <c r="J209" s="384">
        <f t="shared" ref="J209:J215" si="65">H209+I209</f>
        <v>5.5278000000000009</v>
      </c>
      <c r="K209" s="377">
        <f t="shared" ref="K209:K215" si="66">J209*$G$8</f>
        <v>9950040.0000000019</v>
      </c>
      <c r="L209" s="381" t="str">
        <f>VLOOKUP(B209,'[1]Gui chi Quynh'!$B$7:$F$397,5,FALSE)</f>
        <v>A4</v>
      </c>
      <c r="M209" s="515">
        <f t="shared" si="51"/>
        <v>9950040.0000000019</v>
      </c>
      <c r="N209" s="391">
        <v>21</v>
      </c>
      <c r="O209" s="459">
        <f>IFERROR(INDEX('[2]CN BC'!$J$10:$J$276,MATCH(B209,'[2]CN BC'!$H$10:$H$276,0)),"")</f>
        <v>21</v>
      </c>
      <c r="P209" s="515">
        <f t="shared" si="63"/>
        <v>9950040.0000000019</v>
      </c>
      <c r="Q209" s="480"/>
      <c r="R209" s="377">
        <f>Q209*$G$8*0.8</f>
        <v>0</v>
      </c>
      <c r="S209" s="385"/>
      <c r="T209" s="377">
        <f t="shared" si="50"/>
        <v>0</v>
      </c>
      <c r="U209" s="377">
        <f t="shared" si="61"/>
        <v>99500</v>
      </c>
      <c r="V209" s="386">
        <f>(P209+R209+T209+U209)</f>
        <v>10049540.000000002</v>
      </c>
      <c r="W209" s="487">
        <v>23</v>
      </c>
      <c r="X209" s="606">
        <f t="shared" si="62"/>
        <v>198</v>
      </c>
      <c r="Y209" s="514">
        <f>IFERROR(INDEX('[2]CN BC'!$M$10:$M$276,MATCH(B209,'[2]CN BC'!$H$10:$H$276,0)),"")</f>
        <v>0</v>
      </c>
      <c r="Z209" s="572" t="s">
        <v>1143</v>
      </c>
      <c r="AA209" s="568"/>
      <c r="AC209" s="508"/>
    </row>
    <row r="210" spans="1:39" s="387" customFormat="1" ht="25.5" customHeight="1">
      <c r="A210" s="394">
        <f>_xlfn.AGGREGATE(4,7,A$11:A209)+1</f>
        <v>199</v>
      </c>
      <c r="B210" s="378" t="s">
        <v>1840</v>
      </c>
      <c r="C210" s="390"/>
      <c r="D210" s="452" t="s">
        <v>1971</v>
      </c>
      <c r="E210" s="107">
        <v>1603205596180</v>
      </c>
      <c r="F210" s="381">
        <v>2.67</v>
      </c>
      <c r="G210" s="382"/>
      <c r="H210" s="383">
        <f t="shared" si="64"/>
        <v>2.67</v>
      </c>
      <c r="I210" s="383"/>
      <c r="J210" s="384">
        <f t="shared" si="65"/>
        <v>2.67</v>
      </c>
      <c r="K210" s="377">
        <f t="shared" si="66"/>
        <v>4806000</v>
      </c>
      <c r="L210" s="381" t="str">
        <f>VLOOKUP(B210,'[1]Gui chi Quynh'!$B$7:$F$397,5,FALSE)</f>
        <v>A2</v>
      </c>
      <c r="M210" s="515">
        <f t="shared" si="51"/>
        <v>6728400</v>
      </c>
      <c r="N210" s="391">
        <v>21</v>
      </c>
      <c r="O210" s="459">
        <f>IFERROR(INDEX('[2]CN BC'!$J$10:$J$276,MATCH(B210,'[2]CN BC'!$H$10:$H$276,0)),"")</f>
        <v>21</v>
      </c>
      <c r="P210" s="515">
        <f t="shared" si="63"/>
        <v>6728400</v>
      </c>
      <c r="Q210" s="409"/>
      <c r="R210" s="377">
        <f t="shared" si="59"/>
        <v>0</v>
      </c>
      <c r="S210" s="385"/>
      <c r="T210" s="377">
        <f t="shared" ref="T210:T275" si="67">S210*$G$8*1</f>
        <v>0</v>
      </c>
      <c r="U210" s="377">
        <f t="shared" si="61"/>
        <v>48060</v>
      </c>
      <c r="V210" s="386">
        <f t="shared" si="60"/>
        <v>6776460</v>
      </c>
      <c r="W210" s="459">
        <v>23</v>
      </c>
      <c r="X210" s="606">
        <f t="shared" si="62"/>
        <v>199</v>
      </c>
      <c r="Y210" s="514">
        <f>IFERROR(INDEX('[2]CN BC'!$M$10:$M$276,MATCH(B210,'[2]CN BC'!$H$10:$H$276,0)),"")</f>
        <v>0</v>
      </c>
      <c r="Z210" s="550" t="s">
        <v>1144</v>
      </c>
      <c r="AA210" s="113"/>
      <c r="AB210" s="114"/>
      <c r="AC210" s="161"/>
      <c r="AD210" s="114"/>
      <c r="AE210" s="114"/>
      <c r="AF210" s="114"/>
      <c r="AG210" s="114"/>
      <c r="AH210" s="114"/>
      <c r="AI210" s="114"/>
    </row>
    <row r="211" spans="1:39" s="387" customFormat="1" ht="24.75" customHeight="1">
      <c r="A211" s="394">
        <f>_xlfn.AGGREGATE(4,7,A$11:A210)+1</f>
        <v>200</v>
      </c>
      <c r="B211" s="378" t="s">
        <v>1943</v>
      </c>
      <c r="C211" s="390"/>
      <c r="D211" s="452" t="s">
        <v>1972</v>
      </c>
      <c r="E211" s="441"/>
      <c r="F211" s="388">
        <v>3</v>
      </c>
      <c r="G211" s="382"/>
      <c r="H211" s="383">
        <f t="shared" si="64"/>
        <v>3</v>
      </c>
      <c r="I211" s="383"/>
      <c r="J211" s="384">
        <f t="shared" si="65"/>
        <v>3</v>
      </c>
      <c r="K211" s="377">
        <f t="shared" si="66"/>
        <v>5400000</v>
      </c>
      <c r="L211" s="381" t="str">
        <f>VLOOKUP(B211,'[1]Gui chi Quynh'!$B$7:$F$397,5,FALSE)</f>
        <v>A4</v>
      </c>
      <c r="M211" s="515">
        <f t="shared" si="51"/>
        <v>5400000</v>
      </c>
      <c r="N211" s="391">
        <v>21</v>
      </c>
      <c r="O211" s="459">
        <f>IFERROR(INDEX('[2]CN BC'!$J$10:$J$276,MATCH(B211,'[2]CN BC'!$H$10:$H$276,0)),"")</f>
        <v>21</v>
      </c>
      <c r="P211" s="515">
        <f t="shared" si="63"/>
        <v>5400000</v>
      </c>
      <c r="Q211" s="480"/>
      <c r="R211" s="377">
        <f t="shared" si="59"/>
        <v>0</v>
      </c>
      <c r="S211" s="385"/>
      <c r="T211" s="377">
        <f t="shared" si="67"/>
        <v>0</v>
      </c>
      <c r="U211" s="377">
        <f t="shared" si="61"/>
        <v>54000</v>
      </c>
      <c r="V211" s="386">
        <f t="shared" si="60"/>
        <v>5454000</v>
      </c>
      <c r="W211" s="487">
        <v>23</v>
      </c>
      <c r="X211" s="606">
        <f t="shared" si="62"/>
        <v>200</v>
      </c>
      <c r="Y211" s="514">
        <f>IFERROR(INDEX('[2]CN BC'!$M$10:$M$276,MATCH(B211,'[2]CN BC'!$H$10:$H$276,0)),"")</f>
        <v>0</v>
      </c>
      <c r="Z211" s="550" t="s">
        <v>1145</v>
      </c>
      <c r="AA211" s="113"/>
      <c r="AB211" s="114"/>
      <c r="AC211" s="508"/>
    </row>
    <row r="212" spans="1:39" s="387" customFormat="1" ht="26.25" customHeight="1">
      <c r="A212" s="394">
        <f>_xlfn.AGGREGATE(4,7,A$11:A211)+1</f>
        <v>201</v>
      </c>
      <c r="B212" s="378" t="s">
        <v>1994</v>
      </c>
      <c r="C212" s="390"/>
      <c r="D212" s="452"/>
      <c r="E212" s="441"/>
      <c r="F212" s="381">
        <v>4.32</v>
      </c>
      <c r="G212" s="382"/>
      <c r="H212" s="383">
        <f t="shared" si="64"/>
        <v>4.32</v>
      </c>
      <c r="I212" s="383"/>
      <c r="J212" s="384">
        <f t="shared" si="65"/>
        <v>4.32</v>
      </c>
      <c r="K212" s="377">
        <f t="shared" si="66"/>
        <v>7776000.0000000009</v>
      </c>
      <c r="L212" s="381" t="str">
        <f>VLOOKUP(B212,'[1]Gui chi Quynh'!$B$7:$F$397,5,FALSE)</f>
        <v>A3</v>
      </c>
      <c r="M212" s="515">
        <f t="shared" si="51"/>
        <v>9331200</v>
      </c>
      <c r="N212" s="391">
        <v>21</v>
      </c>
      <c r="O212" s="459">
        <f>IFERROR(INDEX('[2]CN BC'!$J$10:$J$276,MATCH(B212,'[2]CN BC'!$H$10:$H$276,0)),"")</f>
        <v>21</v>
      </c>
      <c r="P212" s="515">
        <f t="shared" si="63"/>
        <v>9331200</v>
      </c>
      <c r="Q212" s="480"/>
      <c r="R212" s="377">
        <f t="shared" si="59"/>
        <v>0</v>
      </c>
      <c r="S212" s="385"/>
      <c r="T212" s="377">
        <f t="shared" si="67"/>
        <v>0</v>
      </c>
      <c r="U212" s="377">
        <f t="shared" si="61"/>
        <v>77760</v>
      </c>
      <c r="V212" s="386">
        <f t="shared" si="60"/>
        <v>9408960</v>
      </c>
      <c r="W212" s="487">
        <v>23</v>
      </c>
      <c r="X212" s="606">
        <f t="shared" si="62"/>
        <v>201</v>
      </c>
      <c r="Y212" s="514">
        <f>IFERROR(INDEX('[2]CN BC'!$M$10:$M$276,MATCH(B212,'[2]CN BC'!$H$10:$H$276,0)),"")</f>
        <v>0</v>
      </c>
      <c r="Z212" s="550" t="s">
        <v>1146</v>
      </c>
      <c r="AA212" s="113"/>
      <c r="AB212" s="114"/>
      <c r="AC212" s="161"/>
      <c r="AD212" s="114"/>
      <c r="AE212" s="114"/>
      <c r="AF212" s="114"/>
      <c r="AG212" s="114"/>
      <c r="AH212" s="114"/>
      <c r="AI212" s="114"/>
    </row>
    <row r="213" spans="1:39" s="387" customFormat="1" ht="25.5" customHeight="1">
      <c r="A213" s="394">
        <f>_xlfn.AGGREGATE(4,7,A$11:A212)+1</f>
        <v>202</v>
      </c>
      <c r="B213" s="378" t="s">
        <v>2000</v>
      </c>
      <c r="C213" s="390"/>
      <c r="D213" s="452"/>
      <c r="E213" s="441"/>
      <c r="F213" s="381">
        <v>2.67</v>
      </c>
      <c r="G213" s="382"/>
      <c r="H213" s="383">
        <f t="shared" si="64"/>
        <v>2.67</v>
      </c>
      <c r="I213" s="383"/>
      <c r="J213" s="384">
        <f t="shared" si="65"/>
        <v>2.67</v>
      </c>
      <c r="K213" s="377">
        <f t="shared" si="66"/>
        <v>4806000</v>
      </c>
      <c r="L213" s="381" t="str">
        <f>VLOOKUP(B213,'[1]Gui chi Quynh'!$B$7:$F$397,5,FALSE)</f>
        <v>A4</v>
      </c>
      <c r="M213" s="515">
        <f t="shared" si="51"/>
        <v>4806000</v>
      </c>
      <c r="N213" s="391">
        <v>21</v>
      </c>
      <c r="O213" s="459">
        <f>IFERROR(INDEX('[2]CN BC'!$J$10:$J$276,MATCH(B213,'[2]CN BC'!$H$10:$H$276,0)),"")</f>
        <v>21</v>
      </c>
      <c r="P213" s="515">
        <f t="shared" si="63"/>
        <v>4806000</v>
      </c>
      <c r="Q213" s="480"/>
      <c r="R213" s="377">
        <f>Q213*$G$8*1.2</f>
        <v>0</v>
      </c>
      <c r="S213" s="385"/>
      <c r="T213" s="377">
        <f t="shared" si="67"/>
        <v>0</v>
      </c>
      <c r="U213" s="377">
        <f t="shared" si="61"/>
        <v>48060</v>
      </c>
      <c r="V213" s="386">
        <f t="shared" si="60"/>
        <v>4854060</v>
      </c>
      <c r="W213" s="487">
        <v>23</v>
      </c>
      <c r="X213" s="606">
        <f>A213</f>
        <v>202</v>
      </c>
      <c r="Y213" s="514">
        <f>IFERROR(INDEX('[2]CN BC'!$M$10:$M$276,MATCH(B213,'[2]CN BC'!$H$10:$H$276,0)),"")</f>
        <v>0</v>
      </c>
      <c r="Z213" s="550" t="s">
        <v>1147</v>
      </c>
      <c r="AA213" s="113"/>
      <c r="AB213" s="114"/>
      <c r="AC213" s="508"/>
    </row>
    <row r="214" spans="1:39" s="114" customFormat="1" ht="25.5" customHeight="1">
      <c r="A214" s="394">
        <f>_xlfn.AGGREGATE(4,7,A$11:A213)+1</f>
        <v>203</v>
      </c>
      <c r="B214" s="37" t="s">
        <v>1898</v>
      </c>
      <c r="C214" s="38" t="s">
        <v>1019</v>
      </c>
      <c r="D214" s="424" t="s">
        <v>1781</v>
      </c>
      <c r="E214" s="442" t="s">
        <v>1386</v>
      </c>
      <c r="F214" s="10">
        <v>4.6500000000000004</v>
      </c>
      <c r="G214" s="163"/>
      <c r="H214" s="383">
        <f t="shared" si="64"/>
        <v>4.6500000000000004</v>
      </c>
      <c r="I214" s="383">
        <v>0.45</v>
      </c>
      <c r="J214" s="384">
        <f t="shared" si="65"/>
        <v>5.1000000000000005</v>
      </c>
      <c r="K214" s="377">
        <f t="shared" si="66"/>
        <v>9180000.0000000019</v>
      </c>
      <c r="L214" s="381" t="str">
        <f>VLOOKUP(B214,'[1]Gui chi Quynh'!$B$7:$F$397,5,FALSE)</f>
        <v>A1</v>
      </c>
      <c r="M214" s="515">
        <f t="shared" si="51"/>
        <v>14688000.000000004</v>
      </c>
      <c r="N214" s="391">
        <v>21</v>
      </c>
      <c r="O214" s="459">
        <f>IFERROR(INDEX('[2]CN BC'!$J$10:$J$276,MATCH(B214,'[2]CN BC'!$H$10:$H$276,0)),"")</f>
        <v>21</v>
      </c>
      <c r="P214" s="515">
        <f t="shared" si="63"/>
        <v>14688000.000000004</v>
      </c>
      <c r="Q214" s="409"/>
      <c r="R214" s="377">
        <f>Q214*$G$8*1</f>
        <v>0</v>
      </c>
      <c r="S214" s="401"/>
      <c r="T214" s="377">
        <f t="shared" si="67"/>
        <v>0</v>
      </c>
      <c r="U214" s="377">
        <f t="shared" si="61"/>
        <v>91800</v>
      </c>
      <c r="V214" s="386">
        <f t="shared" si="60"/>
        <v>14779800.000000004</v>
      </c>
      <c r="W214" s="459">
        <v>24</v>
      </c>
      <c r="X214" s="606">
        <f t="shared" si="62"/>
        <v>203</v>
      </c>
      <c r="Y214" s="514">
        <f>IFERROR(INDEX('[2]CN BC'!$M$10:$M$276,MATCH(B214,'[2]CN BC'!$H$10:$H$276,0)),"")</f>
        <v>0</v>
      </c>
      <c r="Z214" s="550" t="s">
        <v>812</v>
      </c>
      <c r="AA214" s="113"/>
      <c r="AC214" s="161"/>
    </row>
    <row r="215" spans="1:39" s="387" customFormat="1" ht="27.75" customHeight="1">
      <c r="A215" s="394">
        <f>_xlfn.AGGREGATE(4,7,A$11:A214)+1</f>
        <v>204</v>
      </c>
      <c r="B215" s="378" t="s">
        <v>526</v>
      </c>
      <c r="C215" s="390" t="s">
        <v>1060</v>
      </c>
      <c r="D215" s="424" t="s">
        <v>1646</v>
      </c>
      <c r="E215" s="441" t="s">
        <v>1398</v>
      </c>
      <c r="F215" s="381">
        <v>4.9800000000000004</v>
      </c>
      <c r="G215" s="382">
        <v>0.16</v>
      </c>
      <c r="H215" s="383">
        <f t="shared" si="64"/>
        <v>5.7768000000000006</v>
      </c>
      <c r="I215" s="383">
        <f>0.35</f>
        <v>0.35</v>
      </c>
      <c r="J215" s="384">
        <f t="shared" si="65"/>
        <v>6.1268000000000002</v>
      </c>
      <c r="K215" s="377">
        <f t="shared" si="66"/>
        <v>11028240</v>
      </c>
      <c r="L215" s="381" t="str">
        <f>VLOOKUP(B215,'[1]Gui chi Quynh'!$B$7:$F$397,5,FALSE)</f>
        <v>A3</v>
      </c>
      <c r="M215" s="515">
        <f t="shared" ref="M215:M278" si="68">IF(L215="A1",K215*1.6,IF(L215="A2",K215*1.4,IF(L215="A3",K215*1.2,IF(L215="A4",K215*1,IF(L215="B1",K215*0.7,IF(L215="B2",K215*0.5,IF(L215="C1",K215*0.3,IF(L215="C2",K215*0.2,0))))))))</f>
        <v>13233888</v>
      </c>
      <c r="N215" s="391">
        <v>21</v>
      </c>
      <c r="O215" s="459">
        <f>IFERROR(INDEX('[2]CN BC'!$J$10:$J$276,MATCH(B215,'[2]CN BC'!$H$10:$H$276,0)),"")</f>
        <v>21</v>
      </c>
      <c r="P215" s="515">
        <f t="shared" si="63"/>
        <v>13233888</v>
      </c>
      <c r="Q215" s="409"/>
      <c r="R215" s="377">
        <f>Q215*$G$8*1</f>
        <v>0</v>
      </c>
      <c r="S215" s="401"/>
      <c r="T215" s="377">
        <f t="shared" si="67"/>
        <v>0</v>
      </c>
      <c r="U215" s="377">
        <f>IF(OR(L215="A DN",L215="KXL", L215=""),"0",ROUND(J215*0.01*$G$8+Q215*1%*$G$8+S215*1%*$G$8,))</f>
        <v>110282</v>
      </c>
      <c r="V215" s="386">
        <f>(P215+R215+T215+U215)</f>
        <v>13344170</v>
      </c>
      <c r="W215" s="459">
        <v>24</v>
      </c>
      <c r="X215" s="606">
        <f t="shared" si="62"/>
        <v>204</v>
      </c>
      <c r="Y215" s="514">
        <f>IFERROR(INDEX('[2]CN BC'!$M$10:$M$276,MATCH(B215,'[2]CN BC'!$H$10:$H$276,0)),"")</f>
        <v>0</v>
      </c>
      <c r="Z215" s="550" t="s">
        <v>813</v>
      </c>
      <c r="AA215" s="113"/>
      <c r="AB215" s="114"/>
      <c r="AC215" s="161"/>
      <c r="AD215" s="114"/>
      <c r="AE215" s="114"/>
      <c r="AF215" s="114"/>
      <c r="AG215" s="114"/>
      <c r="AH215" s="114"/>
      <c r="AI215" s="114"/>
      <c r="AJ215" s="114"/>
      <c r="AK215" s="114"/>
      <c r="AL215" s="114"/>
      <c r="AM215" s="114"/>
    </row>
    <row r="216" spans="1:39" s="114" customFormat="1" ht="24.75" customHeight="1">
      <c r="A216" s="394">
        <f>_xlfn.AGGREGATE(4,7,A$11:A215)+1</f>
        <v>205</v>
      </c>
      <c r="B216" s="37" t="s">
        <v>1899</v>
      </c>
      <c r="C216" s="421" t="s">
        <v>1046</v>
      </c>
      <c r="D216" s="424" t="s">
        <v>1778</v>
      </c>
      <c r="E216" s="451" t="s">
        <v>1381</v>
      </c>
      <c r="F216" s="381">
        <v>4.9800000000000004</v>
      </c>
      <c r="G216" s="382">
        <v>0.06</v>
      </c>
      <c r="H216" s="383">
        <f t="shared" si="56"/>
        <v>5.2788000000000004</v>
      </c>
      <c r="I216" s="383"/>
      <c r="J216" s="384">
        <f t="shared" si="57"/>
        <v>5.2788000000000004</v>
      </c>
      <c r="K216" s="377">
        <f t="shared" si="58"/>
        <v>9501840</v>
      </c>
      <c r="L216" s="381" t="str">
        <f>VLOOKUP(B216,'[1]Gui chi Quynh'!$B$7:$F$397,5,FALSE)</f>
        <v>A3</v>
      </c>
      <c r="M216" s="515">
        <f t="shared" si="68"/>
        <v>11402208</v>
      </c>
      <c r="N216" s="391">
        <v>21</v>
      </c>
      <c r="O216" s="459">
        <f>IFERROR(INDEX('[2]CN BC'!$J$10:$J$276,MATCH(B216,'[2]CN BC'!$H$10:$H$276,0)),"")</f>
        <v>21</v>
      </c>
      <c r="P216" s="515">
        <f t="shared" si="63"/>
        <v>11402208</v>
      </c>
      <c r="Q216" s="409"/>
      <c r="R216" s="377">
        <f t="shared" si="59"/>
        <v>0</v>
      </c>
      <c r="S216" s="422"/>
      <c r="T216" s="377">
        <f t="shared" si="67"/>
        <v>0</v>
      </c>
      <c r="U216" s="377">
        <f t="shared" si="61"/>
        <v>95018</v>
      </c>
      <c r="V216" s="386">
        <f t="shared" si="60"/>
        <v>11497226</v>
      </c>
      <c r="W216" s="459">
        <v>24</v>
      </c>
      <c r="X216" s="606">
        <f t="shared" si="62"/>
        <v>205</v>
      </c>
      <c r="Y216" s="514">
        <f>IFERROR(INDEX('[2]CN BC'!$M$10:$M$276,MATCH(B216,'[2]CN BC'!$H$10:$H$276,0)),"")</f>
        <v>0</v>
      </c>
      <c r="Z216" s="550" t="s">
        <v>814</v>
      </c>
      <c r="AA216" s="113"/>
      <c r="AC216" s="161"/>
    </row>
    <row r="217" spans="1:39" s="387" customFormat="1" ht="28.5" customHeight="1">
      <c r="A217" s="394">
        <f>_xlfn.AGGREGATE(4,7,A$11:A216)+1</f>
        <v>206</v>
      </c>
      <c r="B217" s="378" t="s">
        <v>461</v>
      </c>
      <c r="C217" s="379" t="s">
        <v>1185</v>
      </c>
      <c r="D217" s="452" t="s">
        <v>1779</v>
      </c>
      <c r="E217" s="441" t="s">
        <v>1384</v>
      </c>
      <c r="F217" s="381">
        <v>4.9800000000000004</v>
      </c>
      <c r="G217" s="382">
        <v>0.06</v>
      </c>
      <c r="H217" s="383">
        <f t="shared" si="56"/>
        <v>5.2788000000000004</v>
      </c>
      <c r="I217" s="383"/>
      <c r="J217" s="384">
        <f t="shared" si="57"/>
        <v>5.2788000000000004</v>
      </c>
      <c r="K217" s="377">
        <f t="shared" si="58"/>
        <v>9501840</v>
      </c>
      <c r="L217" s="381" t="str">
        <f>VLOOKUP(B217,'[1]Gui chi Quynh'!$B$7:$F$397,5,FALSE)</f>
        <v>A3</v>
      </c>
      <c r="M217" s="515">
        <f t="shared" si="68"/>
        <v>11402208</v>
      </c>
      <c r="N217" s="391">
        <v>21</v>
      </c>
      <c r="O217" s="487">
        <f>IFERROR(INDEX('[2]CN BC'!$J$10:$J$276,MATCH(B217,'[2]CN BC'!$H$10:$H$276,0)),"")</f>
        <v>21</v>
      </c>
      <c r="P217" s="515">
        <f t="shared" si="63"/>
        <v>11402208</v>
      </c>
      <c r="Q217" s="480"/>
      <c r="R217" s="377">
        <f t="shared" si="59"/>
        <v>0</v>
      </c>
      <c r="S217" s="385"/>
      <c r="T217" s="377">
        <f t="shared" si="67"/>
        <v>0</v>
      </c>
      <c r="U217" s="377">
        <f t="shared" si="61"/>
        <v>95018</v>
      </c>
      <c r="V217" s="386">
        <f t="shared" si="60"/>
        <v>11497226</v>
      </c>
      <c r="W217" s="487">
        <v>24</v>
      </c>
      <c r="X217" s="606">
        <f t="shared" si="62"/>
        <v>206</v>
      </c>
      <c r="Y217" s="584">
        <f>IFERROR(INDEX('[2]CN BC'!$M$10:$M$276,MATCH(B217,'[2]CN BC'!$H$10:$H$276,0)),"")</f>
        <v>0</v>
      </c>
      <c r="Z217" s="572" t="s">
        <v>815</v>
      </c>
      <c r="AA217" s="568"/>
      <c r="AC217" s="508"/>
    </row>
    <row r="218" spans="1:39" s="114" customFormat="1" ht="25.5" customHeight="1">
      <c r="A218" s="394">
        <f>_xlfn.AGGREGATE(4,7,A$11:A217)+1</f>
        <v>207</v>
      </c>
      <c r="B218" s="37" t="s">
        <v>1900</v>
      </c>
      <c r="C218" s="38" t="s">
        <v>1049</v>
      </c>
      <c r="D218" s="424" t="s">
        <v>1780</v>
      </c>
      <c r="E218" s="442" t="s">
        <v>1385</v>
      </c>
      <c r="F218" s="10">
        <v>4.6500000000000004</v>
      </c>
      <c r="G218" s="163"/>
      <c r="H218" s="383">
        <f t="shared" si="56"/>
        <v>4.6500000000000004</v>
      </c>
      <c r="I218" s="383"/>
      <c r="J218" s="384">
        <f t="shared" si="57"/>
        <v>4.6500000000000004</v>
      </c>
      <c r="K218" s="377">
        <f t="shared" si="58"/>
        <v>8370000.0000000009</v>
      </c>
      <c r="L218" s="381" t="str">
        <f>VLOOKUP(B218,'[1]Gui chi Quynh'!$B$7:$F$397,5,FALSE)</f>
        <v>A2</v>
      </c>
      <c r="M218" s="515">
        <f t="shared" si="68"/>
        <v>11718000</v>
      </c>
      <c r="N218" s="391">
        <v>21</v>
      </c>
      <c r="O218" s="459">
        <f>IFERROR(INDEX('[2]CN BC'!$J$10:$J$276,MATCH(B218,'[2]CN BC'!$H$10:$H$276,0)),"")</f>
        <v>21</v>
      </c>
      <c r="P218" s="515">
        <f t="shared" si="63"/>
        <v>11718000</v>
      </c>
      <c r="Q218" s="409"/>
      <c r="R218" s="377">
        <f t="shared" si="59"/>
        <v>0</v>
      </c>
      <c r="S218" s="401"/>
      <c r="T218" s="377">
        <f t="shared" si="67"/>
        <v>0</v>
      </c>
      <c r="U218" s="377">
        <f t="shared" si="61"/>
        <v>83700</v>
      </c>
      <c r="V218" s="386">
        <f t="shared" si="60"/>
        <v>11801700</v>
      </c>
      <c r="W218" s="459">
        <v>23</v>
      </c>
      <c r="X218" s="606">
        <f t="shared" si="62"/>
        <v>207</v>
      </c>
      <c r="Y218" s="514">
        <f>IFERROR(INDEX('[2]CN BC'!$M$10:$M$276,MATCH(B218,'[2]CN BC'!$H$10:$H$276,0)),"")</f>
        <v>0</v>
      </c>
      <c r="Z218" s="550" t="s">
        <v>816</v>
      </c>
      <c r="AA218" s="113"/>
      <c r="AC218" s="161"/>
    </row>
    <row r="219" spans="1:39" s="114" customFormat="1" ht="25.5" customHeight="1">
      <c r="A219" s="394">
        <f>_xlfn.AGGREGATE(4,7,A$11:A218)+1</f>
        <v>208</v>
      </c>
      <c r="B219" s="37" t="s">
        <v>1901</v>
      </c>
      <c r="C219" s="38" t="s">
        <v>1051</v>
      </c>
      <c r="D219" s="424" t="s">
        <v>1782</v>
      </c>
      <c r="E219" s="442" t="s">
        <v>1387</v>
      </c>
      <c r="F219" s="10">
        <v>4.32</v>
      </c>
      <c r="G219" s="163"/>
      <c r="H219" s="383">
        <f t="shared" si="56"/>
        <v>4.32</v>
      </c>
      <c r="I219" s="86"/>
      <c r="J219" s="384">
        <f t="shared" si="57"/>
        <v>4.32</v>
      </c>
      <c r="K219" s="377">
        <f t="shared" si="58"/>
        <v>7776000.0000000009</v>
      </c>
      <c r="L219" s="381" t="str">
        <f>VLOOKUP(B219,'[1]Gui chi Quynh'!$B$7:$F$397,5,FALSE)</f>
        <v>A3</v>
      </c>
      <c r="M219" s="515">
        <f t="shared" si="68"/>
        <v>9331200</v>
      </c>
      <c r="N219" s="391">
        <v>21</v>
      </c>
      <c r="O219" s="459">
        <f>IFERROR(INDEX('[2]CN BC'!$J$10:$J$276,MATCH(B219,'[2]CN BC'!$H$10:$H$276,0)),"")</f>
        <v>21</v>
      </c>
      <c r="P219" s="515">
        <f t="shared" si="63"/>
        <v>9331200</v>
      </c>
      <c r="Q219" s="409"/>
      <c r="R219" s="377">
        <f t="shared" si="59"/>
        <v>0</v>
      </c>
      <c r="S219" s="401"/>
      <c r="T219" s="377">
        <f t="shared" si="67"/>
        <v>0</v>
      </c>
      <c r="U219" s="377">
        <f t="shared" si="61"/>
        <v>77760</v>
      </c>
      <c r="V219" s="386">
        <f t="shared" si="60"/>
        <v>9408960</v>
      </c>
      <c r="W219" s="459">
        <v>23</v>
      </c>
      <c r="X219" s="606">
        <f t="shared" si="62"/>
        <v>208</v>
      </c>
      <c r="Y219" s="514">
        <f>IFERROR(INDEX('[2]CN BC'!$M$10:$M$276,MATCH(B219,'[2]CN BC'!$H$10:$H$276,0)),"")</f>
        <v>0</v>
      </c>
      <c r="Z219" s="550" t="s">
        <v>817</v>
      </c>
      <c r="AA219" s="113"/>
      <c r="AC219" s="161"/>
    </row>
    <row r="220" spans="1:39" s="114" customFormat="1" ht="25.5" customHeight="1">
      <c r="A220" s="394">
        <f>_xlfn.AGGREGATE(4,7,A$11:A219)+1</f>
        <v>209</v>
      </c>
      <c r="B220" s="37" t="s">
        <v>1534</v>
      </c>
      <c r="C220" s="38" t="s">
        <v>1053</v>
      </c>
      <c r="D220" s="424" t="s">
        <v>1783</v>
      </c>
      <c r="E220" s="442" t="s">
        <v>1388</v>
      </c>
      <c r="F220" s="10">
        <v>4.32</v>
      </c>
      <c r="G220" s="163"/>
      <c r="H220" s="383">
        <f t="shared" si="56"/>
        <v>4.32</v>
      </c>
      <c r="I220" s="86"/>
      <c r="J220" s="384">
        <f t="shared" si="57"/>
        <v>4.32</v>
      </c>
      <c r="K220" s="377">
        <f t="shared" si="58"/>
        <v>7776000.0000000009</v>
      </c>
      <c r="L220" s="381" t="str">
        <f>VLOOKUP(B220,'[1]Gui chi Quynh'!$B$7:$F$397,5,FALSE)</f>
        <v>A3</v>
      </c>
      <c r="M220" s="515">
        <f t="shared" si="68"/>
        <v>9331200</v>
      </c>
      <c r="N220" s="391">
        <v>21</v>
      </c>
      <c r="O220" s="459">
        <f>IFERROR(INDEX('[2]CN BC'!$J$10:$J$276,MATCH(B220,'[2]CN BC'!$H$10:$H$276,0)),"")</f>
        <v>21</v>
      </c>
      <c r="P220" s="515">
        <f t="shared" si="63"/>
        <v>9331200</v>
      </c>
      <c r="Q220" s="409"/>
      <c r="R220" s="377">
        <f t="shared" si="59"/>
        <v>0</v>
      </c>
      <c r="S220" s="401"/>
      <c r="T220" s="377">
        <f t="shared" si="67"/>
        <v>0</v>
      </c>
      <c r="U220" s="377">
        <f t="shared" si="61"/>
        <v>77760</v>
      </c>
      <c r="V220" s="386">
        <f t="shared" si="60"/>
        <v>9408960</v>
      </c>
      <c r="W220" s="459">
        <v>23</v>
      </c>
      <c r="X220" s="606">
        <f t="shared" si="62"/>
        <v>209</v>
      </c>
      <c r="Y220" s="514">
        <f>IFERROR(INDEX('[2]CN BC'!$M$10:$M$276,MATCH(B220,'[2]CN BC'!$H$10:$H$276,0)),"")</f>
        <v>0</v>
      </c>
      <c r="Z220" s="550" t="s">
        <v>818</v>
      </c>
      <c r="AA220" s="113"/>
      <c r="AC220" s="161"/>
    </row>
    <row r="221" spans="1:39" s="387" customFormat="1" ht="25.5" customHeight="1">
      <c r="A221" s="394">
        <f>_xlfn.AGGREGATE(4,7,A$11:A220)+1</f>
        <v>210</v>
      </c>
      <c r="B221" s="378" t="s">
        <v>1535</v>
      </c>
      <c r="C221" s="379" t="s">
        <v>986</v>
      </c>
      <c r="D221" s="452" t="s">
        <v>1784</v>
      </c>
      <c r="E221" s="440" t="s">
        <v>1595</v>
      </c>
      <c r="F221" s="388">
        <v>3.33</v>
      </c>
      <c r="G221" s="382"/>
      <c r="H221" s="465">
        <f t="shared" si="56"/>
        <v>3.33</v>
      </c>
      <c r="I221" s="383">
        <v>0.25</v>
      </c>
      <c r="J221" s="384">
        <f t="shared" si="57"/>
        <v>3.58</v>
      </c>
      <c r="K221" s="377">
        <f t="shared" si="58"/>
        <v>6444000</v>
      </c>
      <c r="L221" s="381" t="str">
        <f>VLOOKUP(B221,'[1]Gui chi Quynh'!$B$7:$F$397,5,FALSE)</f>
        <v>A3</v>
      </c>
      <c r="M221" s="515">
        <f t="shared" si="68"/>
        <v>7732800</v>
      </c>
      <c r="N221" s="391">
        <v>21</v>
      </c>
      <c r="O221" s="459">
        <f>IFERROR(INDEX('[2]CN BC'!$J$10:$J$276,MATCH(B221,'[2]CN BC'!$H$10:$H$276,0)),"")</f>
        <v>21</v>
      </c>
      <c r="P221" s="515">
        <f t="shared" si="63"/>
        <v>7732800</v>
      </c>
      <c r="Q221" s="480"/>
      <c r="R221" s="377">
        <f t="shared" si="59"/>
        <v>0</v>
      </c>
      <c r="S221" s="385"/>
      <c r="T221" s="377">
        <f t="shared" si="67"/>
        <v>0</v>
      </c>
      <c r="U221" s="377">
        <f t="shared" si="61"/>
        <v>64440</v>
      </c>
      <c r="V221" s="386">
        <f t="shared" si="60"/>
        <v>7797240</v>
      </c>
      <c r="W221" s="459">
        <v>24</v>
      </c>
      <c r="X221" s="606">
        <f t="shared" si="62"/>
        <v>210</v>
      </c>
      <c r="Y221" s="514">
        <f>IFERROR(INDEX('[2]CN BC'!$M$10:$M$276,MATCH(B221,'[2]CN BC'!$H$10:$H$276,0)),"")</f>
        <v>0</v>
      </c>
      <c r="Z221" s="550" t="s">
        <v>819</v>
      </c>
      <c r="AA221" s="113"/>
      <c r="AB221" s="114"/>
      <c r="AC221" s="161"/>
      <c r="AD221" s="114"/>
      <c r="AE221" s="114"/>
      <c r="AF221" s="114"/>
      <c r="AG221" s="114"/>
      <c r="AH221" s="114"/>
      <c r="AI221" s="114"/>
    </row>
    <row r="222" spans="1:39" s="387" customFormat="1" ht="24.75" customHeight="1">
      <c r="A222" s="394">
        <f>_xlfn.AGGREGATE(4,7,A$11:A221)+1</f>
        <v>211</v>
      </c>
      <c r="B222" s="406" t="s">
        <v>1903</v>
      </c>
      <c r="C222" s="379" t="s">
        <v>1058</v>
      </c>
      <c r="D222" s="452" t="s">
        <v>1786</v>
      </c>
      <c r="E222" s="441" t="s">
        <v>1392</v>
      </c>
      <c r="F222" s="388">
        <v>4.32</v>
      </c>
      <c r="G222" s="382"/>
      <c r="H222" s="383">
        <f t="shared" si="56"/>
        <v>4.32</v>
      </c>
      <c r="I222" s="383"/>
      <c r="J222" s="384">
        <f t="shared" si="57"/>
        <v>4.32</v>
      </c>
      <c r="K222" s="377">
        <f t="shared" si="58"/>
        <v>7776000.0000000009</v>
      </c>
      <c r="L222" s="381" t="str">
        <f>VLOOKUP(B222,'[1]Gui chi Quynh'!$B$7:$F$397,5,FALSE)</f>
        <v>A3</v>
      </c>
      <c r="M222" s="515">
        <f t="shared" si="68"/>
        <v>9331200</v>
      </c>
      <c r="N222" s="391">
        <v>21</v>
      </c>
      <c r="O222" s="459">
        <f>IFERROR(INDEX('[2]CN BC'!$J$10:$J$276,MATCH(B222,'[2]CN BC'!$H$10:$H$276,0)),"")</f>
        <v>21</v>
      </c>
      <c r="P222" s="515">
        <f t="shared" si="63"/>
        <v>9331200</v>
      </c>
      <c r="Q222" s="480"/>
      <c r="R222" s="377">
        <f t="shared" si="59"/>
        <v>0</v>
      </c>
      <c r="S222" s="385"/>
      <c r="T222" s="377">
        <f t="shared" si="67"/>
        <v>0</v>
      </c>
      <c r="U222" s="377">
        <f t="shared" si="61"/>
        <v>77760</v>
      </c>
      <c r="V222" s="386">
        <f t="shared" si="60"/>
        <v>9408960</v>
      </c>
      <c r="W222" s="459">
        <v>24</v>
      </c>
      <c r="X222" s="606">
        <f t="shared" si="62"/>
        <v>211</v>
      </c>
      <c r="Y222" s="514">
        <f>IFERROR(INDEX('[2]CN BC'!$M$10:$M$276,MATCH(B222,'[2]CN BC'!$H$10:$H$276,0)),"")</f>
        <v>0</v>
      </c>
      <c r="Z222" s="550" t="s">
        <v>1119</v>
      </c>
      <c r="AA222" s="491"/>
      <c r="AB222" s="114"/>
      <c r="AC222" s="161"/>
      <c r="AD222" s="114"/>
      <c r="AE222" s="114"/>
      <c r="AF222" s="114"/>
      <c r="AG222" s="114"/>
      <c r="AH222" s="114"/>
      <c r="AI222" s="114"/>
    </row>
    <row r="223" spans="1:39" s="387" customFormat="1" ht="24.75" customHeight="1">
      <c r="A223" s="394">
        <f>_xlfn.AGGREGATE(4,7,A$11:A222)+1</f>
        <v>212</v>
      </c>
      <c r="B223" s="378" t="s">
        <v>1904</v>
      </c>
      <c r="C223" s="379" t="s">
        <v>885</v>
      </c>
      <c r="D223" s="424" t="s">
        <v>1787</v>
      </c>
      <c r="E223" s="441" t="s">
        <v>1396</v>
      </c>
      <c r="F223" s="381">
        <v>4.6500000000000004</v>
      </c>
      <c r="G223" s="382"/>
      <c r="H223" s="383">
        <f t="shared" si="56"/>
        <v>4.6500000000000004</v>
      </c>
      <c r="I223" s="383"/>
      <c r="J223" s="384">
        <f t="shared" si="57"/>
        <v>4.6500000000000004</v>
      </c>
      <c r="K223" s="377">
        <f t="shared" si="58"/>
        <v>8370000.0000000009</v>
      </c>
      <c r="L223" s="381" t="str">
        <f>VLOOKUP(B223,'[1]Gui chi Quynh'!$B$7:$F$397,5,FALSE)</f>
        <v>A3</v>
      </c>
      <c r="M223" s="515">
        <f t="shared" si="68"/>
        <v>10044000</v>
      </c>
      <c r="N223" s="391">
        <v>21</v>
      </c>
      <c r="O223" s="459">
        <f>IFERROR(INDEX('[2]CN BC'!$J$10:$J$276,MATCH(B223,'[2]CN BC'!$H$10:$H$276,0)),"")</f>
        <v>21</v>
      </c>
      <c r="P223" s="515">
        <f t="shared" si="63"/>
        <v>10044000</v>
      </c>
      <c r="Q223" s="409"/>
      <c r="R223" s="377">
        <f t="shared" si="59"/>
        <v>0</v>
      </c>
      <c r="S223" s="401"/>
      <c r="T223" s="377">
        <f t="shared" si="67"/>
        <v>0</v>
      </c>
      <c r="U223" s="377">
        <f t="shared" si="61"/>
        <v>83700</v>
      </c>
      <c r="V223" s="386">
        <f t="shared" si="60"/>
        <v>10127700</v>
      </c>
      <c r="W223" s="459">
        <v>23</v>
      </c>
      <c r="X223" s="606">
        <f t="shared" si="62"/>
        <v>212</v>
      </c>
      <c r="Y223" s="514">
        <f>IFERROR(INDEX('[2]CN BC'!$M$10:$M$276,MATCH(B223,'[2]CN BC'!$H$10:$H$276,0)),"")</f>
        <v>0</v>
      </c>
      <c r="Z223" s="550" t="s">
        <v>1120</v>
      </c>
      <c r="AA223" s="113"/>
      <c r="AB223" s="114"/>
      <c r="AC223" s="161"/>
      <c r="AD223" s="114"/>
      <c r="AE223" s="114"/>
      <c r="AF223" s="114"/>
      <c r="AG223" s="114"/>
      <c r="AH223" s="114"/>
      <c r="AI223" s="114"/>
      <c r="AJ223" s="114"/>
      <c r="AK223" s="114"/>
      <c r="AL223" s="114"/>
      <c r="AM223" s="114"/>
    </row>
    <row r="224" spans="1:39" s="387" customFormat="1" ht="24.75" customHeight="1">
      <c r="A224" s="394">
        <f>_xlfn.AGGREGATE(4,7,A$11:A223)+1</f>
        <v>213</v>
      </c>
      <c r="B224" s="378" t="s">
        <v>1536</v>
      </c>
      <c r="C224" s="379" t="s">
        <v>947</v>
      </c>
      <c r="D224" s="452" t="s">
        <v>1788</v>
      </c>
      <c r="E224" s="441" t="s">
        <v>389</v>
      </c>
      <c r="F224" s="388">
        <v>3.66</v>
      </c>
      <c r="G224" s="382"/>
      <c r="H224" s="383">
        <f t="shared" si="56"/>
        <v>3.66</v>
      </c>
      <c r="I224" s="383"/>
      <c r="J224" s="384">
        <f t="shared" si="57"/>
        <v>3.66</v>
      </c>
      <c r="K224" s="377">
        <f t="shared" si="58"/>
        <v>6588000</v>
      </c>
      <c r="L224" s="381" t="str">
        <f>VLOOKUP(B224,'[1]Gui chi Quynh'!$B$7:$F$397,5,FALSE)</f>
        <v>A2</v>
      </c>
      <c r="M224" s="515">
        <f t="shared" si="68"/>
        <v>9223200</v>
      </c>
      <c r="N224" s="391">
        <v>21</v>
      </c>
      <c r="O224" s="459">
        <f>IFERROR(INDEX('[2]CN BC'!$J$10:$J$276,MATCH(B224,'[2]CN BC'!$H$10:$H$276,0)),"")</f>
        <v>21</v>
      </c>
      <c r="P224" s="515">
        <f t="shared" si="63"/>
        <v>9223200</v>
      </c>
      <c r="Q224" s="480"/>
      <c r="R224" s="377">
        <f t="shared" si="59"/>
        <v>0</v>
      </c>
      <c r="S224" s="385"/>
      <c r="T224" s="377">
        <f t="shared" si="67"/>
        <v>0</v>
      </c>
      <c r="U224" s="377">
        <f t="shared" si="61"/>
        <v>65880</v>
      </c>
      <c r="V224" s="386">
        <f t="shared" si="60"/>
        <v>9289080</v>
      </c>
      <c r="W224" s="459">
        <v>23</v>
      </c>
      <c r="X224" s="606">
        <f t="shared" si="62"/>
        <v>213</v>
      </c>
      <c r="Y224" s="514">
        <f>IFERROR(INDEX('[2]CN BC'!$M$10:$M$276,MATCH(B224,'[2]CN BC'!$H$10:$H$276,0)),"")</f>
        <v>0</v>
      </c>
      <c r="Z224" s="550" t="s">
        <v>1121</v>
      </c>
      <c r="AA224" s="113"/>
      <c r="AB224" s="114"/>
      <c r="AC224" s="161"/>
      <c r="AD224" s="114"/>
      <c r="AE224" s="114"/>
      <c r="AF224" s="114"/>
      <c r="AG224" s="114"/>
      <c r="AH224" s="114"/>
      <c r="AI224" s="114"/>
    </row>
    <row r="225" spans="1:39" s="387" customFormat="1" ht="24.75" customHeight="1">
      <c r="A225" s="394">
        <f>_xlfn.AGGREGATE(4,7,A$11:A224)+1</f>
        <v>214</v>
      </c>
      <c r="B225" s="378" t="s">
        <v>1537</v>
      </c>
      <c r="C225" s="379" t="s">
        <v>1199</v>
      </c>
      <c r="D225" s="424" t="s">
        <v>1789</v>
      </c>
      <c r="E225" s="441" t="s">
        <v>1334</v>
      </c>
      <c r="F225" s="388">
        <v>3.99</v>
      </c>
      <c r="G225" s="382"/>
      <c r="H225" s="383">
        <f t="shared" si="56"/>
        <v>3.99</v>
      </c>
      <c r="I225" s="383"/>
      <c r="J225" s="384">
        <f t="shared" si="57"/>
        <v>3.99</v>
      </c>
      <c r="K225" s="377">
        <f t="shared" si="58"/>
        <v>7182000</v>
      </c>
      <c r="L225" s="381" t="str">
        <f>VLOOKUP(B225,'[1]Gui chi Quynh'!$B$7:$F$397,5,FALSE)</f>
        <v>A3</v>
      </c>
      <c r="M225" s="515">
        <f t="shared" si="68"/>
        <v>8618400</v>
      </c>
      <c r="N225" s="391">
        <v>21</v>
      </c>
      <c r="O225" s="459">
        <f>IFERROR(INDEX('[2]CN BC'!$J$10:$J$276,MATCH(B225,'[2]CN BC'!$H$10:$H$276,0)),"")</f>
        <v>21</v>
      </c>
      <c r="P225" s="515">
        <f t="shared" si="63"/>
        <v>8618400</v>
      </c>
      <c r="Q225" s="409"/>
      <c r="R225" s="377">
        <f t="shared" si="59"/>
        <v>0</v>
      </c>
      <c r="S225" s="385"/>
      <c r="T225" s="377">
        <f t="shared" si="67"/>
        <v>0</v>
      </c>
      <c r="U225" s="377">
        <f t="shared" si="61"/>
        <v>71820</v>
      </c>
      <c r="V225" s="386">
        <f t="shared" si="60"/>
        <v>8690220</v>
      </c>
      <c r="W225" s="459">
        <v>23</v>
      </c>
      <c r="X225" s="606">
        <f t="shared" si="62"/>
        <v>214</v>
      </c>
      <c r="Y225" s="514">
        <f>IFERROR(INDEX('[2]CN BC'!$M$10:$M$276,MATCH(B225,'[2]CN BC'!$H$10:$H$276,0)),"")</f>
        <v>0</v>
      </c>
      <c r="Z225" s="550" t="s">
        <v>1122</v>
      </c>
      <c r="AA225" s="113"/>
      <c r="AB225" s="114"/>
      <c r="AC225" s="161"/>
      <c r="AD225" s="114"/>
      <c r="AE225" s="114"/>
      <c r="AF225" s="114"/>
      <c r="AG225" s="114"/>
      <c r="AH225" s="114"/>
      <c r="AI225" s="114"/>
      <c r="AJ225" s="114"/>
      <c r="AK225" s="114"/>
      <c r="AL225" s="114"/>
      <c r="AM225" s="114"/>
    </row>
    <row r="226" spans="1:39" s="387" customFormat="1" ht="24.75" customHeight="1">
      <c r="A226" s="394">
        <f>_xlfn.AGGREGATE(4,7,A$11:A225)+1</f>
        <v>215</v>
      </c>
      <c r="B226" s="378" t="s">
        <v>1905</v>
      </c>
      <c r="C226" s="379" t="s">
        <v>1207</v>
      </c>
      <c r="D226" s="424" t="s">
        <v>1790</v>
      </c>
      <c r="E226" s="446" t="s">
        <v>463</v>
      </c>
      <c r="F226" s="388">
        <v>3.66</v>
      </c>
      <c r="G226" s="382"/>
      <c r="H226" s="465">
        <f t="shared" si="56"/>
        <v>3.66</v>
      </c>
      <c r="I226" s="383"/>
      <c r="J226" s="384">
        <f t="shared" si="57"/>
        <v>3.66</v>
      </c>
      <c r="K226" s="377">
        <f t="shared" si="58"/>
        <v>6588000</v>
      </c>
      <c r="L226" s="381" t="str">
        <f>VLOOKUP(B226,'[1]Gui chi Quynh'!$B$7:$F$397,5,FALSE)</f>
        <v>A3</v>
      </c>
      <c r="M226" s="515">
        <f t="shared" si="68"/>
        <v>7905600</v>
      </c>
      <c r="N226" s="391">
        <v>21</v>
      </c>
      <c r="O226" s="459">
        <f>IFERROR(INDEX('[2]CN BC'!$J$10:$J$276,MATCH(B226,'[2]CN BC'!$H$10:$H$276,0)),"")</f>
        <v>21</v>
      </c>
      <c r="P226" s="515">
        <f t="shared" si="63"/>
        <v>7905600</v>
      </c>
      <c r="Q226" s="409"/>
      <c r="R226" s="377">
        <f t="shared" si="59"/>
        <v>0</v>
      </c>
      <c r="S226" s="401"/>
      <c r="T226" s="377">
        <f t="shared" si="67"/>
        <v>0</v>
      </c>
      <c r="U226" s="377">
        <f t="shared" si="61"/>
        <v>65880</v>
      </c>
      <c r="V226" s="386">
        <f t="shared" si="60"/>
        <v>7971480</v>
      </c>
      <c r="W226" s="459">
        <v>24</v>
      </c>
      <c r="X226" s="606">
        <f t="shared" si="62"/>
        <v>215</v>
      </c>
      <c r="Y226" s="514">
        <f>IFERROR(INDEX('[2]CN BC'!$M$10:$M$276,MATCH(B226,'[2]CN BC'!$H$10:$H$276,0)),"")</f>
        <v>0</v>
      </c>
      <c r="Z226" s="550" t="s">
        <v>1123</v>
      </c>
      <c r="AA226" s="113"/>
      <c r="AB226" s="114"/>
      <c r="AC226" s="161"/>
      <c r="AD226" s="114"/>
      <c r="AE226" s="114"/>
      <c r="AF226" s="114"/>
      <c r="AG226" s="114"/>
      <c r="AH226" s="114"/>
      <c r="AI226" s="114"/>
      <c r="AJ226" s="114"/>
      <c r="AK226" s="114"/>
      <c r="AL226" s="114"/>
      <c r="AM226" s="114"/>
    </row>
    <row r="227" spans="1:39" s="387" customFormat="1" ht="34.5" customHeight="1">
      <c r="A227" s="394">
        <f>_xlfn.AGGREGATE(4,7,A$11:A226)+1</f>
        <v>216</v>
      </c>
      <c r="B227" s="378" t="s">
        <v>1538</v>
      </c>
      <c r="C227" s="379" t="s">
        <v>1019</v>
      </c>
      <c r="D227" s="424" t="s">
        <v>1791</v>
      </c>
      <c r="E227" s="446" t="s">
        <v>510</v>
      </c>
      <c r="F227" s="388">
        <v>3.66</v>
      </c>
      <c r="G227" s="382"/>
      <c r="H227" s="383">
        <f t="shared" si="56"/>
        <v>3.66</v>
      </c>
      <c r="I227" s="383"/>
      <c r="J227" s="384">
        <f t="shared" si="57"/>
        <v>3.66</v>
      </c>
      <c r="K227" s="377">
        <f t="shared" si="58"/>
        <v>6588000</v>
      </c>
      <c r="L227" s="381" t="str">
        <f>VLOOKUP(B227,'[1]Gui chi Quynh'!$B$7:$F$397,5,FALSE)</f>
        <v>A1</v>
      </c>
      <c r="M227" s="515">
        <f t="shared" si="68"/>
        <v>10540800</v>
      </c>
      <c r="N227" s="391">
        <v>21</v>
      </c>
      <c r="O227" s="459">
        <f>IFERROR(INDEX('[2]CN BC'!$J$10:$J$276,MATCH(B227,'[2]CN BC'!$H$10:$H$276,0)),"")</f>
        <v>21</v>
      </c>
      <c r="P227" s="515">
        <f t="shared" si="63"/>
        <v>10540800</v>
      </c>
      <c r="Q227" s="409"/>
      <c r="R227" s="377">
        <f t="shared" si="59"/>
        <v>0</v>
      </c>
      <c r="S227" s="401"/>
      <c r="T227" s="377">
        <f t="shared" si="67"/>
        <v>0</v>
      </c>
      <c r="U227" s="377">
        <f t="shared" si="61"/>
        <v>65880</v>
      </c>
      <c r="V227" s="386">
        <f t="shared" si="60"/>
        <v>10606680</v>
      </c>
      <c r="W227" s="459">
        <v>23</v>
      </c>
      <c r="X227" s="606">
        <f t="shared" si="62"/>
        <v>216</v>
      </c>
      <c r="Y227" s="514">
        <f>IFERROR(INDEX('[2]CN BC'!$M$10:$M$276,MATCH(B227,'[2]CN BC'!$H$10:$H$276,0)),"")</f>
        <v>0</v>
      </c>
      <c r="Z227" s="550" t="s">
        <v>1124</v>
      </c>
      <c r="AA227" s="113"/>
      <c r="AB227" s="114"/>
      <c r="AC227" s="161"/>
      <c r="AD227" s="114"/>
      <c r="AE227" s="114"/>
      <c r="AF227" s="114"/>
      <c r="AG227" s="114"/>
      <c r="AH227" s="114"/>
      <c r="AI227" s="114"/>
      <c r="AJ227" s="114"/>
      <c r="AK227" s="114"/>
      <c r="AL227" s="114"/>
      <c r="AM227" s="114"/>
    </row>
    <row r="228" spans="1:39" s="387" customFormat="1" ht="25.5" customHeight="1">
      <c r="A228" s="394">
        <f>_xlfn.AGGREGATE(4,7,A$11:A227)+1</f>
        <v>217</v>
      </c>
      <c r="B228" s="378" t="s">
        <v>1906</v>
      </c>
      <c r="C228" s="379" t="s">
        <v>917</v>
      </c>
      <c r="D228" s="452" t="s">
        <v>1792</v>
      </c>
      <c r="E228" s="441" t="s">
        <v>1399</v>
      </c>
      <c r="F228" s="381">
        <v>4.9800000000000004</v>
      </c>
      <c r="G228" s="382">
        <v>0.08</v>
      </c>
      <c r="H228" s="383">
        <f t="shared" si="56"/>
        <v>5.3784000000000001</v>
      </c>
      <c r="I228" s="383">
        <v>0.35</v>
      </c>
      <c r="J228" s="384">
        <f t="shared" si="57"/>
        <v>5.7283999999999997</v>
      </c>
      <c r="K228" s="377">
        <f t="shared" si="58"/>
        <v>10311120</v>
      </c>
      <c r="L228" s="381" t="str">
        <f>VLOOKUP(B228,'[1]Gui chi Quynh'!$B$7:$F$397,5,FALSE)</f>
        <v>A4</v>
      </c>
      <c r="M228" s="515">
        <f t="shared" si="68"/>
        <v>10311120</v>
      </c>
      <c r="N228" s="391">
        <v>21</v>
      </c>
      <c r="O228" s="459">
        <f>IFERROR(INDEX('[2]CN BC'!$J$10:$J$276,MATCH(B228,'[2]CN BC'!$H$10:$H$276,0)),"")</f>
        <v>21</v>
      </c>
      <c r="P228" s="515">
        <f t="shared" si="63"/>
        <v>10311120</v>
      </c>
      <c r="Q228" s="480"/>
      <c r="R228" s="377">
        <f t="shared" si="59"/>
        <v>0</v>
      </c>
      <c r="S228" s="385"/>
      <c r="T228" s="377">
        <f t="shared" si="67"/>
        <v>0</v>
      </c>
      <c r="U228" s="377">
        <f t="shared" si="61"/>
        <v>103111</v>
      </c>
      <c r="V228" s="386">
        <f t="shared" si="60"/>
        <v>10414231</v>
      </c>
      <c r="W228" s="487">
        <v>23</v>
      </c>
      <c r="X228" s="606">
        <f t="shared" si="62"/>
        <v>217</v>
      </c>
      <c r="Y228" s="514">
        <f>IFERROR(INDEX('[2]CN BC'!$M$10:$M$276,MATCH(B228,'[2]CN BC'!$H$10:$H$276,0)),"")</f>
        <v>0</v>
      </c>
      <c r="Z228" s="550" t="s">
        <v>1125</v>
      </c>
      <c r="AA228" s="113"/>
      <c r="AB228" s="114"/>
      <c r="AC228" s="161"/>
      <c r="AD228" s="114"/>
      <c r="AE228" s="114"/>
      <c r="AF228" s="114"/>
      <c r="AG228" s="114"/>
      <c r="AH228" s="114"/>
      <c r="AI228" s="114"/>
    </row>
    <row r="229" spans="1:39" s="387" customFormat="1" ht="25.5" customHeight="1">
      <c r="A229" s="394">
        <f>_xlfn.AGGREGATE(4,7,A$11:A228)+1</f>
        <v>218</v>
      </c>
      <c r="B229" s="378" t="s">
        <v>1907</v>
      </c>
      <c r="C229" s="379" t="s">
        <v>878</v>
      </c>
      <c r="D229" s="452" t="s">
        <v>1793</v>
      </c>
      <c r="E229" s="441" t="s">
        <v>1400</v>
      </c>
      <c r="F229" s="381">
        <v>4.9800000000000004</v>
      </c>
      <c r="G229" s="382">
        <v>0.11</v>
      </c>
      <c r="H229" s="383">
        <f t="shared" si="56"/>
        <v>5.5278000000000009</v>
      </c>
      <c r="I229" s="383"/>
      <c r="J229" s="384">
        <f t="shared" si="57"/>
        <v>5.5278000000000009</v>
      </c>
      <c r="K229" s="377">
        <f t="shared" si="58"/>
        <v>9950040.0000000019</v>
      </c>
      <c r="L229" s="381" t="str">
        <f>VLOOKUP(B229,'[1]Gui chi Quynh'!$B$7:$F$397,5,FALSE)</f>
        <v>A4</v>
      </c>
      <c r="M229" s="515">
        <f t="shared" si="68"/>
        <v>9950040.0000000019</v>
      </c>
      <c r="N229" s="391">
        <v>21</v>
      </c>
      <c r="O229" s="459">
        <f>IFERROR(INDEX('[2]CN BC'!$J$10:$J$276,MATCH(B229,'[2]CN BC'!$H$10:$H$276,0)),"")</f>
        <v>21</v>
      </c>
      <c r="P229" s="515">
        <f t="shared" si="63"/>
        <v>9950040.0000000019</v>
      </c>
      <c r="Q229" s="480"/>
      <c r="R229" s="377">
        <f t="shared" si="59"/>
        <v>0</v>
      </c>
      <c r="S229" s="385"/>
      <c r="T229" s="377">
        <f t="shared" si="67"/>
        <v>0</v>
      </c>
      <c r="U229" s="377">
        <f t="shared" si="61"/>
        <v>99500</v>
      </c>
      <c r="V229" s="386">
        <f t="shared" si="60"/>
        <v>10049540.000000002</v>
      </c>
      <c r="W229" s="487">
        <v>23</v>
      </c>
      <c r="X229" s="606">
        <f t="shared" si="62"/>
        <v>218</v>
      </c>
      <c r="Y229" s="514">
        <f>IFERROR(INDEX('[2]CN BC'!$M$10:$M$276,MATCH(B229,'[2]CN BC'!$H$10:$H$276,0)),"")</f>
        <v>0</v>
      </c>
      <c r="Z229" s="550" t="s">
        <v>1126</v>
      </c>
      <c r="AA229" s="113"/>
      <c r="AB229" s="114"/>
      <c r="AC229" s="161"/>
    </row>
    <row r="230" spans="1:39" s="387" customFormat="1" ht="25.5" customHeight="1">
      <c r="A230" s="394">
        <f>_xlfn.AGGREGATE(4,7,A$11:A229)+1</f>
        <v>219</v>
      </c>
      <c r="B230" s="378" t="s">
        <v>1908</v>
      </c>
      <c r="C230" s="379" t="s">
        <v>1064</v>
      </c>
      <c r="D230" s="452" t="s">
        <v>1794</v>
      </c>
      <c r="E230" s="441" t="s">
        <v>1401</v>
      </c>
      <c r="F230" s="381">
        <v>4.9800000000000004</v>
      </c>
      <c r="G230" s="382">
        <v>0.08</v>
      </c>
      <c r="H230" s="383">
        <f t="shared" si="56"/>
        <v>5.3784000000000001</v>
      </c>
      <c r="I230" s="383"/>
      <c r="J230" s="384">
        <f t="shared" si="57"/>
        <v>5.3784000000000001</v>
      </c>
      <c r="K230" s="377">
        <f t="shared" si="58"/>
        <v>9681120</v>
      </c>
      <c r="L230" s="381" t="str">
        <f>VLOOKUP(B230,'[1]Gui chi Quynh'!$B$7:$F$397,5,FALSE)</f>
        <v>A3</v>
      </c>
      <c r="M230" s="515">
        <f t="shared" si="68"/>
        <v>11617344</v>
      </c>
      <c r="N230" s="391">
        <v>21</v>
      </c>
      <c r="O230" s="459">
        <f>IFERROR(INDEX('[2]CN BC'!$J$10:$J$276,MATCH(B230,'[2]CN BC'!$H$10:$H$276,0)),"")</f>
        <v>21</v>
      </c>
      <c r="P230" s="515">
        <f t="shared" si="63"/>
        <v>11617344</v>
      </c>
      <c r="Q230" s="480"/>
      <c r="R230" s="377">
        <f t="shared" si="59"/>
        <v>0</v>
      </c>
      <c r="S230" s="385"/>
      <c r="T230" s="377">
        <f t="shared" si="67"/>
        <v>0</v>
      </c>
      <c r="U230" s="377">
        <f t="shared" si="61"/>
        <v>96811</v>
      </c>
      <c r="V230" s="386">
        <f t="shared" si="60"/>
        <v>11714155</v>
      </c>
      <c r="W230" s="487">
        <v>23</v>
      </c>
      <c r="X230" s="606">
        <f t="shared" si="62"/>
        <v>219</v>
      </c>
      <c r="Y230" s="514">
        <f>IFERROR(INDEX('[2]CN BC'!$M$10:$M$276,MATCH(B230,'[2]CN BC'!$H$10:$H$276,0)),"")</f>
        <v>0</v>
      </c>
      <c r="Z230" s="550" t="s">
        <v>1127</v>
      </c>
      <c r="AA230" s="113"/>
      <c r="AB230" s="114"/>
      <c r="AC230" s="161"/>
      <c r="AD230" s="114"/>
      <c r="AE230" s="114"/>
      <c r="AF230" s="114"/>
      <c r="AG230" s="114"/>
      <c r="AH230" s="114"/>
      <c r="AI230" s="114"/>
    </row>
    <row r="231" spans="1:39" s="114" customFormat="1" ht="24" customHeight="1">
      <c r="A231" s="394">
        <f>_xlfn.AGGREGATE(4,7,A$11:A230)+1</f>
        <v>220</v>
      </c>
      <c r="B231" s="37" t="s">
        <v>1909</v>
      </c>
      <c r="C231" s="427" t="s">
        <v>1069</v>
      </c>
      <c r="D231" s="425" t="s">
        <v>1795</v>
      </c>
      <c r="E231" s="443" t="s">
        <v>1404</v>
      </c>
      <c r="F231" s="381">
        <v>4.32</v>
      </c>
      <c r="G231" s="488"/>
      <c r="H231" s="383">
        <f t="shared" si="56"/>
        <v>4.32</v>
      </c>
      <c r="I231" s="383"/>
      <c r="J231" s="384">
        <f t="shared" si="57"/>
        <v>4.32</v>
      </c>
      <c r="K231" s="377">
        <f t="shared" si="58"/>
        <v>7776000.0000000009</v>
      </c>
      <c r="L231" s="381" t="str">
        <f>VLOOKUP(B231,'[1]Gui chi Quynh'!$B$7:$F$397,5,FALSE)</f>
        <v>A4</v>
      </c>
      <c r="M231" s="515">
        <f t="shared" si="68"/>
        <v>7776000.0000000009</v>
      </c>
      <c r="N231" s="391">
        <v>21</v>
      </c>
      <c r="O231" s="459">
        <f>IFERROR(INDEX('[2]CN BC'!$J$10:$J$276,MATCH(B231,'[2]CN BC'!$H$10:$H$276,0)),"")</f>
        <v>21</v>
      </c>
      <c r="P231" s="515">
        <f t="shared" si="63"/>
        <v>7776000.0000000009</v>
      </c>
      <c r="Q231" s="409"/>
      <c r="R231" s="377">
        <f t="shared" si="59"/>
        <v>0</v>
      </c>
      <c r="S231" s="426"/>
      <c r="T231" s="377">
        <f t="shared" si="67"/>
        <v>0</v>
      </c>
      <c r="U231" s="377">
        <f t="shared" si="61"/>
        <v>77760</v>
      </c>
      <c r="V231" s="386">
        <f t="shared" si="60"/>
        <v>7853760.0000000009</v>
      </c>
      <c r="W231" s="459">
        <v>23</v>
      </c>
      <c r="X231" s="606">
        <f t="shared" si="62"/>
        <v>220</v>
      </c>
      <c r="Y231" s="514">
        <f>IFERROR(INDEX('[2]CN BC'!$M$10:$M$276,MATCH(B231,'[2]CN BC'!$H$10:$H$276,0)),"")</f>
        <v>0</v>
      </c>
      <c r="Z231" s="550" t="s">
        <v>1131</v>
      </c>
      <c r="AA231" s="113"/>
      <c r="AC231" s="161"/>
    </row>
    <row r="232" spans="1:39" s="114" customFormat="1" ht="21.75" customHeight="1">
      <c r="A232" s="394">
        <f>_xlfn.AGGREGATE(4,7,A$11:A231)+1</f>
        <v>221</v>
      </c>
      <c r="B232" s="37" t="s">
        <v>1539</v>
      </c>
      <c r="C232" s="38" t="s">
        <v>910</v>
      </c>
      <c r="D232" s="424" t="s">
        <v>1796</v>
      </c>
      <c r="E232" s="442" t="s">
        <v>1405</v>
      </c>
      <c r="F232" s="10">
        <v>4.32</v>
      </c>
      <c r="G232" s="163"/>
      <c r="H232" s="383">
        <f t="shared" si="56"/>
        <v>4.32</v>
      </c>
      <c r="I232" s="383"/>
      <c r="J232" s="384">
        <f t="shared" si="57"/>
        <v>4.32</v>
      </c>
      <c r="K232" s="377">
        <f t="shared" si="58"/>
        <v>7776000.0000000009</v>
      </c>
      <c r="L232" s="381" t="str">
        <f>VLOOKUP(B232,'[1]Gui chi Quynh'!$B$7:$F$397,5,FALSE)</f>
        <v>A3</v>
      </c>
      <c r="M232" s="515">
        <f t="shared" si="68"/>
        <v>9331200</v>
      </c>
      <c r="N232" s="391">
        <v>21</v>
      </c>
      <c r="O232" s="459">
        <f>IFERROR(INDEX('[2]CN BC'!$J$10:$J$276,MATCH(B232,'[2]CN BC'!$H$10:$H$276,0)),"")</f>
        <v>21</v>
      </c>
      <c r="P232" s="515">
        <f t="shared" si="63"/>
        <v>9331200</v>
      </c>
      <c r="Q232" s="409"/>
      <c r="R232" s="377">
        <f t="shared" si="59"/>
        <v>0</v>
      </c>
      <c r="S232" s="401"/>
      <c r="T232" s="377">
        <f t="shared" si="67"/>
        <v>0</v>
      </c>
      <c r="U232" s="377">
        <f t="shared" si="61"/>
        <v>77760</v>
      </c>
      <c r="V232" s="386">
        <f t="shared" si="60"/>
        <v>9408960</v>
      </c>
      <c r="W232" s="459">
        <v>23</v>
      </c>
      <c r="X232" s="606">
        <f t="shared" si="62"/>
        <v>221</v>
      </c>
      <c r="Y232" s="514">
        <f>IFERROR(INDEX('[2]CN BC'!$M$10:$M$276,MATCH(B232,'[2]CN BC'!$H$10:$H$276,0)),"")</f>
        <v>0</v>
      </c>
      <c r="Z232" s="550" t="s">
        <v>1132</v>
      </c>
      <c r="AA232" s="113"/>
      <c r="AC232" s="161"/>
    </row>
    <row r="233" spans="1:39" s="387" customFormat="1" ht="24" customHeight="1">
      <c r="A233" s="394">
        <f>_xlfn.AGGREGATE(4,7,A$11:A232)+1</f>
        <v>222</v>
      </c>
      <c r="B233" s="378" t="s">
        <v>1910</v>
      </c>
      <c r="C233" s="379" t="s">
        <v>1072</v>
      </c>
      <c r="D233" s="424" t="s">
        <v>1797</v>
      </c>
      <c r="E233" s="441" t="s">
        <v>1406</v>
      </c>
      <c r="F233" s="381">
        <v>4.6500000000000004</v>
      </c>
      <c r="G233" s="382"/>
      <c r="H233" s="383">
        <f t="shared" si="56"/>
        <v>4.6500000000000004</v>
      </c>
      <c r="I233" s="383"/>
      <c r="J233" s="384">
        <f t="shared" si="57"/>
        <v>4.6500000000000004</v>
      </c>
      <c r="K233" s="377">
        <f t="shared" si="58"/>
        <v>8370000.0000000009</v>
      </c>
      <c r="L233" s="381" t="str">
        <f>VLOOKUP(B233,'[1]Gui chi Quynh'!$B$7:$F$397,5,FALSE)</f>
        <v>A3</v>
      </c>
      <c r="M233" s="515">
        <f t="shared" si="68"/>
        <v>10044000</v>
      </c>
      <c r="N233" s="391">
        <v>21</v>
      </c>
      <c r="O233" s="459">
        <f>IFERROR(INDEX('[2]CN BC'!$J$10:$J$276,MATCH(B233,'[2]CN BC'!$H$10:$H$276,0)),"")</f>
        <v>21</v>
      </c>
      <c r="P233" s="515">
        <f t="shared" si="63"/>
        <v>10044000</v>
      </c>
      <c r="Q233" s="409"/>
      <c r="R233" s="377">
        <f t="shared" si="59"/>
        <v>0</v>
      </c>
      <c r="S233" s="401"/>
      <c r="T233" s="377">
        <f t="shared" si="67"/>
        <v>0</v>
      </c>
      <c r="U233" s="377">
        <f t="shared" si="61"/>
        <v>83700</v>
      </c>
      <c r="V233" s="386">
        <f t="shared" si="60"/>
        <v>10127700</v>
      </c>
      <c r="W233" s="459">
        <v>23</v>
      </c>
      <c r="X233" s="606">
        <f t="shared" si="62"/>
        <v>222</v>
      </c>
      <c r="Y233" s="514">
        <f>IFERROR(INDEX('[2]CN BC'!$M$10:$M$276,MATCH(B233,'[2]CN BC'!$H$10:$H$276,0)),"")</f>
        <v>0</v>
      </c>
      <c r="Z233" s="550" t="s">
        <v>1133</v>
      </c>
      <c r="AA233" s="113"/>
      <c r="AB233" s="114"/>
      <c r="AC233" s="161"/>
      <c r="AD233" s="114"/>
      <c r="AE233" s="114"/>
      <c r="AF233" s="114"/>
      <c r="AG233" s="114"/>
      <c r="AH233" s="114"/>
      <c r="AI233" s="114"/>
      <c r="AJ233" s="114"/>
      <c r="AK233" s="114"/>
      <c r="AL233" s="114"/>
      <c r="AM233" s="114"/>
    </row>
    <row r="234" spans="1:39" s="387" customFormat="1" ht="24.75" customHeight="1">
      <c r="A234" s="394">
        <f>_xlfn.AGGREGATE(4,7,A$11:A233)+1</f>
        <v>223</v>
      </c>
      <c r="B234" s="378" t="s">
        <v>1911</v>
      </c>
      <c r="C234" s="379" t="s">
        <v>873</v>
      </c>
      <c r="D234" s="452" t="s">
        <v>1798</v>
      </c>
      <c r="E234" s="441" t="s">
        <v>1407</v>
      </c>
      <c r="F234" s="381">
        <v>4.6500000000000004</v>
      </c>
      <c r="G234" s="382"/>
      <c r="H234" s="383">
        <f t="shared" si="56"/>
        <v>4.6500000000000004</v>
      </c>
      <c r="I234" s="383"/>
      <c r="J234" s="384">
        <f t="shared" si="57"/>
        <v>4.6500000000000004</v>
      </c>
      <c r="K234" s="377">
        <f t="shared" si="58"/>
        <v>8370000.0000000009</v>
      </c>
      <c r="L234" s="381" t="str">
        <f>VLOOKUP(B234,'[1]Gui chi Quynh'!$B$7:$F$397,5,FALSE)</f>
        <v>A3</v>
      </c>
      <c r="M234" s="515">
        <f t="shared" si="68"/>
        <v>10044000</v>
      </c>
      <c r="N234" s="391">
        <v>21</v>
      </c>
      <c r="O234" s="459">
        <f>IFERROR(INDEX('[2]CN BC'!$J$10:$J$276,MATCH(B234,'[2]CN BC'!$H$10:$H$276,0)),"")</f>
        <v>21</v>
      </c>
      <c r="P234" s="515">
        <f t="shared" si="63"/>
        <v>10044000</v>
      </c>
      <c r="Q234" s="409"/>
      <c r="R234" s="377">
        <f t="shared" si="59"/>
        <v>0</v>
      </c>
      <c r="S234" s="385"/>
      <c r="T234" s="377">
        <f t="shared" si="67"/>
        <v>0</v>
      </c>
      <c r="U234" s="377">
        <f t="shared" si="61"/>
        <v>83700</v>
      </c>
      <c r="V234" s="386">
        <f t="shared" si="60"/>
        <v>10127700</v>
      </c>
      <c r="W234" s="459">
        <v>23</v>
      </c>
      <c r="X234" s="606">
        <f t="shared" si="62"/>
        <v>223</v>
      </c>
      <c r="Y234" s="514">
        <f>IFERROR(INDEX('[2]CN BC'!$M$10:$M$276,MATCH(B234,'[2]CN BC'!$H$10:$H$276,0)),"")</f>
        <v>0</v>
      </c>
      <c r="Z234" s="550" t="s">
        <v>1142</v>
      </c>
      <c r="AA234" s="113"/>
      <c r="AB234" s="114"/>
      <c r="AC234" s="161"/>
      <c r="AD234" s="114"/>
      <c r="AE234" s="114"/>
      <c r="AF234" s="114"/>
      <c r="AG234" s="114"/>
      <c r="AH234" s="114"/>
      <c r="AI234" s="114"/>
    </row>
    <row r="235" spans="1:39" s="114" customFormat="1" ht="24.75" customHeight="1">
      <c r="A235" s="394">
        <f>_xlfn.AGGREGATE(4,7,A$11:A234)+1</f>
        <v>224</v>
      </c>
      <c r="B235" s="37" t="s">
        <v>1912</v>
      </c>
      <c r="C235" s="38" t="s">
        <v>867</v>
      </c>
      <c r="D235" s="424" t="s">
        <v>1799</v>
      </c>
      <c r="E235" s="442" t="s">
        <v>1409</v>
      </c>
      <c r="F235" s="10">
        <v>4.6500000000000004</v>
      </c>
      <c r="G235" s="163"/>
      <c r="H235" s="383">
        <f t="shared" si="56"/>
        <v>4.6500000000000004</v>
      </c>
      <c r="I235" s="86"/>
      <c r="J235" s="384">
        <f t="shared" si="57"/>
        <v>4.6500000000000004</v>
      </c>
      <c r="K235" s="377">
        <f t="shared" si="58"/>
        <v>8370000.0000000009</v>
      </c>
      <c r="L235" s="381" t="str">
        <f>VLOOKUP(B235,'[1]Gui chi Quynh'!$B$7:$F$397,5,FALSE)</f>
        <v>A3</v>
      </c>
      <c r="M235" s="515">
        <f t="shared" si="68"/>
        <v>10044000</v>
      </c>
      <c r="N235" s="391">
        <v>21</v>
      </c>
      <c r="O235" s="459">
        <f>IFERROR(INDEX('[2]CN BC'!$J$10:$J$276,MATCH(B235,'[2]CN BC'!$H$10:$H$276,0)),"")</f>
        <v>21</v>
      </c>
      <c r="P235" s="515">
        <f t="shared" si="63"/>
        <v>10044000</v>
      </c>
      <c r="Q235" s="409"/>
      <c r="R235" s="377">
        <f t="shared" si="59"/>
        <v>0</v>
      </c>
      <c r="S235" s="401"/>
      <c r="T235" s="377">
        <f t="shared" si="67"/>
        <v>0</v>
      </c>
      <c r="U235" s="377">
        <f t="shared" si="61"/>
        <v>83700</v>
      </c>
      <c r="V235" s="386">
        <f t="shared" si="60"/>
        <v>10127700</v>
      </c>
      <c r="W235" s="459">
        <v>24</v>
      </c>
      <c r="X235" s="606">
        <f t="shared" si="62"/>
        <v>224</v>
      </c>
      <c r="Y235" s="514">
        <f>IFERROR(INDEX('[2]CN BC'!$M$10:$M$276,MATCH(B235,'[2]CN BC'!$H$10:$H$276,0)),"")</f>
        <v>0</v>
      </c>
      <c r="Z235" s="550" t="s">
        <v>1144</v>
      </c>
      <c r="AA235" s="113"/>
      <c r="AC235" s="161"/>
    </row>
    <row r="236" spans="1:39" s="114" customFormat="1" ht="24.75" customHeight="1">
      <c r="A236" s="394">
        <f>_xlfn.AGGREGATE(4,7,A$11:A235)+1</f>
        <v>225</v>
      </c>
      <c r="B236" s="37" t="s">
        <v>1913</v>
      </c>
      <c r="C236" s="38" t="s">
        <v>1078</v>
      </c>
      <c r="D236" s="424" t="s">
        <v>1800</v>
      </c>
      <c r="E236" s="442" t="s">
        <v>1410</v>
      </c>
      <c r="F236" s="10">
        <v>4.6500000000000004</v>
      </c>
      <c r="G236" s="163"/>
      <c r="H236" s="383">
        <f t="shared" si="56"/>
        <v>4.6500000000000004</v>
      </c>
      <c r="I236" s="86"/>
      <c r="J236" s="384">
        <f t="shared" si="57"/>
        <v>4.6500000000000004</v>
      </c>
      <c r="K236" s="377">
        <f t="shared" si="58"/>
        <v>8370000.0000000009</v>
      </c>
      <c r="L236" s="381" t="str">
        <f>VLOOKUP(B236,'[1]Gui chi Quynh'!$B$7:$F$397,5,FALSE)</f>
        <v>A4</v>
      </c>
      <c r="M236" s="515">
        <f t="shared" si="68"/>
        <v>8370000.0000000009</v>
      </c>
      <c r="N236" s="391">
        <v>21</v>
      </c>
      <c r="O236" s="459">
        <f>IFERROR(INDEX('[2]CN BC'!$J$10:$J$276,MATCH(B236,'[2]CN BC'!$H$10:$H$276,0)),"")</f>
        <v>21</v>
      </c>
      <c r="P236" s="515">
        <f t="shared" si="63"/>
        <v>8370000.0000000009</v>
      </c>
      <c r="Q236" s="409"/>
      <c r="R236" s="377">
        <f t="shared" si="59"/>
        <v>0</v>
      </c>
      <c r="S236" s="401"/>
      <c r="T236" s="377">
        <f t="shared" si="67"/>
        <v>0</v>
      </c>
      <c r="U236" s="377">
        <f t="shared" si="61"/>
        <v>83700</v>
      </c>
      <c r="V236" s="386">
        <f t="shared" si="60"/>
        <v>8453700</v>
      </c>
      <c r="W236" s="459">
        <v>23</v>
      </c>
      <c r="X236" s="606">
        <f t="shared" si="62"/>
        <v>225</v>
      </c>
      <c r="Y236" s="514">
        <f>IFERROR(INDEX('[2]CN BC'!$M$10:$M$276,MATCH(B236,'[2]CN BC'!$H$10:$H$276,0)),"")</f>
        <v>0</v>
      </c>
      <c r="Z236" s="550" t="s">
        <v>1145</v>
      </c>
      <c r="AA236" s="113"/>
      <c r="AC236" s="161"/>
    </row>
    <row r="237" spans="1:39" s="114" customFormat="1" ht="24.75" customHeight="1">
      <c r="A237" s="394">
        <f>_xlfn.AGGREGATE(4,7,A$11:A236)+1</f>
        <v>226</v>
      </c>
      <c r="B237" s="37" t="s">
        <v>1540</v>
      </c>
      <c r="C237" s="38" t="s">
        <v>1019</v>
      </c>
      <c r="D237" s="424" t="s">
        <v>1801</v>
      </c>
      <c r="E237" s="442" t="s">
        <v>1412</v>
      </c>
      <c r="F237" s="10">
        <v>3.99</v>
      </c>
      <c r="G237" s="163"/>
      <c r="H237" s="383">
        <f t="shared" si="56"/>
        <v>3.99</v>
      </c>
      <c r="I237" s="86"/>
      <c r="J237" s="384">
        <f t="shared" si="57"/>
        <v>3.99</v>
      </c>
      <c r="K237" s="377">
        <f t="shared" si="58"/>
        <v>7182000</v>
      </c>
      <c r="L237" s="381" t="str">
        <f>VLOOKUP(B237,'[1]Gui chi Quynh'!$B$7:$F$397,5,FALSE)</f>
        <v>A3</v>
      </c>
      <c r="M237" s="515">
        <f t="shared" si="68"/>
        <v>8618400</v>
      </c>
      <c r="N237" s="391">
        <v>21</v>
      </c>
      <c r="O237" s="459">
        <f>IFERROR(INDEX('[2]CN BC'!$J$10:$J$276,MATCH(B237,'[2]CN BC'!$H$10:$H$276,0)),"")</f>
        <v>21</v>
      </c>
      <c r="P237" s="515">
        <f t="shared" si="63"/>
        <v>8618400</v>
      </c>
      <c r="Q237" s="409"/>
      <c r="R237" s="377">
        <f t="shared" si="59"/>
        <v>0</v>
      </c>
      <c r="S237" s="401"/>
      <c r="T237" s="377">
        <f t="shared" si="67"/>
        <v>0</v>
      </c>
      <c r="U237" s="377">
        <f t="shared" si="61"/>
        <v>71820</v>
      </c>
      <c r="V237" s="386">
        <f t="shared" si="60"/>
        <v>8690220</v>
      </c>
      <c r="W237" s="459">
        <v>23</v>
      </c>
      <c r="X237" s="606">
        <f t="shared" si="62"/>
        <v>226</v>
      </c>
      <c r="Y237" s="514">
        <f>IFERROR(INDEX('[2]CN BC'!$M$10:$M$276,MATCH(B237,'[2]CN BC'!$H$10:$H$276,0)),"")</f>
        <v>0</v>
      </c>
      <c r="Z237" s="550" t="s">
        <v>1146</v>
      </c>
      <c r="AA237" s="113"/>
      <c r="AC237" s="161"/>
    </row>
    <row r="238" spans="1:39" s="387" customFormat="1" ht="25.5" customHeight="1">
      <c r="A238" s="394">
        <f>_xlfn.AGGREGATE(4,7,A$11:A237)+1</f>
        <v>227</v>
      </c>
      <c r="B238" s="378" t="s">
        <v>1609</v>
      </c>
      <c r="C238" s="379" t="s">
        <v>876</v>
      </c>
      <c r="D238" s="452" t="s">
        <v>1973</v>
      </c>
      <c r="E238" s="444" t="s">
        <v>1611</v>
      </c>
      <c r="F238" s="388">
        <v>3</v>
      </c>
      <c r="G238" s="382"/>
      <c r="H238" s="465">
        <f t="shared" si="56"/>
        <v>3</v>
      </c>
      <c r="I238" s="383"/>
      <c r="J238" s="384">
        <f t="shared" si="57"/>
        <v>3</v>
      </c>
      <c r="K238" s="377">
        <f t="shared" si="58"/>
        <v>5400000</v>
      </c>
      <c r="L238" s="381" t="str">
        <f>VLOOKUP(B238,'[1]Gui chi Quynh'!$B$7:$F$397,5,FALSE)</f>
        <v>A1</v>
      </c>
      <c r="M238" s="515">
        <f t="shared" si="68"/>
        <v>8640000</v>
      </c>
      <c r="N238" s="391">
        <v>21</v>
      </c>
      <c r="O238" s="459">
        <f>IFERROR(INDEX('[2]CN BC'!$J$10:$J$276,MATCH(B238,'[2]CN BC'!$H$10:$H$276,0)),"")</f>
        <v>21</v>
      </c>
      <c r="P238" s="515">
        <f t="shared" si="63"/>
        <v>8640000</v>
      </c>
      <c r="Q238" s="480"/>
      <c r="R238" s="377">
        <f t="shared" si="59"/>
        <v>0</v>
      </c>
      <c r="S238" s="385"/>
      <c r="T238" s="377">
        <f t="shared" si="67"/>
        <v>0</v>
      </c>
      <c r="U238" s="377">
        <f t="shared" si="61"/>
        <v>54000</v>
      </c>
      <c r="V238" s="386">
        <f t="shared" si="60"/>
        <v>8694000</v>
      </c>
      <c r="W238" s="459">
        <v>23</v>
      </c>
      <c r="X238" s="606">
        <f t="shared" si="62"/>
        <v>227</v>
      </c>
      <c r="Y238" s="514">
        <f>IFERROR(INDEX('[2]CN BC'!$M$10:$M$276,MATCH(B238,'[2]CN BC'!$H$10:$H$276,0)),"")</f>
        <v>0</v>
      </c>
      <c r="Z238" s="550" t="s">
        <v>1147</v>
      </c>
      <c r="AA238" s="113"/>
      <c r="AB238" s="114"/>
      <c r="AC238" s="161"/>
      <c r="AD238" s="114"/>
      <c r="AE238" s="114"/>
      <c r="AF238" s="114"/>
      <c r="AG238" s="114"/>
      <c r="AH238" s="114"/>
      <c r="AI238" s="114"/>
    </row>
    <row r="239" spans="1:39" s="387" customFormat="1" ht="25.5" customHeight="1">
      <c r="A239" s="394">
        <f>_xlfn.AGGREGATE(4,7,A$11:A238)+1</f>
        <v>228</v>
      </c>
      <c r="B239" s="378" t="s">
        <v>1610</v>
      </c>
      <c r="C239" s="379" t="s">
        <v>885</v>
      </c>
      <c r="D239" s="452" t="s">
        <v>1974</v>
      </c>
      <c r="E239" s="444" t="s">
        <v>1612</v>
      </c>
      <c r="F239" s="381">
        <v>2.67</v>
      </c>
      <c r="G239" s="382"/>
      <c r="H239" s="383">
        <f t="shared" si="56"/>
        <v>2.67</v>
      </c>
      <c r="I239" s="383">
        <v>0.25</v>
      </c>
      <c r="J239" s="384">
        <f t="shared" si="57"/>
        <v>2.92</v>
      </c>
      <c r="K239" s="377">
        <f t="shared" si="58"/>
        <v>5256000</v>
      </c>
      <c r="L239" s="381" t="str">
        <f>VLOOKUP(B239,'[1]Gui chi Quynh'!$B$7:$F$397,5,FALSE)</f>
        <v>A1</v>
      </c>
      <c r="M239" s="515">
        <f t="shared" si="68"/>
        <v>8409600</v>
      </c>
      <c r="N239" s="391">
        <v>21</v>
      </c>
      <c r="O239" s="459">
        <f>IFERROR(INDEX('[2]CN BC'!$J$10:$J$276,MATCH(B239,'[2]CN BC'!$H$10:$H$276,0)),"")</f>
        <v>21</v>
      </c>
      <c r="P239" s="515">
        <f t="shared" si="63"/>
        <v>8409600</v>
      </c>
      <c r="Q239" s="480"/>
      <c r="R239" s="377">
        <f t="shared" si="59"/>
        <v>0</v>
      </c>
      <c r="S239" s="385"/>
      <c r="T239" s="377">
        <f t="shared" si="67"/>
        <v>0</v>
      </c>
      <c r="U239" s="377">
        <f t="shared" si="61"/>
        <v>52560</v>
      </c>
      <c r="V239" s="386">
        <f t="shared" si="60"/>
        <v>8462160</v>
      </c>
      <c r="W239" s="459">
        <v>24</v>
      </c>
      <c r="X239" s="606">
        <f t="shared" si="62"/>
        <v>228</v>
      </c>
      <c r="Y239" s="514">
        <f>IFERROR(INDEX('[2]CN BC'!$M$10:$M$276,MATCH(B239,'[2]CN BC'!$H$10:$H$276,0)),"")</f>
        <v>0</v>
      </c>
      <c r="Z239" s="550" t="s">
        <v>1148</v>
      </c>
      <c r="AA239" s="113"/>
      <c r="AB239" s="114"/>
      <c r="AC239" s="161"/>
      <c r="AD239" s="114"/>
      <c r="AE239" s="114"/>
      <c r="AF239" s="114"/>
      <c r="AG239" s="114"/>
      <c r="AH239" s="114"/>
      <c r="AI239" s="114"/>
    </row>
    <row r="240" spans="1:39" s="387" customFormat="1" ht="25.5" customHeight="1">
      <c r="A240" s="394">
        <f>_xlfn.AGGREGATE(4,7,A$11:A239)+1</f>
        <v>229</v>
      </c>
      <c r="B240" s="406" t="s">
        <v>1838</v>
      </c>
      <c r="C240" s="379"/>
      <c r="D240" s="452" t="s">
        <v>1975</v>
      </c>
      <c r="E240" s="107">
        <v>1603205590132</v>
      </c>
      <c r="F240" s="381">
        <v>2.67</v>
      </c>
      <c r="G240" s="382"/>
      <c r="H240" s="383">
        <f t="shared" si="56"/>
        <v>2.67</v>
      </c>
      <c r="I240" s="383">
        <v>0.25</v>
      </c>
      <c r="J240" s="384">
        <f t="shared" si="57"/>
        <v>2.92</v>
      </c>
      <c r="K240" s="377">
        <f t="shared" si="58"/>
        <v>5256000</v>
      </c>
      <c r="L240" s="381" t="str">
        <f>VLOOKUP(B240,'[1]Gui chi Quynh'!$B$7:$F$397,5,FALSE)</f>
        <v>A1</v>
      </c>
      <c r="M240" s="515">
        <f t="shared" si="68"/>
        <v>8409600</v>
      </c>
      <c r="N240" s="391">
        <v>21</v>
      </c>
      <c r="O240" s="459">
        <f>IFERROR(INDEX('[2]CN BC'!$J$10:$J$276,MATCH(B240,'[2]CN BC'!$H$10:$H$276,0)),"")</f>
        <v>21</v>
      </c>
      <c r="P240" s="515">
        <f t="shared" si="63"/>
        <v>8409600</v>
      </c>
      <c r="Q240" s="409"/>
      <c r="R240" s="377">
        <f t="shared" si="59"/>
        <v>0</v>
      </c>
      <c r="S240" s="385"/>
      <c r="T240" s="377">
        <f t="shared" si="67"/>
        <v>0</v>
      </c>
      <c r="U240" s="377">
        <f t="shared" si="61"/>
        <v>52560</v>
      </c>
      <c r="V240" s="386">
        <f t="shared" si="60"/>
        <v>8462160</v>
      </c>
      <c r="W240" s="459">
        <v>23</v>
      </c>
      <c r="X240" s="606">
        <f t="shared" si="62"/>
        <v>229</v>
      </c>
      <c r="Y240" s="514">
        <f>IFERROR(INDEX('[2]CN BC'!$M$10:$M$276,MATCH(B240,'[2]CN BC'!$H$10:$H$276,0)),"")</f>
        <v>0</v>
      </c>
      <c r="Z240" s="550" t="s">
        <v>1149</v>
      </c>
      <c r="AA240" s="113"/>
      <c r="AB240" s="114"/>
      <c r="AC240" s="161"/>
      <c r="AD240" s="114"/>
      <c r="AE240" s="114"/>
      <c r="AF240" s="114"/>
      <c r="AG240" s="114"/>
      <c r="AH240" s="114"/>
      <c r="AI240" s="114"/>
    </row>
    <row r="241" spans="1:35" s="387" customFormat="1" ht="25.5" customHeight="1">
      <c r="A241" s="394">
        <f>_xlfn.AGGREGATE(4,7,A$11:A240)+1</f>
        <v>230</v>
      </c>
      <c r="B241" s="406" t="s">
        <v>1993</v>
      </c>
      <c r="C241" s="379"/>
      <c r="D241" s="452"/>
      <c r="E241" s="507"/>
      <c r="F241" s="381">
        <v>3.99</v>
      </c>
      <c r="G241" s="382"/>
      <c r="H241" s="383">
        <f t="shared" si="56"/>
        <v>3.99</v>
      </c>
      <c r="I241" s="383"/>
      <c r="J241" s="384">
        <f t="shared" si="57"/>
        <v>3.99</v>
      </c>
      <c r="K241" s="377">
        <f t="shared" si="58"/>
        <v>7182000</v>
      </c>
      <c r="L241" s="381" t="str">
        <f>VLOOKUP(B241,'[1]Gui chi Quynh'!$B$7:$F$397,5,FALSE)</f>
        <v>A2</v>
      </c>
      <c r="M241" s="515">
        <f t="shared" si="68"/>
        <v>10054800</v>
      </c>
      <c r="N241" s="391">
        <v>21</v>
      </c>
      <c r="O241" s="459">
        <f>IFERROR(INDEX('[2]CN BC'!$J$10:$J$276,MATCH(B241,'[2]CN BC'!$H$10:$H$276,0)),"")</f>
        <v>21</v>
      </c>
      <c r="P241" s="515">
        <f t="shared" si="63"/>
        <v>10054800</v>
      </c>
      <c r="Q241" s="480"/>
      <c r="R241" s="377">
        <f t="shared" si="59"/>
        <v>0</v>
      </c>
      <c r="S241" s="385"/>
      <c r="T241" s="377">
        <f t="shared" si="67"/>
        <v>0</v>
      </c>
      <c r="U241" s="377">
        <f t="shared" si="61"/>
        <v>71820</v>
      </c>
      <c r="V241" s="386">
        <f t="shared" si="60"/>
        <v>10126620</v>
      </c>
      <c r="W241" s="487">
        <v>23</v>
      </c>
      <c r="X241" s="606">
        <f t="shared" si="62"/>
        <v>230</v>
      </c>
      <c r="Y241" s="514">
        <f>IFERROR(INDEX('[2]CN BC'!$M$10:$M$276,MATCH(B241,'[2]CN BC'!$H$10:$H$276,0)),"")</f>
        <v>0</v>
      </c>
      <c r="Z241" s="550" t="s">
        <v>1150</v>
      </c>
      <c r="AA241" s="113"/>
      <c r="AB241" s="114"/>
      <c r="AC241" s="161"/>
      <c r="AD241" s="114"/>
      <c r="AE241" s="114"/>
      <c r="AF241" s="114"/>
      <c r="AG241" s="114"/>
      <c r="AH241" s="114"/>
      <c r="AI241" s="114"/>
    </row>
    <row r="242" spans="1:35" s="387" customFormat="1" ht="30.75" customHeight="1">
      <c r="A242" s="394">
        <f>_xlfn.AGGREGATE(4,7,A$11:A241)+1</f>
        <v>231</v>
      </c>
      <c r="B242" s="406" t="s">
        <v>2002</v>
      </c>
      <c r="C242" s="379"/>
      <c r="D242" s="452"/>
      <c r="E242" s="507"/>
      <c r="F242" s="381">
        <v>2.67</v>
      </c>
      <c r="G242" s="382"/>
      <c r="H242" s="383">
        <f t="shared" si="56"/>
        <v>2.67</v>
      </c>
      <c r="I242" s="383"/>
      <c r="J242" s="384">
        <f t="shared" si="57"/>
        <v>2.67</v>
      </c>
      <c r="K242" s="377">
        <f t="shared" si="58"/>
        <v>4806000</v>
      </c>
      <c r="L242" s="381" t="str">
        <f>VLOOKUP(B242,'[1]Gui chi Quynh'!$B$7:$F$397,5,FALSE)</f>
        <v>A4</v>
      </c>
      <c r="M242" s="515">
        <f t="shared" si="68"/>
        <v>4806000</v>
      </c>
      <c r="N242" s="391">
        <v>21</v>
      </c>
      <c r="O242" s="487">
        <f>IFERROR(INDEX('[2]CN BC'!$J$10:$J$276,MATCH(B242,'[2]CN BC'!$H$10:$H$276,0)),"")</f>
        <v>21</v>
      </c>
      <c r="P242" s="515">
        <f t="shared" si="63"/>
        <v>4806000</v>
      </c>
      <c r="Q242" s="480"/>
      <c r="R242" s="377">
        <f t="shared" si="59"/>
        <v>0</v>
      </c>
      <c r="S242" s="385"/>
      <c r="T242" s="377">
        <f t="shared" si="67"/>
        <v>0</v>
      </c>
      <c r="U242" s="377">
        <f t="shared" si="61"/>
        <v>48060</v>
      </c>
      <c r="V242" s="386">
        <f t="shared" si="60"/>
        <v>4854060</v>
      </c>
      <c r="W242" s="487">
        <v>23</v>
      </c>
      <c r="X242" s="606">
        <f t="shared" si="62"/>
        <v>231</v>
      </c>
      <c r="Y242" s="584">
        <f>IFERROR(INDEX('[2]CN BC'!$M$10:$M$276,MATCH(B242,'[2]CN BC'!$H$10:$H$276,0)),"")</f>
        <v>0</v>
      </c>
      <c r="Z242" s="572" t="s">
        <v>1151</v>
      </c>
      <c r="AA242" s="568"/>
      <c r="AC242" s="508"/>
    </row>
    <row r="243" spans="1:35" s="387" customFormat="1" ht="31.5" customHeight="1">
      <c r="A243" s="394">
        <f>_xlfn.AGGREGATE(4,7,A$11:A242)+1</f>
        <v>232</v>
      </c>
      <c r="B243" s="406" t="s">
        <v>2004</v>
      </c>
      <c r="C243" s="379"/>
      <c r="D243" s="452"/>
      <c r="E243" s="507"/>
      <c r="F243" s="381">
        <v>2.34</v>
      </c>
      <c r="G243" s="382"/>
      <c r="H243" s="383">
        <f t="shared" si="56"/>
        <v>2.34</v>
      </c>
      <c r="I243" s="383"/>
      <c r="J243" s="384">
        <f t="shared" si="57"/>
        <v>2.34</v>
      </c>
      <c r="K243" s="377">
        <f t="shared" si="58"/>
        <v>4212000</v>
      </c>
      <c r="L243" s="381" t="str">
        <f>VLOOKUP(B243,'[1]Gui chi Quynh'!$B$7:$F$397,5,FALSE)</f>
        <v>A4</v>
      </c>
      <c r="M243" s="515">
        <f t="shared" si="68"/>
        <v>4212000</v>
      </c>
      <c r="N243" s="391">
        <v>21</v>
      </c>
      <c r="O243" s="487">
        <f>IFERROR(INDEX('[2]CN BC'!$J$10:$J$276,MATCH(B243,'[2]CN BC'!$H$10:$H$276,0)),"")</f>
        <v>21</v>
      </c>
      <c r="P243" s="515">
        <f t="shared" si="63"/>
        <v>4212000</v>
      </c>
      <c r="Q243" s="480"/>
      <c r="R243" s="377">
        <f t="shared" si="59"/>
        <v>0</v>
      </c>
      <c r="S243" s="385"/>
      <c r="T243" s="377">
        <f t="shared" si="67"/>
        <v>0</v>
      </c>
      <c r="U243" s="377">
        <f t="shared" si="61"/>
        <v>42120</v>
      </c>
      <c r="V243" s="386">
        <f t="shared" si="60"/>
        <v>4254120</v>
      </c>
      <c r="W243" s="487">
        <v>23</v>
      </c>
      <c r="X243" s="606">
        <f t="shared" si="62"/>
        <v>232</v>
      </c>
      <c r="Y243" s="584">
        <f>IFERROR(INDEX('[2]CN BC'!$M$10:$M$276,MATCH(B243,'[2]CN BC'!$H$10:$H$276,0)),"")</f>
        <v>0</v>
      </c>
      <c r="Z243" s="612"/>
      <c r="AA243" s="568"/>
      <c r="AC243" s="508"/>
    </row>
    <row r="244" spans="1:35" s="387" customFormat="1" ht="29.25" customHeight="1">
      <c r="A244" s="394">
        <f>_xlfn.AGGREGATE(4,7,A$11:A243)+1</f>
        <v>233</v>
      </c>
      <c r="B244" s="378" t="s">
        <v>1914</v>
      </c>
      <c r="C244" s="379" t="s">
        <v>876</v>
      </c>
      <c r="D244" s="452" t="s">
        <v>1803</v>
      </c>
      <c r="E244" s="441" t="s">
        <v>0</v>
      </c>
      <c r="F244" s="381">
        <v>4.32</v>
      </c>
      <c r="G244" s="382"/>
      <c r="H244" s="383">
        <f t="shared" si="56"/>
        <v>4.32</v>
      </c>
      <c r="I244" s="383">
        <v>0.45</v>
      </c>
      <c r="J244" s="384">
        <f t="shared" si="57"/>
        <v>4.7700000000000005</v>
      </c>
      <c r="K244" s="377">
        <f t="shared" si="58"/>
        <v>8586000</v>
      </c>
      <c r="L244" s="381" t="str">
        <f>VLOOKUP(B244,'[1]Gui chi Quynh'!$B$7:$F$397,5,FALSE)</f>
        <v>A1</v>
      </c>
      <c r="M244" s="515">
        <f t="shared" si="68"/>
        <v>13737600</v>
      </c>
      <c r="N244" s="391">
        <v>21</v>
      </c>
      <c r="O244" s="459">
        <f>IFERROR(INDEX('[2]CN BC'!$J$10:$J$276,MATCH(B244,'[2]CN BC'!$H$10:$H$276,0)),"")</f>
        <v>21</v>
      </c>
      <c r="P244" s="515">
        <f t="shared" si="63"/>
        <v>13737600</v>
      </c>
      <c r="Q244" s="480"/>
      <c r="R244" s="377">
        <f t="shared" si="59"/>
        <v>0</v>
      </c>
      <c r="S244" s="385"/>
      <c r="T244" s="377">
        <f t="shared" si="67"/>
        <v>0</v>
      </c>
      <c r="U244" s="377">
        <f t="shared" si="61"/>
        <v>85860</v>
      </c>
      <c r="V244" s="386">
        <f t="shared" si="60"/>
        <v>13823460</v>
      </c>
      <c r="W244" s="459">
        <v>23</v>
      </c>
      <c r="X244" s="606">
        <f t="shared" si="62"/>
        <v>233</v>
      </c>
      <c r="Y244" s="514">
        <f>IFERROR(INDEX('[2]CN BC'!$M$10:$M$276,MATCH(B244,'[2]CN BC'!$H$10:$H$276,0)),"")</f>
        <v>0</v>
      </c>
      <c r="Z244" s="147"/>
      <c r="AA244" s="491"/>
      <c r="AB244" s="114"/>
      <c r="AC244" s="161"/>
      <c r="AD244" s="114"/>
      <c r="AE244" s="114"/>
      <c r="AF244" s="114"/>
      <c r="AG244" s="114"/>
      <c r="AH244" s="114"/>
      <c r="AI244" s="114"/>
    </row>
    <row r="245" spans="1:35" s="387" customFormat="1" ht="27.75" customHeight="1">
      <c r="A245" s="394">
        <f>_xlfn.AGGREGATE(4,7,A$11:A244)+1</f>
        <v>234</v>
      </c>
      <c r="B245" s="378" t="s">
        <v>1915</v>
      </c>
      <c r="C245" s="379" t="s">
        <v>1087</v>
      </c>
      <c r="D245" s="452" t="s">
        <v>1804</v>
      </c>
      <c r="E245" s="441" t="s">
        <v>1420</v>
      </c>
      <c r="F245" s="381">
        <v>4.6500000000000004</v>
      </c>
      <c r="G245" s="382"/>
      <c r="H245" s="383">
        <f t="shared" si="56"/>
        <v>4.6500000000000004</v>
      </c>
      <c r="I245" s="383">
        <v>0.35</v>
      </c>
      <c r="J245" s="384">
        <f t="shared" si="57"/>
        <v>5</v>
      </c>
      <c r="K245" s="377">
        <f t="shared" si="58"/>
        <v>9000000</v>
      </c>
      <c r="L245" s="381" t="str">
        <f>VLOOKUP(B245,'[1]Gui chi Quynh'!$B$7:$F$397,5,FALSE)</f>
        <v>A4</v>
      </c>
      <c r="M245" s="515">
        <f t="shared" si="68"/>
        <v>9000000</v>
      </c>
      <c r="N245" s="391">
        <v>21</v>
      </c>
      <c r="O245" s="459">
        <f>IFERROR(INDEX('[2]CN BC'!$J$10:$J$276,MATCH(B245,'[2]CN BC'!$H$10:$H$276,0)),"")</f>
        <v>21</v>
      </c>
      <c r="P245" s="515">
        <f t="shared" si="63"/>
        <v>9000000</v>
      </c>
      <c r="Q245" s="480"/>
      <c r="R245" s="377">
        <f t="shared" si="59"/>
        <v>0</v>
      </c>
      <c r="S245" s="385"/>
      <c r="T245" s="377">
        <f t="shared" si="67"/>
        <v>0</v>
      </c>
      <c r="U245" s="377">
        <f t="shared" si="61"/>
        <v>90000</v>
      </c>
      <c r="V245" s="386">
        <f t="shared" si="60"/>
        <v>9090000</v>
      </c>
      <c r="W245" s="459">
        <v>23</v>
      </c>
      <c r="X245" s="606">
        <f t="shared" si="62"/>
        <v>234</v>
      </c>
      <c r="Y245" s="514">
        <f>IFERROR(INDEX('[2]CN BC'!$M$10:$M$276,MATCH(B245,'[2]CN BC'!$H$10:$H$276,0)),"")</f>
        <v>0</v>
      </c>
      <c r="Z245" s="147"/>
      <c r="AA245" s="113"/>
      <c r="AB245" s="114"/>
      <c r="AC245" s="161"/>
      <c r="AD245" s="114"/>
      <c r="AE245" s="114"/>
      <c r="AF245" s="114"/>
      <c r="AG245" s="114"/>
      <c r="AH245" s="114"/>
      <c r="AI245" s="114"/>
    </row>
    <row r="246" spans="1:35" s="387" customFormat="1" ht="27.75" customHeight="1">
      <c r="A246" s="394">
        <f>_xlfn.AGGREGATE(4,7,A$11:A245)+1</f>
        <v>235</v>
      </c>
      <c r="B246" s="378" t="s">
        <v>1916</v>
      </c>
      <c r="C246" s="379" t="s">
        <v>1090</v>
      </c>
      <c r="D246" s="452" t="s">
        <v>1805</v>
      </c>
      <c r="E246" s="441" t="s">
        <v>1</v>
      </c>
      <c r="F246" s="381">
        <v>4.32</v>
      </c>
      <c r="G246" s="382"/>
      <c r="H246" s="383">
        <f t="shared" si="56"/>
        <v>4.32</v>
      </c>
      <c r="I246" s="383">
        <v>0.25</v>
      </c>
      <c r="J246" s="384">
        <f t="shared" si="57"/>
        <v>4.57</v>
      </c>
      <c r="K246" s="377">
        <f t="shared" si="58"/>
        <v>8226000.0000000009</v>
      </c>
      <c r="L246" s="381" t="str">
        <f>VLOOKUP(B246,'[1]Gui chi Quynh'!$B$7:$F$397,5,FALSE)</f>
        <v>A4</v>
      </c>
      <c r="M246" s="515">
        <f t="shared" si="68"/>
        <v>8226000.0000000009</v>
      </c>
      <c r="N246" s="391">
        <v>21</v>
      </c>
      <c r="O246" s="459">
        <f>IFERROR(INDEX('[2]CN BC'!$J$10:$J$276,MATCH(B246,'[2]CN BC'!$H$10:$H$276,0)),"")</f>
        <v>21</v>
      </c>
      <c r="P246" s="515">
        <f t="shared" si="63"/>
        <v>8226000.0000000009</v>
      </c>
      <c r="Q246" s="480"/>
      <c r="R246" s="377">
        <f t="shared" si="59"/>
        <v>0</v>
      </c>
      <c r="S246" s="385"/>
      <c r="T246" s="377">
        <f t="shared" si="67"/>
        <v>0</v>
      </c>
      <c r="U246" s="377">
        <f t="shared" si="61"/>
        <v>82260</v>
      </c>
      <c r="V246" s="386">
        <f t="shared" si="60"/>
        <v>8308260.0000000009</v>
      </c>
      <c r="W246" s="459">
        <v>23</v>
      </c>
      <c r="X246" s="606">
        <f t="shared" si="62"/>
        <v>235</v>
      </c>
      <c r="Y246" s="514">
        <f>IFERROR(INDEX('[2]CN BC'!$M$10:$M$276,MATCH(B246,'[2]CN BC'!$H$10:$H$276,0)),"")</f>
        <v>0</v>
      </c>
      <c r="Z246" s="147"/>
      <c r="AA246" s="113"/>
      <c r="AB246" s="114"/>
      <c r="AC246" s="161"/>
      <c r="AD246" s="114"/>
      <c r="AE246" s="114"/>
      <c r="AF246" s="114"/>
      <c r="AG246" s="114"/>
      <c r="AH246" s="114"/>
      <c r="AI246" s="114"/>
    </row>
    <row r="247" spans="1:35" s="387" customFormat="1" ht="27.75" customHeight="1">
      <c r="A247" s="394">
        <f>_xlfn.AGGREGATE(4,7,A$11:A246)+1</f>
        <v>236</v>
      </c>
      <c r="B247" s="378" t="s">
        <v>1542</v>
      </c>
      <c r="C247" s="379" t="s">
        <v>970</v>
      </c>
      <c r="D247" s="452" t="s">
        <v>1806</v>
      </c>
      <c r="E247" s="441" t="s">
        <v>3</v>
      </c>
      <c r="F247" s="388">
        <v>3.99</v>
      </c>
      <c r="G247" s="382"/>
      <c r="H247" s="383">
        <f t="shared" si="56"/>
        <v>3.99</v>
      </c>
      <c r="I247" s="383"/>
      <c r="J247" s="384">
        <f t="shared" si="57"/>
        <v>3.99</v>
      </c>
      <c r="K247" s="377">
        <f t="shared" si="58"/>
        <v>7182000</v>
      </c>
      <c r="L247" s="381" t="str">
        <f>VLOOKUP(B247,'[1]Gui chi Quynh'!$B$7:$F$397,5,FALSE)</f>
        <v>A4</v>
      </c>
      <c r="M247" s="515">
        <f t="shared" si="68"/>
        <v>7182000</v>
      </c>
      <c r="N247" s="391">
        <v>21</v>
      </c>
      <c r="O247" s="459">
        <f>IFERROR(INDEX('[2]CN BC'!$J$10:$J$276,MATCH(B247,'[2]CN BC'!$H$10:$H$276,0)),"")</f>
        <v>21</v>
      </c>
      <c r="P247" s="515">
        <f t="shared" si="63"/>
        <v>7182000</v>
      </c>
      <c r="Q247" s="480"/>
      <c r="R247" s="377">
        <f t="shared" si="59"/>
        <v>0</v>
      </c>
      <c r="S247" s="385"/>
      <c r="T247" s="377">
        <f t="shared" si="67"/>
        <v>0</v>
      </c>
      <c r="U247" s="377">
        <f t="shared" si="61"/>
        <v>71820</v>
      </c>
      <c r="V247" s="386">
        <f t="shared" si="60"/>
        <v>7253820</v>
      </c>
      <c r="W247" s="459">
        <v>24</v>
      </c>
      <c r="X247" s="606">
        <f t="shared" si="62"/>
        <v>236</v>
      </c>
      <c r="Y247" s="514">
        <f>IFERROR(INDEX('[2]CN BC'!$M$10:$M$276,MATCH(B247,'[2]CN BC'!$H$10:$H$276,0)),"")</f>
        <v>0</v>
      </c>
      <c r="Z247" s="147"/>
      <c r="AA247" s="113"/>
      <c r="AB247" s="114"/>
      <c r="AC247" s="161"/>
      <c r="AD247" s="114"/>
      <c r="AE247" s="114"/>
      <c r="AF247" s="114"/>
      <c r="AG247" s="114"/>
      <c r="AH247" s="114"/>
      <c r="AI247" s="114"/>
    </row>
    <row r="248" spans="1:35" s="387" customFormat="1" ht="27.75" customHeight="1">
      <c r="A248" s="394">
        <f>_xlfn.AGGREGATE(4,7,A$11:A247)+1</f>
        <v>237</v>
      </c>
      <c r="B248" s="378" t="s">
        <v>1543</v>
      </c>
      <c r="C248" s="379" t="s">
        <v>1215</v>
      </c>
      <c r="D248" s="452" t="s">
        <v>1807</v>
      </c>
      <c r="E248" s="441" t="s">
        <v>4</v>
      </c>
      <c r="F248" s="388">
        <v>3.99</v>
      </c>
      <c r="G248" s="382"/>
      <c r="H248" s="383">
        <f t="shared" ref="H248:H278" si="69">F248+(F248*G248)</f>
        <v>3.99</v>
      </c>
      <c r="I248" s="383">
        <v>0.25</v>
      </c>
      <c r="J248" s="384">
        <f t="shared" ref="J248:J278" si="70">H248+I248</f>
        <v>4.24</v>
      </c>
      <c r="K248" s="377">
        <f t="shared" si="58"/>
        <v>7632000</v>
      </c>
      <c r="L248" s="381" t="str">
        <f>VLOOKUP(B248,'[1]Gui chi Quynh'!$B$7:$F$397,5,FALSE)</f>
        <v>A4</v>
      </c>
      <c r="M248" s="515">
        <f t="shared" si="68"/>
        <v>7632000</v>
      </c>
      <c r="N248" s="391">
        <v>21</v>
      </c>
      <c r="O248" s="459">
        <f>IFERROR(INDEX('[2]CN BC'!$J$10:$J$276,MATCH(B248,'[2]CN BC'!$H$10:$H$276,0)),"")</f>
        <v>21</v>
      </c>
      <c r="P248" s="515">
        <f t="shared" si="63"/>
        <v>7632000</v>
      </c>
      <c r="Q248" s="480"/>
      <c r="R248" s="377">
        <f t="shared" si="59"/>
        <v>0</v>
      </c>
      <c r="S248" s="385"/>
      <c r="T248" s="377">
        <f t="shared" si="67"/>
        <v>0</v>
      </c>
      <c r="U248" s="377">
        <f t="shared" si="61"/>
        <v>76320</v>
      </c>
      <c r="V248" s="386">
        <f t="shared" si="60"/>
        <v>7708320</v>
      </c>
      <c r="W248" s="459">
        <v>24</v>
      </c>
      <c r="X248" s="606">
        <f t="shared" si="62"/>
        <v>237</v>
      </c>
      <c r="Y248" s="514">
        <f>IFERROR(INDEX('[2]CN BC'!$M$10:$M$276,MATCH(B248,'[2]CN BC'!$H$10:$H$276,0)),"")</f>
        <v>0</v>
      </c>
      <c r="Z248" s="147"/>
      <c r="AA248" s="113"/>
      <c r="AB248" s="114"/>
      <c r="AC248" s="161"/>
      <c r="AD248" s="114"/>
      <c r="AE248" s="114"/>
      <c r="AF248" s="114"/>
      <c r="AG248" s="114"/>
      <c r="AH248" s="114"/>
      <c r="AI248" s="114"/>
    </row>
    <row r="249" spans="1:35" s="387" customFormat="1" ht="23.25" customHeight="1">
      <c r="A249" s="394">
        <f>_xlfn.AGGREGATE(4,7,A$11:A248)+1</f>
        <v>238</v>
      </c>
      <c r="B249" s="378" t="s">
        <v>1544</v>
      </c>
      <c r="C249" s="379" t="s">
        <v>878</v>
      </c>
      <c r="D249" s="452" t="s">
        <v>1808</v>
      </c>
      <c r="E249" s="441" t="s">
        <v>5</v>
      </c>
      <c r="F249" s="388">
        <v>3.66</v>
      </c>
      <c r="G249" s="382"/>
      <c r="H249" s="383">
        <f t="shared" si="69"/>
        <v>3.66</v>
      </c>
      <c r="I249" s="383"/>
      <c r="J249" s="384">
        <f t="shared" si="70"/>
        <v>3.66</v>
      </c>
      <c r="K249" s="377">
        <f t="shared" ref="K249:K278" si="71">J249*$G$8</f>
        <v>6588000</v>
      </c>
      <c r="L249" s="381" t="str">
        <f>VLOOKUP(B249,'[1]Gui chi Quynh'!$B$7:$F$397,5,FALSE)</f>
        <v>A4</v>
      </c>
      <c r="M249" s="515">
        <f t="shared" si="68"/>
        <v>6588000</v>
      </c>
      <c r="N249" s="391">
        <v>21</v>
      </c>
      <c r="O249" s="459">
        <f>IFERROR(INDEX('[2]CN BC'!$J$10:$J$276,MATCH(B249,'[2]CN BC'!$H$10:$H$276,0)),"")</f>
        <v>21</v>
      </c>
      <c r="P249" s="515">
        <f t="shared" si="63"/>
        <v>6588000</v>
      </c>
      <c r="Q249" s="480"/>
      <c r="R249" s="377">
        <f t="shared" si="59"/>
        <v>0</v>
      </c>
      <c r="S249" s="385"/>
      <c r="T249" s="377">
        <f t="shared" si="67"/>
        <v>0</v>
      </c>
      <c r="U249" s="377">
        <f t="shared" si="61"/>
        <v>65880</v>
      </c>
      <c r="V249" s="386">
        <f t="shared" si="60"/>
        <v>6653880</v>
      </c>
      <c r="W249" s="487">
        <v>24</v>
      </c>
      <c r="X249" s="606">
        <f t="shared" si="62"/>
        <v>238</v>
      </c>
      <c r="Y249" s="514">
        <f>IFERROR(INDEX('[2]CN BC'!$M$10:$M$276,MATCH(B249,'[2]CN BC'!$H$10:$H$276,0)),"")</f>
        <v>0</v>
      </c>
      <c r="Z249" s="567"/>
      <c r="AA249" s="568"/>
      <c r="AC249" s="508"/>
    </row>
    <row r="250" spans="1:35" s="387" customFormat="1" ht="27.75" customHeight="1">
      <c r="A250" s="394">
        <f>_xlfn.AGGREGATE(4,7,A$11:A249)+1</f>
        <v>239</v>
      </c>
      <c r="B250" s="378" t="s">
        <v>1917</v>
      </c>
      <c r="C250" s="379" t="s">
        <v>1212</v>
      </c>
      <c r="D250" s="452" t="s">
        <v>1809</v>
      </c>
      <c r="E250" s="441" t="s">
        <v>394</v>
      </c>
      <c r="F250" s="388">
        <v>3.66</v>
      </c>
      <c r="G250" s="382"/>
      <c r="H250" s="383">
        <f t="shared" si="69"/>
        <v>3.66</v>
      </c>
      <c r="I250" s="383"/>
      <c r="J250" s="384">
        <f t="shared" si="70"/>
        <v>3.66</v>
      </c>
      <c r="K250" s="377">
        <f t="shared" si="71"/>
        <v>6588000</v>
      </c>
      <c r="L250" s="381" t="str">
        <f>VLOOKUP(B250,'[1]Gui chi Quynh'!$B$7:$F$397,5,FALSE)</f>
        <v>A4</v>
      </c>
      <c r="M250" s="515">
        <f t="shared" si="68"/>
        <v>6588000</v>
      </c>
      <c r="N250" s="391">
        <v>21</v>
      </c>
      <c r="O250" s="459">
        <f>IFERROR(INDEX('[2]CN BC'!$J$10:$J$276,MATCH(B250,'[2]CN BC'!$H$10:$H$276,0)),"")</f>
        <v>21</v>
      </c>
      <c r="P250" s="515">
        <f t="shared" si="63"/>
        <v>6588000</v>
      </c>
      <c r="Q250" s="480"/>
      <c r="R250" s="377">
        <f t="shared" si="59"/>
        <v>0</v>
      </c>
      <c r="S250" s="385"/>
      <c r="T250" s="377">
        <f t="shared" si="67"/>
        <v>0</v>
      </c>
      <c r="U250" s="377">
        <f t="shared" si="61"/>
        <v>65880</v>
      </c>
      <c r="V250" s="386">
        <f t="shared" si="60"/>
        <v>6653880</v>
      </c>
      <c r="W250" s="459">
        <v>23</v>
      </c>
      <c r="X250" s="606">
        <f t="shared" si="62"/>
        <v>239</v>
      </c>
      <c r="Y250" s="514">
        <f>IFERROR(INDEX('[2]CN BC'!$M$10:$M$276,MATCH(B250,'[2]CN BC'!$H$10:$H$276,0)),"")</f>
        <v>0</v>
      </c>
      <c r="Z250" s="147"/>
      <c r="AA250" s="113"/>
      <c r="AB250" s="114"/>
      <c r="AC250" s="161"/>
      <c r="AD250" s="114"/>
      <c r="AE250" s="114"/>
      <c r="AF250" s="114"/>
      <c r="AG250" s="114"/>
      <c r="AH250" s="114"/>
      <c r="AI250" s="114"/>
    </row>
    <row r="251" spans="1:35" s="387" customFormat="1" ht="26.25" customHeight="1">
      <c r="A251" s="394">
        <f>_xlfn.AGGREGATE(4,7,A$11:A250)+1</f>
        <v>240</v>
      </c>
      <c r="B251" s="406" t="s">
        <v>1918</v>
      </c>
      <c r="C251" s="570" t="s">
        <v>868</v>
      </c>
      <c r="D251" s="452" t="s">
        <v>1810</v>
      </c>
      <c r="E251" s="441" t="s">
        <v>393</v>
      </c>
      <c r="F251" s="388">
        <v>3.99</v>
      </c>
      <c r="G251" s="382"/>
      <c r="H251" s="383">
        <f t="shared" si="69"/>
        <v>3.99</v>
      </c>
      <c r="I251" s="383"/>
      <c r="J251" s="384">
        <f t="shared" si="70"/>
        <v>3.99</v>
      </c>
      <c r="K251" s="377">
        <f t="shared" si="71"/>
        <v>7182000</v>
      </c>
      <c r="L251" s="381" t="str">
        <f>VLOOKUP(B251,'[1]Gui chi Quynh'!$B$7:$F$397,5,FALSE)</f>
        <v>A4</v>
      </c>
      <c r="M251" s="515">
        <f t="shared" si="68"/>
        <v>7182000</v>
      </c>
      <c r="N251" s="391">
        <v>21</v>
      </c>
      <c r="O251" s="459">
        <f>IFERROR(INDEX('[2]CN BC'!$J$10:$J$276,MATCH(B251,'[2]CN BC'!$H$10:$H$276,0)),"")</f>
        <v>21</v>
      </c>
      <c r="P251" s="515">
        <f t="shared" si="63"/>
        <v>7182000</v>
      </c>
      <c r="Q251" s="480"/>
      <c r="R251" s="377">
        <f t="shared" ref="R251:R278" si="72">Q251*$G$8*1</f>
        <v>0</v>
      </c>
      <c r="S251" s="385"/>
      <c r="T251" s="377">
        <f t="shared" si="67"/>
        <v>0</v>
      </c>
      <c r="U251" s="377">
        <f t="shared" si="61"/>
        <v>71820</v>
      </c>
      <c r="V251" s="386">
        <f t="shared" si="60"/>
        <v>7253820</v>
      </c>
      <c r="W251" s="487">
        <v>23</v>
      </c>
      <c r="X251" s="606">
        <f t="shared" si="62"/>
        <v>240</v>
      </c>
      <c r="Y251" s="514">
        <f>IFERROR(INDEX('[2]CN BC'!$M$10:$M$276,MATCH(B251,'[2]CN BC'!$H$10:$H$276,0)),"")</f>
        <v>0</v>
      </c>
      <c r="Z251" s="567"/>
      <c r="AA251" s="568"/>
      <c r="AC251" s="508"/>
    </row>
    <row r="252" spans="1:35" s="387" customFormat="1" ht="27.75" customHeight="1">
      <c r="A252" s="394">
        <f>_xlfn.AGGREGATE(4,7,A$11:A251)+1</f>
        <v>241</v>
      </c>
      <c r="B252" s="378" t="s">
        <v>1545</v>
      </c>
      <c r="C252" s="379" t="s">
        <v>1218</v>
      </c>
      <c r="D252" s="452" t="s">
        <v>1811</v>
      </c>
      <c r="E252" s="441" t="s">
        <v>395</v>
      </c>
      <c r="F252" s="388">
        <v>3.66</v>
      </c>
      <c r="G252" s="382"/>
      <c r="H252" s="383">
        <f t="shared" si="69"/>
        <v>3.66</v>
      </c>
      <c r="I252" s="383"/>
      <c r="J252" s="384">
        <f t="shared" si="70"/>
        <v>3.66</v>
      </c>
      <c r="K252" s="377">
        <f t="shared" si="71"/>
        <v>6588000</v>
      </c>
      <c r="L252" s="381" t="str">
        <f>VLOOKUP(B252,'[1]Gui chi Quynh'!$B$7:$F$397,5,FALSE)</f>
        <v>A4</v>
      </c>
      <c r="M252" s="515">
        <f t="shared" si="68"/>
        <v>6588000</v>
      </c>
      <c r="N252" s="391">
        <v>21</v>
      </c>
      <c r="O252" s="459">
        <f>IFERROR(INDEX('[2]CN BC'!$J$10:$J$276,MATCH(B252,'[2]CN BC'!$H$10:$H$276,0)),"")</f>
        <v>21</v>
      </c>
      <c r="P252" s="515">
        <f t="shared" si="63"/>
        <v>6588000</v>
      </c>
      <c r="Q252" s="480"/>
      <c r="R252" s="377">
        <f t="shared" si="72"/>
        <v>0</v>
      </c>
      <c r="S252" s="385"/>
      <c r="T252" s="377">
        <f t="shared" si="67"/>
        <v>0</v>
      </c>
      <c r="U252" s="377">
        <f t="shared" si="61"/>
        <v>65880</v>
      </c>
      <c r="V252" s="386">
        <f t="shared" si="60"/>
        <v>6653880</v>
      </c>
      <c r="W252" s="487">
        <v>23</v>
      </c>
      <c r="X252" s="606">
        <f t="shared" si="62"/>
        <v>241</v>
      </c>
      <c r="Y252" s="514">
        <f>IFERROR(INDEX('[2]CN BC'!$M$10:$M$276,MATCH(B252,'[2]CN BC'!$H$10:$H$276,0)),"")</f>
        <v>0</v>
      </c>
      <c r="Z252" s="567"/>
      <c r="AA252" s="568"/>
      <c r="AC252" s="508"/>
    </row>
    <row r="253" spans="1:35" s="387" customFormat="1" ht="27.75" customHeight="1">
      <c r="A253" s="394">
        <f>_xlfn.AGGREGATE(4,7,A$11:A252)+1</f>
        <v>242</v>
      </c>
      <c r="B253" s="378" t="s">
        <v>1546</v>
      </c>
      <c r="C253" s="379" t="s">
        <v>469</v>
      </c>
      <c r="D253" s="452" t="s">
        <v>1812</v>
      </c>
      <c r="E253" s="441" t="s">
        <v>473</v>
      </c>
      <c r="F253" s="388">
        <v>3.66</v>
      </c>
      <c r="G253" s="382"/>
      <c r="H253" s="383">
        <f t="shared" si="69"/>
        <v>3.66</v>
      </c>
      <c r="I253" s="383"/>
      <c r="J253" s="384">
        <f t="shared" si="70"/>
        <v>3.66</v>
      </c>
      <c r="K253" s="377">
        <f t="shared" si="71"/>
        <v>6588000</v>
      </c>
      <c r="L253" s="381" t="str">
        <f>VLOOKUP(B253,'[1]Gui chi Quynh'!$B$7:$F$397,5,FALSE)</f>
        <v>A4</v>
      </c>
      <c r="M253" s="515">
        <f t="shared" si="68"/>
        <v>6588000</v>
      </c>
      <c r="N253" s="391">
        <v>21</v>
      </c>
      <c r="O253" s="459">
        <f>IFERROR(INDEX('[2]CN BC'!$J$10:$J$276,MATCH(B253,'[2]CN BC'!$H$10:$H$276,0)),"")</f>
        <v>21</v>
      </c>
      <c r="P253" s="515">
        <f t="shared" si="63"/>
        <v>6588000</v>
      </c>
      <c r="Q253" s="480"/>
      <c r="R253" s="377">
        <f t="shared" si="72"/>
        <v>0</v>
      </c>
      <c r="S253" s="385"/>
      <c r="T253" s="377">
        <f t="shared" si="67"/>
        <v>0</v>
      </c>
      <c r="U253" s="377">
        <f t="shared" si="61"/>
        <v>65880</v>
      </c>
      <c r="V253" s="386">
        <f t="shared" si="60"/>
        <v>6653880</v>
      </c>
      <c r="W253" s="459">
        <v>23</v>
      </c>
      <c r="X253" s="606">
        <f t="shared" si="62"/>
        <v>242</v>
      </c>
      <c r="Y253" s="514">
        <f>IFERROR(INDEX('[2]CN BC'!$M$10:$M$276,MATCH(B253,'[2]CN BC'!$H$10:$H$276,0)),"")</f>
        <v>0</v>
      </c>
      <c r="Z253" s="147"/>
      <c r="AA253" s="491"/>
      <c r="AB253" s="114"/>
      <c r="AC253" s="161"/>
      <c r="AD253" s="114"/>
      <c r="AE253" s="114"/>
      <c r="AF253" s="114"/>
      <c r="AG253" s="114"/>
      <c r="AH253" s="114"/>
      <c r="AI253" s="114"/>
    </row>
    <row r="254" spans="1:35" s="387" customFormat="1" ht="25.5" customHeight="1">
      <c r="A254" s="394">
        <f>_xlfn.AGGREGATE(4,7,A$11:A253)+1</f>
        <v>243</v>
      </c>
      <c r="B254" s="378" t="s">
        <v>1547</v>
      </c>
      <c r="C254" s="379" t="s">
        <v>1196</v>
      </c>
      <c r="D254" s="452" t="s">
        <v>1813</v>
      </c>
      <c r="E254" s="380" t="s">
        <v>490</v>
      </c>
      <c r="F254" s="388">
        <v>3.66</v>
      </c>
      <c r="G254" s="382"/>
      <c r="H254" s="465">
        <f t="shared" si="69"/>
        <v>3.66</v>
      </c>
      <c r="I254" s="383"/>
      <c r="J254" s="384">
        <f t="shared" si="70"/>
        <v>3.66</v>
      </c>
      <c r="K254" s="377">
        <f t="shared" si="71"/>
        <v>6588000</v>
      </c>
      <c r="L254" s="381" t="str">
        <f>VLOOKUP(B254,'[1]Gui chi Quynh'!$B$7:$F$397,5,FALSE)</f>
        <v>A4</v>
      </c>
      <c r="M254" s="515">
        <f t="shared" si="68"/>
        <v>6588000</v>
      </c>
      <c r="N254" s="391">
        <v>21</v>
      </c>
      <c r="O254" s="459">
        <f>IFERROR(INDEX('[2]CN BC'!$J$10:$J$276,MATCH(B254,'[2]CN BC'!$H$10:$H$276,0)),"")</f>
        <v>21</v>
      </c>
      <c r="P254" s="515">
        <f t="shared" si="63"/>
        <v>6588000</v>
      </c>
      <c r="Q254" s="480"/>
      <c r="R254" s="377">
        <f t="shared" si="72"/>
        <v>0</v>
      </c>
      <c r="S254" s="385"/>
      <c r="T254" s="377">
        <f t="shared" si="67"/>
        <v>0</v>
      </c>
      <c r="U254" s="377">
        <f t="shared" si="61"/>
        <v>65880</v>
      </c>
      <c r="V254" s="386">
        <f t="shared" si="60"/>
        <v>6653880</v>
      </c>
      <c r="W254" s="459">
        <v>24</v>
      </c>
      <c r="X254" s="606">
        <f t="shared" si="62"/>
        <v>243</v>
      </c>
      <c r="Y254" s="514">
        <f>IFERROR(INDEX('[2]CN BC'!$M$10:$M$276,MATCH(B254,'[2]CN BC'!$H$10:$H$276,0)),"")</f>
        <v>0</v>
      </c>
      <c r="Z254" s="147"/>
      <c r="AA254" s="113"/>
      <c r="AB254" s="114"/>
      <c r="AC254" s="161"/>
      <c r="AD254" s="114"/>
      <c r="AE254" s="114"/>
      <c r="AF254" s="114"/>
      <c r="AG254" s="114"/>
      <c r="AH254" s="114"/>
      <c r="AI254" s="114"/>
    </row>
    <row r="255" spans="1:35" s="387" customFormat="1" ht="23.25" customHeight="1">
      <c r="A255" s="394">
        <f>_xlfn.AGGREGATE(4,7,A$11:A254)+1</f>
        <v>244</v>
      </c>
      <c r="B255" s="378" t="s">
        <v>1919</v>
      </c>
      <c r="C255" s="379" t="s">
        <v>755</v>
      </c>
      <c r="D255" s="452" t="s">
        <v>1814</v>
      </c>
      <c r="E255" s="441" t="s">
        <v>750</v>
      </c>
      <c r="F255" s="388">
        <v>3.33</v>
      </c>
      <c r="G255" s="382"/>
      <c r="H255" s="465">
        <f t="shared" si="69"/>
        <v>3.33</v>
      </c>
      <c r="I255" s="383"/>
      <c r="J255" s="384">
        <f t="shared" si="70"/>
        <v>3.33</v>
      </c>
      <c r="K255" s="377">
        <f t="shared" si="71"/>
        <v>5994000</v>
      </c>
      <c r="L255" s="381" t="str">
        <f>VLOOKUP(B255,'[1]Gui chi Quynh'!$B$7:$F$397,5,FALSE)</f>
        <v>A4</v>
      </c>
      <c r="M255" s="515">
        <f t="shared" si="68"/>
        <v>5994000</v>
      </c>
      <c r="N255" s="391">
        <v>21</v>
      </c>
      <c r="O255" s="459">
        <f>IFERROR(INDEX('[2]CN BC'!$J$10:$J$276,MATCH(B255,'[2]CN BC'!$H$10:$H$276,0)),"")</f>
        <v>21</v>
      </c>
      <c r="P255" s="515">
        <f t="shared" si="63"/>
        <v>5994000</v>
      </c>
      <c r="Q255" s="409"/>
      <c r="R255" s="377">
        <f t="shared" si="72"/>
        <v>0</v>
      </c>
      <c r="S255" s="385"/>
      <c r="T255" s="377">
        <f t="shared" si="67"/>
        <v>0</v>
      </c>
      <c r="U255" s="377">
        <f t="shared" si="61"/>
        <v>59940</v>
      </c>
      <c r="V255" s="386">
        <f>(P255+R255+T255+U255)</f>
        <v>6053940</v>
      </c>
      <c r="W255" s="459">
        <v>23</v>
      </c>
      <c r="X255" s="606">
        <f t="shared" si="62"/>
        <v>244</v>
      </c>
      <c r="Y255" s="514">
        <f>IFERROR(INDEX('[2]CN BC'!$M$10:$M$276,MATCH(B255,'[2]CN BC'!$H$10:$H$276,0)),"")</f>
        <v>0</v>
      </c>
      <c r="Z255" s="147"/>
      <c r="AA255" s="113"/>
      <c r="AB255" s="114"/>
      <c r="AC255" s="161"/>
      <c r="AD255" s="114"/>
      <c r="AE255" s="114"/>
      <c r="AF255" s="114"/>
      <c r="AG255" s="114"/>
      <c r="AH255" s="114"/>
      <c r="AI255" s="114"/>
    </row>
    <row r="256" spans="1:35" s="387" customFormat="1" ht="25.5" customHeight="1">
      <c r="A256" s="394">
        <f>_xlfn.AGGREGATE(4,7,A$11:A255)+1</f>
        <v>245</v>
      </c>
      <c r="B256" s="378" t="s">
        <v>1548</v>
      </c>
      <c r="C256" s="379" t="s">
        <v>889</v>
      </c>
      <c r="D256" s="452" t="s">
        <v>1815</v>
      </c>
      <c r="E256" s="441" t="s">
        <v>752</v>
      </c>
      <c r="F256" s="388">
        <v>3.66</v>
      </c>
      <c r="G256" s="382"/>
      <c r="H256" s="465">
        <f t="shared" si="69"/>
        <v>3.66</v>
      </c>
      <c r="I256" s="383"/>
      <c r="J256" s="384">
        <f t="shared" si="70"/>
        <v>3.66</v>
      </c>
      <c r="K256" s="377">
        <f t="shared" si="71"/>
        <v>6588000</v>
      </c>
      <c r="L256" s="381" t="str">
        <f>VLOOKUP(B256,'[1]Gui chi Quynh'!$B$7:$F$397,5,FALSE)</f>
        <v>A4</v>
      </c>
      <c r="M256" s="515">
        <f t="shared" si="68"/>
        <v>6588000</v>
      </c>
      <c r="N256" s="391">
        <v>21</v>
      </c>
      <c r="O256" s="459">
        <f>IFERROR(INDEX('[2]CN BC'!$J$10:$J$276,MATCH(B256,'[2]CN BC'!$H$10:$H$276,0)),"")</f>
        <v>21</v>
      </c>
      <c r="P256" s="515">
        <f t="shared" si="63"/>
        <v>6588000</v>
      </c>
      <c r="Q256" s="480"/>
      <c r="R256" s="377">
        <f t="shared" si="72"/>
        <v>0</v>
      </c>
      <c r="S256" s="385"/>
      <c r="T256" s="377">
        <f t="shared" si="67"/>
        <v>0</v>
      </c>
      <c r="U256" s="377">
        <f t="shared" si="61"/>
        <v>65880</v>
      </c>
      <c r="V256" s="386">
        <f>(P256+R256+T256+U256)</f>
        <v>6653880</v>
      </c>
      <c r="W256" s="487">
        <v>23</v>
      </c>
      <c r="X256" s="606">
        <f t="shared" si="62"/>
        <v>245</v>
      </c>
      <c r="Y256" s="514">
        <f>IFERROR(INDEX('[2]CN BC'!$M$10:$M$276,MATCH(B256,'[2]CN BC'!$H$10:$H$276,0)),"")</f>
        <v>0</v>
      </c>
      <c r="Z256" s="567"/>
      <c r="AA256" s="568"/>
      <c r="AC256" s="508"/>
    </row>
    <row r="257" spans="1:39" s="387" customFormat="1" ht="25.5" customHeight="1">
      <c r="A257" s="394">
        <f>_xlfn.AGGREGATE(4,7,A$11:A256)+1</f>
        <v>246</v>
      </c>
      <c r="B257" s="378" t="s">
        <v>1549</v>
      </c>
      <c r="C257" s="379" t="s">
        <v>1428</v>
      </c>
      <c r="D257" s="452" t="s">
        <v>1816</v>
      </c>
      <c r="E257" s="440" t="s">
        <v>1429</v>
      </c>
      <c r="F257" s="483">
        <v>3.33</v>
      </c>
      <c r="G257" s="382"/>
      <c r="H257" s="465">
        <f t="shared" si="69"/>
        <v>3.33</v>
      </c>
      <c r="I257" s="383">
        <v>0.25</v>
      </c>
      <c r="J257" s="384">
        <f t="shared" si="70"/>
        <v>3.58</v>
      </c>
      <c r="K257" s="377">
        <f t="shared" si="71"/>
        <v>6444000</v>
      </c>
      <c r="L257" s="381" t="str">
        <f>VLOOKUP(B257,'[1]Gui chi Quynh'!$B$7:$F$397,5,FALSE)</f>
        <v>A4</v>
      </c>
      <c r="M257" s="515">
        <f t="shared" si="68"/>
        <v>6444000</v>
      </c>
      <c r="N257" s="391">
        <v>21</v>
      </c>
      <c r="O257" s="459">
        <f>IFERROR(INDEX('[2]CN BC'!$J$10:$J$276,MATCH(B257,'[2]CN BC'!$H$10:$H$276,0)),"")</f>
        <v>21</v>
      </c>
      <c r="P257" s="515">
        <f t="shared" si="63"/>
        <v>6444000</v>
      </c>
      <c r="Q257" s="480"/>
      <c r="R257" s="377">
        <f t="shared" si="72"/>
        <v>0</v>
      </c>
      <c r="S257" s="385"/>
      <c r="T257" s="377">
        <f t="shared" si="67"/>
        <v>0</v>
      </c>
      <c r="U257" s="377">
        <f t="shared" si="61"/>
        <v>64440</v>
      </c>
      <c r="V257" s="386">
        <f t="shared" ref="V257:V278" si="73">(P257+R257+T257+U257)</f>
        <v>6508440</v>
      </c>
      <c r="W257" s="459">
        <v>23</v>
      </c>
      <c r="X257" s="606">
        <f t="shared" si="62"/>
        <v>246</v>
      </c>
      <c r="Y257" s="514">
        <f>IFERROR(INDEX('[2]CN BC'!$M$10:$M$276,MATCH(B257,'[2]CN BC'!$H$10:$H$276,0)),"")</f>
        <v>0</v>
      </c>
      <c r="Z257" s="147"/>
      <c r="AA257" s="113"/>
      <c r="AB257" s="114"/>
      <c r="AC257" s="161"/>
      <c r="AD257" s="114"/>
      <c r="AE257" s="114"/>
      <c r="AF257" s="114"/>
      <c r="AG257" s="114"/>
      <c r="AH257" s="114"/>
      <c r="AI257" s="114"/>
    </row>
    <row r="258" spans="1:39" s="387" customFormat="1" ht="25.5" customHeight="1">
      <c r="A258" s="394">
        <f>_xlfn.AGGREGATE(4,7,A$11:A257)+1</f>
        <v>247</v>
      </c>
      <c r="B258" s="378" t="s">
        <v>1550</v>
      </c>
      <c r="C258" s="379" t="s">
        <v>1428</v>
      </c>
      <c r="D258" s="452" t="s">
        <v>1817</v>
      </c>
      <c r="E258" s="440" t="s">
        <v>1430</v>
      </c>
      <c r="F258" s="483">
        <v>3.33</v>
      </c>
      <c r="G258" s="382"/>
      <c r="H258" s="465">
        <f t="shared" si="69"/>
        <v>3.33</v>
      </c>
      <c r="I258" s="383"/>
      <c r="J258" s="384">
        <f t="shared" si="70"/>
        <v>3.33</v>
      </c>
      <c r="K258" s="377">
        <f t="shared" si="71"/>
        <v>5994000</v>
      </c>
      <c r="L258" s="381" t="str">
        <f>VLOOKUP(B258,'[1]Gui chi Quynh'!$B$7:$F$397,5,FALSE)</f>
        <v>A4</v>
      </c>
      <c r="M258" s="515">
        <f t="shared" si="68"/>
        <v>5994000</v>
      </c>
      <c r="N258" s="391">
        <v>21</v>
      </c>
      <c r="O258" s="459">
        <f>IFERROR(INDEX('[2]CN BC'!$J$10:$J$276,MATCH(B258,'[2]CN BC'!$H$10:$H$276,0)),"")</f>
        <v>21</v>
      </c>
      <c r="P258" s="515">
        <f t="shared" si="63"/>
        <v>5994000</v>
      </c>
      <c r="Q258" s="409"/>
      <c r="R258" s="377">
        <f t="shared" si="72"/>
        <v>0</v>
      </c>
      <c r="S258" s="385"/>
      <c r="T258" s="377">
        <f t="shared" si="67"/>
        <v>0</v>
      </c>
      <c r="U258" s="377">
        <f t="shared" si="61"/>
        <v>59940</v>
      </c>
      <c r="V258" s="386">
        <f t="shared" si="73"/>
        <v>6053940</v>
      </c>
      <c r="W258" s="459">
        <v>24</v>
      </c>
      <c r="X258" s="606">
        <f t="shared" si="62"/>
        <v>247</v>
      </c>
      <c r="Y258" s="514">
        <f>IFERROR(INDEX('[2]CN BC'!$M$10:$M$276,MATCH(B258,'[2]CN BC'!$H$10:$H$276,0)),"")</f>
        <v>0</v>
      </c>
      <c r="Z258" s="147"/>
      <c r="AA258" s="491"/>
      <c r="AB258" s="114"/>
      <c r="AC258" s="161"/>
      <c r="AD258" s="114"/>
      <c r="AE258" s="114"/>
      <c r="AF258" s="114"/>
      <c r="AG258" s="114"/>
      <c r="AH258" s="114"/>
      <c r="AI258" s="114"/>
    </row>
    <row r="259" spans="1:39" s="387" customFormat="1" ht="25.5" customHeight="1">
      <c r="A259" s="394">
        <f>_xlfn.AGGREGATE(4,7,A$11:A258)+1</f>
        <v>248</v>
      </c>
      <c r="B259" s="378" t="s">
        <v>1836</v>
      </c>
      <c r="C259" s="379"/>
      <c r="D259" s="452" t="s">
        <v>1976</v>
      </c>
      <c r="E259" s="502" t="s">
        <v>1977</v>
      </c>
      <c r="F259" s="380">
        <v>2.67</v>
      </c>
      <c r="G259" s="382"/>
      <c r="H259" s="383">
        <f t="shared" si="69"/>
        <v>2.67</v>
      </c>
      <c r="I259" s="383"/>
      <c r="J259" s="384">
        <f t="shared" si="70"/>
        <v>2.67</v>
      </c>
      <c r="K259" s="377">
        <f t="shared" si="71"/>
        <v>4806000</v>
      </c>
      <c r="L259" s="381" t="str">
        <f>VLOOKUP(B259,'[1]Gui chi Quynh'!$B$7:$F$397,5,FALSE)</f>
        <v>A4</v>
      </c>
      <c r="M259" s="515">
        <f t="shared" si="68"/>
        <v>4806000</v>
      </c>
      <c r="N259" s="391">
        <v>21</v>
      </c>
      <c r="O259" s="459">
        <f>IFERROR(INDEX('[2]CN BC'!$J$10:$J$276,MATCH(B259,'[2]CN BC'!$H$10:$H$276,0)),"")</f>
        <v>21</v>
      </c>
      <c r="P259" s="515">
        <f t="shared" si="63"/>
        <v>4806000</v>
      </c>
      <c r="Q259" s="480"/>
      <c r="R259" s="377">
        <f t="shared" si="72"/>
        <v>0</v>
      </c>
      <c r="S259" s="385"/>
      <c r="T259" s="377">
        <f t="shared" si="67"/>
        <v>0</v>
      </c>
      <c r="U259" s="377">
        <f t="shared" si="61"/>
        <v>48060</v>
      </c>
      <c r="V259" s="386">
        <f t="shared" si="73"/>
        <v>4854060</v>
      </c>
      <c r="W259" s="459">
        <v>23</v>
      </c>
      <c r="X259" s="606">
        <f t="shared" si="62"/>
        <v>248</v>
      </c>
      <c r="Y259" s="514">
        <f>IFERROR(INDEX('[2]CN BC'!$M$10:$M$276,MATCH(B259,'[2]CN BC'!$H$10:$H$276,0)),"")</f>
        <v>0</v>
      </c>
      <c r="Z259" s="147"/>
      <c r="AA259" s="491"/>
      <c r="AB259" s="114"/>
      <c r="AC259" s="161"/>
      <c r="AD259" s="114"/>
      <c r="AE259" s="114"/>
      <c r="AF259" s="114"/>
      <c r="AG259" s="114"/>
      <c r="AH259" s="114"/>
      <c r="AI259" s="114"/>
    </row>
    <row r="260" spans="1:39" s="387" customFormat="1" ht="25.5" customHeight="1">
      <c r="A260" s="394">
        <f>_xlfn.AGGREGATE(4,7,A$11:A259)+1</f>
        <v>249</v>
      </c>
      <c r="B260" s="378" t="s">
        <v>1837</v>
      </c>
      <c r="C260" s="379"/>
      <c r="D260" s="452" t="s">
        <v>1978</v>
      </c>
      <c r="E260" s="502" t="s">
        <v>1979</v>
      </c>
      <c r="F260" s="380">
        <v>2.67</v>
      </c>
      <c r="G260" s="382"/>
      <c r="H260" s="383">
        <f t="shared" si="69"/>
        <v>2.67</v>
      </c>
      <c r="I260" s="383"/>
      <c r="J260" s="384">
        <f t="shared" si="70"/>
        <v>2.67</v>
      </c>
      <c r="K260" s="377">
        <f t="shared" si="71"/>
        <v>4806000</v>
      </c>
      <c r="L260" s="381" t="str">
        <f>VLOOKUP(B260,'[1]Gui chi Quynh'!$B$7:$F$397,5,FALSE)</f>
        <v>A3</v>
      </c>
      <c r="M260" s="515">
        <f t="shared" si="68"/>
        <v>5767200</v>
      </c>
      <c r="N260" s="391">
        <v>21</v>
      </c>
      <c r="O260" s="459">
        <f>IFERROR(INDEX('[2]CN BC'!$J$10:$J$276,MATCH(B260,'[2]CN BC'!$H$10:$H$276,0)),"")</f>
        <v>21</v>
      </c>
      <c r="P260" s="515">
        <f t="shared" si="63"/>
        <v>5767200</v>
      </c>
      <c r="Q260" s="409"/>
      <c r="R260" s="377">
        <f t="shared" si="72"/>
        <v>0</v>
      </c>
      <c r="S260" s="385"/>
      <c r="T260" s="377">
        <f t="shared" si="67"/>
        <v>0</v>
      </c>
      <c r="U260" s="377">
        <f t="shared" si="61"/>
        <v>48060</v>
      </c>
      <c r="V260" s="386">
        <f t="shared" si="73"/>
        <v>5815260</v>
      </c>
      <c r="W260" s="459">
        <v>23</v>
      </c>
      <c r="X260" s="606">
        <f t="shared" si="62"/>
        <v>249</v>
      </c>
      <c r="Y260" s="514">
        <f>IFERROR(INDEX('[2]CN BC'!$M$10:$M$276,MATCH(B260,'[2]CN BC'!$H$10:$H$276,0)),"")</f>
        <v>0</v>
      </c>
      <c r="Z260" s="147"/>
      <c r="AA260" s="491"/>
      <c r="AB260" s="114"/>
      <c r="AC260" s="161"/>
      <c r="AD260" s="114"/>
      <c r="AE260" s="114"/>
      <c r="AF260" s="114"/>
      <c r="AG260" s="114"/>
      <c r="AH260" s="114"/>
      <c r="AI260" s="114"/>
    </row>
    <row r="261" spans="1:39" s="387" customFormat="1" ht="25.5" customHeight="1">
      <c r="A261" s="394">
        <f>_xlfn.AGGREGATE(4,7,A$11:A260)+1</f>
        <v>250</v>
      </c>
      <c r="B261" s="406" t="s">
        <v>1839</v>
      </c>
      <c r="C261" s="379"/>
      <c r="D261" s="452" t="s">
        <v>1980</v>
      </c>
      <c r="E261" s="502" t="s">
        <v>1981</v>
      </c>
      <c r="F261" s="483">
        <v>3</v>
      </c>
      <c r="G261" s="382"/>
      <c r="H261" s="383">
        <f t="shared" si="69"/>
        <v>3</v>
      </c>
      <c r="I261" s="383"/>
      <c r="J261" s="384">
        <f t="shared" si="70"/>
        <v>3</v>
      </c>
      <c r="K261" s="377">
        <f t="shared" si="71"/>
        <v>5400000</v>
      </c>
      <c r="L261" s="381" t="str">
        <f>VLOOKUP(B261,'[1]Gui chi Quynh'!$B$7:$F$397,5,FALSE)</f>
        <v>A3</v>
      </c>
      <c r="M261" s="515">
        <f t="shared" si="68"/>
        <v>6480000</v>
      </c>
      <c r="N261" s="391">
        <v>21</v>
      </c>
      <c r="O261" s="459">
        <f>IFERROR(INDEX('[2]CN BC'!$J$10:$J$276,MATCH(B261,'[2]CN BC'!$H$10:$H$276,0)),"")</f>
        <v>21</v>
      </c>
      <c r="P261" s="515">
        <f t="shared" si="63"/>
        <v>6480000</v>
      </c>
      <c r="Q261" s="409"/>
      <c r="R261" s="377">
        <f t="shared" si="72"/>
        <v>0</v>
      </c>
      <c r="S261" s="385"/>
      <c r="T261" s="377">
        <f t="shared" si="67"/>
        <v>0</v>
      </c>
      <c r="U261" s="377">
        <f t="shared" si="61"/>
        <v>54000</v>
      </c>
      <c r="V261" s="386">
        <f t="shared" si="73"/>
        <v>6534000</v>
      </c>
      <c r="W261" s="459">
        <v>23</v>
      </c>
      <c r="X261" s="606">
        <f t="shared" si="62"/>
        <v>250</v>
      </c>
      <c r="Y261" s="514">
        <f>IFERROR(INDEX('[2]CN BC'!$M$10:$M$276,MATCH(B261,'[2]CN BC'!$H$10:$H$276,0)),"")</f>
        <v>0</v>
      </c>
      <c r="Z261" s="147"/>
      <c r="AA261" s="491"/>
      <c r="AB261" s="114"/>
      <c r="AC261" s="161"/>
      <c r="AD261" s="114"/>
      <c r="AE261" s="114"/>
      <c r="AF261" s="114"/>
      <c r="AG261" s="114"/>
      <c r="AH261" s="114"/>
      <c r="AI261" s="114"/>
    </row>
    <row r="262" spans="1:39" s="387" customFormat="1" ht="25.5" customHeight="1">
      <c r="A262" s="394">
        <f>_xlfn.AGGREGATE(4,7,A$11:A261)+1</f>
        <v>251</v>
      </c>
      <c r="B262" s="406" t="s">
        <v>1844</v>
      </c>
      <c r="C262" s="379"/>
      <c r="D262" s="452" t="s">
        <v>1982</v>
      </c>
      <c r="E262" s="502" t="s">
        <v>1983</v>
      </c>
      <c r="F262" s="483">
        <v>3.66</v>
      </c>
      <c r="G262" s="382"/>
      <c r="H262" s="383">
        <f t="shared" si="69"/>
        <v>3.66</v>
      </c>
      <c r="I262" s="383"/>
      <c r="J262" s="384">
        <f t="shared" si="70"/>
        <v>3.66</v>
      </c>
      <c r="K262" s="377">
        <f t="shared" si="71"/>
        <v>6588000</v>
      </c>
      <c r="L262" s="381" t="str">
        <f>VLOOKUP(B262,'[1]Gui chi Quynh'!$B$7:$F$397,5,FALSE)</f>
        <v>A2</v>
      </c>
      <c r="M262" s="515">
        <f t="shared" si="68"/>
        <v>9223200</v>
      </c>
      <c r="N262" s="391">
        <v>21</v>
      </c>
      <c r="O262" s="459">
        <f>IFERROR(INDEX('[2]CN BC'!$J$10:$J$276,MATCH(B262,'[2]CN BC'!$H$10:$H$276,0)),"")</f>
        <v>21</v>
      </c>
      <c r="P262" s="515">
        <f t="shared" si="63"/>
        <v>9223200</v>
      </c>
      <c r="Q262" s="480"/>
      <c r="R262" s="377">
        <f t="shared" si="72"/>
        <v>0</v>
      </c>
      <c r="S262" s="385"/>
      <c r="T262" s="377">
        <f t="shared" si="67"/>
        <v>0</v>
      </c>
      <c r="U262" s="377">
        <f t="shared" si="61"/>
        <v>65880</v>
      </c>
      <c r="V262" s="386">
        <f t="shared" si="73"/>
        <v>9289080</v>
      </c>
      <c r="W262" s="459">
        <v>23</v>
      </c>
      <c r="X262" s="606">
        <f t="shared" si="62"/>
        <v>251</v>
      </c>
      <c r="Y262" s="514">
        <f>IFERROR(INDEX('[2]CN BC'!$M$10:$M$276,MATCH(B262,'[2]CN BC'!$H$10:$H$276,0)),"")</f>
        <v>0</v>
      </c>
      <c r="Z262" s="147"/>
      <c r="AA262" s="491"/>
      <c r="AB262" s="114"/>
      <c r="AC262" s="161"/>
      <c r="AD262" s="114"/>
      <c r="AE262" s="114"/>
      <c r="AF262" s="114"/>
      <c r="AG262" s="114"/>
      <c r="AH262" s="114"/>
      <c r="AI262" s="114"/>
    </row>
    <row r="263" spans="1:39" s="387" customFormat="1" ht="24" customHeight="1">
      <c r="A263" s="394">
        <f>_xlfn.AGGREGATE(4,7,A$11:A262)+1</f>
        <v>252</v>
      </c>
      <c r="B263" s="406" t="s">
        <v>1926</v>
      </c>
      <c r="C263" s="379"/>
      <c r="D263" s="452" t="s">
        <v>1984</v>
      </c>
      <c r="E263" s="498" t="s">
        <v>1985</v>
      </c>
      <c r="F263" s="493">
        <v>2.34</v>
      </c>
      <c r="G263" s="382"/>
      <c r="H263" s="383">
        <f t="shared" si="69"/>
        <v>2.34</v>
      </c>
      <c r="I263" s="383"/>
      <c r="J263" s="384">
        <f t="shared" si="70"/>
        <v>2.34</v>
      </c>
      <c r="K263" s="377">
        <f t="shared" si="71"/>
        <v>4212000</v>
      </c>
      <c r="L263" s="381" t="str">
        <f>VLOOKUP(B263,'[1]Gui chi Quynh'!$B$7:$F$397,5,FALSE)</f>
        <v>A4</v>
      </c>
      <c r="M263" s="515">
        <f t="shared" si="68"/>
        <v>4212000</v>
      </c>
      <c r="N263" s="391">
        <v>21</v>
      </c>
      <c r="O263" s="459">
        <f>IFERROR(INDEX('[2]CN BC'!$J$10:$J$276,MATCH(B263,'[2]CN BC'!$H$10:$H$276,0)),"")</f>
        <v>21</v>
      </c>
      <c r="P263" s="515">
        <f t="shared" si="63"/>
        <v>4212000</v>
      </c>
      <c r="Q263" s="480"/>
      <c r="R263" s="377">
        <f t="shared" si="72"/>
        <v>0</v>
      </c>
      <c r="S263" s="385"/>
      <c r="T263" s="377">
        <f t="shared" si="67"/>
        <v>0</v>
      </c>
      <c r="U263" s="377">
        <f t="shared" si="61"/>
        <v>42120</v>
      </c>
      <c r="V263" s="386">
        <f t="shared" si="73"/>
        <v>4254120</v>
      </c>
      <c r="W263" s="459">
        <v>24</v>
      </c>
      <c r="X263" s="606">
        <f t="shared" si="62"/>
        <v>252</v>
      </c>
      <c r="Y263" s="514">
        <f>IFERROR(INDEX('[2]CN BC'!$M$10:$M$276,MATCH(B263,'[2]CN BC'!$H$10:$H$276,0)),"")</f>
        <v>0</v>
      </c>
      <c r="Z263" s="147"/>
      <c r="AA263" s="491"/>
      <c r="AB263" s="114"/>
      <c r="AC263" s="161"/>
      <c r="AD263" s="114"/>
      <c r="AE263" s="114"/>
      <c r="AF263" s="114"/>
      <c r="AG263" s="114"/>
      <c r="AH263" s="114"/>
      <c r="AI263" s="114"/>
    </row>
    <row r="264" spans="1:39" s="387" customFormat="1" ht="24.75" customHeight="1">
      <c r="A264" s="394">
        <f>_xlfn.AGGREGATE(4,7,A$11:A263)+1</f>
        <v>253</v>
      </c>
      <c r="B264" s="406" t="s">
        <v>1927</v>
      </c>
      <c r="C264" s="379"/>
      <c r="D264" s="452" t="s">
        <v>1986</v>
      </c>
      <c r="E264" s="440" t="s">
        <v>1987</v>
      </c>
      <c r="F264" s="493">
        <v>2.34</v>
      </c>
      <c r="G264" s="382"/>
      <c r="H264" s="383">
        <f t="shared" si="69"/>
        <v>2.34</v>
      </c>
      <c r="I264" s="383"/>
      <c r="J264" s="384">
        <f t="shared" si="70"/>
        <v>2.34</v>
      </c>
      <c r="K264" s="377">
        <f t="shared" si="71"/>
        <v>4212000</v>
      </c>
      <c r="L264" s="381" t="str">
        <f>VLOOKUP(B264,'[1]Gui chi Quynh'!$B$7:$F$397,5,FALSE)</f>
        <v>A4</v>
      </c>
      <c r="M264" s="515">
        <f t="shared" si="68"/>
        <v>4212000</v>
      </c>
      <c r="N264" s="391">
        <v>21</v>
      </c>
      <c r="O264" s="459">
        <f>IFERROR(INDEX('[2]CN BC'!$J$10:$J$276,MATCH(B264,'[2]CN BC'!$H$10:$H$276,0)),"")</f>
        <v>21</v>
      </c>
      <c r="P264" s="515">
        <f t="shared" si="63"/>
        <v>4212000</v>
      </c>
      <c r="Q264" s="480"/>
      <c r="R264" s="377">
        <f t="shared" si="72"/>
        <v>0</v>
      </c>
      <c r="S264" s="385"/>
      <c r="T264" s="377">
        <f t="shared" si="67"/>
        <v>0</v>
      </c>
      <c r="U264" s="377">
        <f t="shared" si="61"/>
        <v>42120</v>
      </c>
      <c r="V264" s="386">
        <f t="shared" si="73"/>
        <v>4254120</v>
      </c>
      <c r="W264" s="487">
        <v>23</v>
      </c>
      <c r="X264" s="606">
        <f t="shared" si="62"/>
        <v>253</v>
      </c>
      <c r="Y264" s="514">
        <f>IFERROR(INDEX('[2]CN BC'!$M$10:$M$276,MATCH(B264,'[2]CN BC'!$H$10:$H$276,0)),"")</f>
        <v>0</v>
      </c>
      <c r="Z264" s="567"/>
      <c r="AA264" s="573"/>
      <c r="AC264" s="508"/>
    </row>
    <row r="265" spans="1:39" s="387" customFormat="1" ht="24" customHeight="1">
      <c r="A265" s="394">
        <f>_xlfn.AGGREGATE(4,7,A$11:A264)+1</f>
        <v>254</v>
      </c>
      <c r="B265" s="406" t="s">
        <v>1941</v>
      </c>
      <c r="C265" s="379"/>
      <c r="D265" s="452" t="s">
        <v>1989</v>
      </c>
      <c r="E265" s="498" t="s">
        <v>1988</v>
      </c>
      <c r="F265" s="493">
        <v>2.34</v>
      </c>
      <c r="G265" s="382"/>
      <c r="H265" s="383">
        <f t="shared" si="69"/>
        <v>2.34</v>
      </c>
      <c r="I265" s="383"/>
      <c r="J265" s="384">
        <f t="shared" si="70"/>
        <v>2.34</v>
      </c>
      <c r="K265" s="377">
        <f t="shared" si="71"/>
        <v>4212000</v>
      </c>
      <c r="L265" s="381" t="str">
        <f>VLOOKUP(B265,'[1]Gui chi Quynh'!$B$7:$F$397,5,FALSE)</f>
        <v>A4</v>
      </c>
      <c r="M265" s="515">
        <f t="shared" si="68"/>
        <v>4212000</v>
      </c>
      <c r="N265" s="391">
        <v>21</v>
      </c>
      <c r="O265" s="459">
        <f>IFERROR(INDEX('[2]CN BC'!$J$10:$J$276,MATCH(B265,'[2]CN BC'!$H$10:$H$276,0)),"")</f>
        <v>21</v>
      </c>
      <c r="P265" s="515">
        <f t="shared" si="63"/>
        <v>4212000</v>
      </c>
      <c r="Q265" s="480"/>
      <c r="R265" s="377">
        <f t="shared" si="72"/>
        <v>0</v>
      </c>
      <c r="S265" s="385"/>
      <c r="T265" s="377">
        <f t="shared" si="67"/>
        <v>0</v>
      </c>
      <c r="U265" s="377">
        <f t="shared" si="61"/>
        <v>42120</v>
      </c>
      <c r="V265" s="386">
        <f t="shared" si="73"/>
        <v>4254120</v>
      </c>
      <c r="W265" s="487">
        <v>23</v>
      </c>
      <c r="X265" s="606">
        <f t="shared" si="62"/>
        <v>254</v>
      </c>
      <c r="Y265" s="514">
        <f>IFERROR(INDEX('[2]CN BC'!$M$10:$M$276,MATCH(B265,'[2]CN BC'!$H$10:$H$276,0)),"")</f>
        <v>0</v>
      </c>
      <c r="Z265" s="147"/>
      <c r="AA265" s="491"/>
      <c r="AB265" s="114"/>
      <c r="AC265" s="161"/>
      <c r="AD265" s="114"/>
      <c r="AE265" s="114"/>
      <c r="AF265" s="114"/>
      <c r="AG265" s="114"/>
      <c r="AH265" s="114"/>
      <c r="AI265" s="114"/>
    </row>
    <row r="266" spans="1:39" s="387" customFormat="1" ht="24" customHeight="1">
      <c r="A266" s="394">
        <f>_xlfn.AGGREGATE(4,7,A$11:A265)+1</f>
        <v>255</v>
      </c>
      <c r="B266" s="406" t="s">
        <v>1942</v>
      </c>
      <c r="C266" s="379"/>
      <c r="D266" s="452" t="s">
        <v>1990</v>
      </c>
      <c r="E266" s="440"/>
      <c r="F266" s="493">
        <v>2.34</v>
      </c>
      <c r="G266" s="382"/>
      <c r="H266" s="383">
        <f t="shared" si="69"/>
        <v>2.34</v>
      </c>
      <c r="I266" s="383"/>
      <c r="J266" s="384">
        <f t="shared" si="70"/>
        <v>2.34</v>
      </c>
      <c r="K266" s="377">
        <f t="shared" si="71"/>
        <v>4212000</v>
      </c>
      <c r="L266" s="381" t="str">
        <f>VLOOKUP(B266,'[1]Gui chi Quynh'!$B$7:$F$397,5,FALSE)</f>
        <v>A4</v>
      </c>
      <c r="M266" s="515">
        <f t="shared" si="68"/>
        <v>4212000</v>
      </c>
      <c r="N266" s="391">
        <v>21</v>
      </c>
      <c r="O266" s="459">
        <f>IFERROR(INDEX('[2]CN BC'!$J$10:$J$276,MATCH(B266,'[2]CN BC'!$H$10:$H$276,0)),"")</f>
        <v>21</v>
      </c>
      <c r="P266" s="515">
        <f t="shared" si="63"/>
        <v>4212000</v>
      </c>
      <c r="Q266" s="480"/>
      <c r="R266" s="377">
        <f t="shared" si="72"/>
        <v>0</v>
      </c>
      <c r="S266" s="385"/>
      <c r="T266" s="377">
        <f t="shared" si="67"/>
        <v>0</v>
      </c>
      <c r="U266" s="377">
        <f t="shared" si="61"/>
        <v>42120</v>
      </c>
      <c r="V266" s="386">
        <f t="shared" si="73"/>
        <v>4254120</v>
      </c>
      <c r="W266" s="487">
        <v>23</v>
      </c>
      <c r="X266" s="606">
        <f t="shared" si="62"/>
        <v>255</v>
      </c>
      <c r="Y266" s="514">
        <f>IFERROR(INDEX('[2]CN BC'!$M$10:$M$276,MATCH(B266,'[2]CN BC'!$H$10:$H$276,0)),"")</f>
        <v>0</v>
      </c>
      <c r="Z266" s="147"/>
      <c r="AA266" s="491"/>
      <c r="AB266" s="114"/>
      <c r="AC266" s="161"/>
      <c r="AD266" s="114"/>
      <c r="AE266" s="114"/>
      <c r="AF266" s="114"/>
      <c r="AG266" s="114"/>
      <c r="AH266" s="114"/>
      <c r="AI266" s="114"/>
    </row>
    <row r="267" spans="1:39" s="387" customFormat="1" ht="24" customHeight="1">
      <c r="A267" s="394">
        <f>_xlfn.AGGREGATE(4,7,A$11:A266)+1</f>
        <v>256</v>
      </c>
      <c r="B267" s="406" t="s">
        <v>1945</v>
      </c>
      <c r="C267" s="379"/>
      <c r="D267" s="394" t="s">
        <v>1948</v>
      </c>
      <c r="E267" s="440" t="s">
        <v>1949</v>
      </c>
      <c r="F267" s="493">
        <v>3.33</v>
      </c>
      <c r="G267" s="382"/>
      <c r="H267" s="465">
        <f t="shared" si="69"/>
        <v>3.33</v>
      </c>
      <c r="I267" s="383"/>
      <c r="J267" s="384">
        <f t="shared" si="70"/>
        <v>3.33</v>
      </c>
      <c r="K267" s="377">
        <f t="shared" si="71"/>
        <v>5994000</v>
      </c>
      <c r="L267" s="381" t="str">
        <f>VLOOKUP(B267,'[1]Gui chi Quynh'!$B$7:$F$397,5,FALSE)</f>
        <v>A4</v>
      </c>
      <c r="M267" s="515">
        <f t="shared" si="68"/>
        <v>5994000</v>
      </c>
      <c r="N267" s="391">
        <v>21</v>
      </c>
      <c r="O267" s="459">
        <f>IFERROR(INDEX('[2]CN BC'!$J$10:$J$276,MATCH(B267,'[2]CN BC'!$H$10:$H$276,0)),"")</f>
        <v>21</v>
      </c>
      <c r="P267" s="515">
        <f t="shared" si="63"/>
        <v>5994000</v>
      </c>
      <c r="Q267" s="480"/>
      <c r="R267" s="377">
        <f t="shared" si="72"/>
        <v>0</v>
      </c>
      <c r="S267" s="385"/>
      <c r="T267" s="377">
        <f t="shared" si="67"/>
        <v>0</v>
      </c>
      <c r="U267" s="377">
        <f t="shared" si="61"/>
        <v>59940</v>
      </c>
      <c r="V267" s="386">
        <f t="shared" si="73"/>
        <v>6053940</v>
      </c>
      <c r="W267" s="487">
        <v>24</v>
      </c>
      <c r="X267" s="606">
        <f t="shared" si="62"/>
        <v>256</v>
      </c>
      <c r="Y267" s="514">
        <f>IFERROR(INDEX('[2]CN BC'!$M$10:$M$276,MATCH(B267,'[2]CN BC'!$H$10:$H$276,0)),"")</f>
        <v>0</v>
      </c>
      <c r="Z267" s="147"/>
      <c r="AA267" s="491"/>
      <c r="AB267" s="114"/>
      <c r="AC267" s="508"/>
    </row>
    <row r="268" spans="1:39" s="387" customFormat="1" ht="24" customHeight="1">
      <c r="A268" s="394">
        <f>_xlfn.AGGREGATE(4,7,A$11:A267)+1</f>
        <v>257</v>
      </c>
      <c r="B268" s="406" t="s">
        <v>2003</v>
      </c>
      <c r="C268" s="379"/>
      <c r="D268" s="394"/>
      <c r="E268" s="440"/>
      <c r="F268" s="483">
        <v>3.33</v>
      </c>
      <c r="G268" s="382"/>
      <c r="H268" s="465">
        <f t="shared" si="69"/>
        <v>3.33</v>
      </c>
      <c r="I268" s="383"/>
      <c r="J268" s="384">
        <f t="shared" si="70"/>
        <v>3.33</v>
      </c>
      <c r="K268" s="377">
        <f t="shared" si="71"/>
        <v>5994000</v>
      </c>
      <c r="L268" s="381" t="str">
        <f>VLOOKUP(B268,'[1]Gui chi Quynh'!$B$7:$F$397,5,FALSE)</f>
        <v>A4</v>
      </c>
      <c r="M268" s="515">
        <f t="shared" si="68"/>
        <v>5994000</v>
      </c>
      <c r="N268" s="391">
        <v>21</v>
      </c>
      <c r="O268" s="459">
        <f>IFERROR(INDEX('[2]CN BC'!$J$10:$J$276,MATCH(B268,'[2]CN BC'!$H$10:$H$276,0)),"")</f>
        <v>21</v>
      </c>
      <c r="P268" s="515">
        <f t="shared" si="63"/>
        <v>5994000</v>
      </c>
      <c r="Q268" s="480"/>
      <c r="R268" s="377">
        <f t="shared" si="72"/>
        <v>0</v>
      </c>
      <c r="S268" s="385"/>
      <c r="T268" s="377">
        <f t="shared" si="67"/>
        <v>0</v>
      </c>
      <c r="U268" s="377">
        <f t="shared" si="61"/>
        <v>59940</v>
      </c>
      <c r="V268" s="386">
        <f t="shared" si="73"/>
        <v>6053940</v>
      </c>
      <c r="W268" s="487">
        <v>24</v>
      </c>
      <c r="X268" s="606">
        <f t="shared" si="62"/>
        <v>257</v>
      </c>
      <c r="Y268" s="514">
        <f>IFERROR(INDEX('[2]CN BC'!$M$10:$M$276,MATCH(B268,'[2]CN BC'!$H$10:$H$276,0)),"")</f>
        <v>0</v>
      </c>
      <c r="Z268" s="147"/>
      <c r="AA268" s="491"/>
      <c r="AB268" s="114"/>
      <c r="AC268" s="508"/>
    </row>
    <row r="269" spans="1:39" s="387" customFormat="1" ht="24" customHeight="1">
      <c r="A269" s="394">
        <f>_xlfn.AGGREGATE(4,7,A$11:A268)+1</f>
        <v>258</v>
      </c>
      <c r="B269" s="406" t="s">
        <v>2010</v>
      </c>
      <c r="C269" s="379"/>
      <c r="D269" s="394"/>
      <c r="E269" s="440"/>
      <c r="F269" s="483">
        <v>1.9890000000000001</v>
      </c>
      <c r="G269" s="382"/>
      <c r="H269" s="465">
        <f t="shared" si="69"/>
        <v>1.9890000000000001</v>
      </c>
      <c r="I269" s="383"/>
      <c r="J269" s="384">
        <f t="shared" si="70"/>
        <v>1.9890000000000001</v>
      </c>
      <c r="K269" s="377">
        <f t="shared" si="71"/>
        <v>3580200</v>
      </c>
      <c r="L269" s="381" t="str">
        <f>VLOOKUP(B269,'[1]Gui chi Quynh'!$B$7:$F$397,5,FALSE)</f>
        <v>A4</v>
      </c>
      <c r="M269" s="515">
        <f t="shared" si="68"/>
        <v>3580200</v>
      </c>
      <c r="N269" s="391">
        <v>21</v>
      </c>
      <c r="O269" s="459">
        <f>IFERROR(INDEX('[2]CN BC'!$J$10:$J$276,MATCH(B269,'[2]CN BC'!$H$10:$H$276,0)),"")</f>
        <v>21</v>
      </c>
      <c r="P269" s="515">
        <f t="shared" si="63"/>
        <v>3580200</v>
      </c>
      <c r="Q269" s="480"/>
      <c r="R269" s="377">
        <f t="shared" si="72"/>
        <v>0</v>
      </c>
      <c r="S269" s="385"/>
      <c r="T269" s="377">
        <f t="shared" si="67"/>
        <v>0</v>
      </c>
      <c r="U269" s="377">
        <f t="shared" si="61"/>
        <v>35802</v>
      </c>
      <c r="V269" s="386">
        <f t="shared" si="73"/>
        <v>3616002</v>
      </c>
      <c r="W269" s="487"/>
      <c r="X269" s="606">
        <f t="shared" si="62"/>
        <v>258</v>
      </c>
      <c r="Y269" s="514">
        <f>IFERROR(INDEX('[2]CN BC'!$M$10:$M$276,MATCH(B269,'[2]CN BC'!$H$10:$H$276,0)),"")</f>
        <v>0</v>
      </c>
      <c r="Z269" s="567"/>
      <c r="AA269" s="573"/>
      <c r="AC269" s="508"/>
    </row>
    <row r="270" spans="1:39" s="387" customFormat="1" ht="24" customHeight="1">
      <c r="A270" s="394">
        <f>_xlfn.AGGREGATE(4,7,A$11:A269)+1</f>
        <v>259</v>
      </c>
      <c r="B270" s="378" t="s">
        <v>1554</v>
      </c>
      <c r="C270" s="379" t="s">
        <v>1197</v>
      </c>
      <c r="D270" s="452" t="s">
        <v>1818</v>
      </c>
      <c r="E270" s="453" t="s">
        <v>1570</v>
      </c>
      <c r="F270" s="388">
        <v>3.66</v>
      </c>
      <c r="G270" s="382"/>
      <c r="H270" s="465">
        <f t="shared" si="69"/>
        <v>3.66</v>
      </c>
      <c r="I270" s="467">
        <v>0.45</v>
      </c>
      <c r="J270" s="384">
        <f t="shared" si="70"/>
        <v>4.1100000000000003</v>
      </c>
      <c r="K270" s="377">
        <f t="shared" si="71"/>
        <v>7398000.0000000009</v>
      </c>
      <c r="L270" s="381" t="str">
        <f>VLOOKUP(B270,'[1]Gui chi Quynh'!$B$7:$F$397,5,FALSE)</f>
        <v>A1</v>
      </c>
      <c r="M270" s="515">
        <f t="shared" si="68"/>
        <v>11836800.000000002</v>
      </c>
      <c r="N270" s="391">
        <v>21</v>
      </c>
      <c r="O270" s="459">
        <f>IFERROR(INDEX('[2]CN BC'!$J$10:$J$276,MATCH(B270,'[2]CN BC'!$H$10:$H$276,0)),"")</f>
        <v>21</v>
      </c>
      <c r="P270" s="515">
        <f t="shared" si="63"/>
        <v>11836800.000000002</v>
      </c>
      <c r="Q270" s="480"/>
      <c r="R270" s="377">
        <f t="shared" si="72"/>
        <v>0</v>
      </c>
      <c r="S270" s="385"/>
      <c r="T270" s="377">
        <f t="shared" si="67"/>
        <v>0</v>
      </c>
      <c r="U270" s="377">
        <f t="shared" si="61"/>
        <v>73980</v>
      </c>
      <c r="V270" s="386">
        <f t="shared" si="73"/>
        <v>11910780.000000002</v>
      </c>
      <c r="W270" s="459">
        <v>23</v>
      </c>
      <c r="X270" s="606">
        <f t="shared" si="62"/>
        <v>259</v>
      </c>
      <c r="Y270" s="514">
        <f>IFERROR(INDEX('[2]CN BC'!$M$10:$M$276,MATCH(B270,'[2]CN BC'!$H$10:$H$276,0)),"")</f>
        <v>0</v>
      </c>
      <c r="Z270" s="147"/>
      <c r="AA270" s="113"/>
      <c r="AB270" s="114"/>
      <c r="AC270" s="161"/>
      <c r="AD270" s="114"/>
      <c r="AE270" s="114"/>
      <c r="AF270" s="114"/>
      <c r="AG270" s="114"/>
      <c r="AH270" s="114"/>
      <c r="AI270" s="114"/>
    </row>
    <row r="271" spans="1:39" s="387" customFormat="1" ht="24" customHeight="1">
      <c r="A271" s="394">
        <f>_xlfn.AGGREGATE(4,7,A$11:A270)+1</f>
        <v>260</v>
      </c>
      <c r="B271" s="378" t="s">
        <v>1920</v>
      </c>
      <c r="C271" s="379" t="s">
        <v>1051</v>
      </c>
      <c r="D271" s="452" t="s">
        <v>1819</v>
      </c>
      <c r="E271" s="441" t="s">
        <v>1414</v>
      </c>
      <c r="F271" s="381">
        <v>4.6500000000000004</v>
      </c>
      <c r="G271" s="382"/>
      <c r="H271" s="383">
        <f t="shared" si="69"/>
        <v>4.6500000000000004</v>
      </c>
      <c r="I271" s="492">
        <v>0.25</v>
      </c>
      <c r="J271" s="384">
        <f t="shared" si="70"/>
        <v>4.9000000000000004</v>
      </c>
      <c r="K271" s="377">
        <f t="shared" si="71"/>
        <v>8820000</v>
      </c>
      <c r="L271" s="381" t="str">
        <f>VLOOKUP(B271,'[1]Gui chi Quynh'!$B$7:$F$397,5,FALSE)</f>
        <v>A3</v>
      </c>
      <c r="M271" s="515">
        <f t="shared" si="68"/>
        <v>10584000</v>
      </c>
      <c r="N271" s="391">
        <v>21</v>
      </c>
      <c r="O271" s="459">
        <f>IFERROR(INDEX('[2]CN BC'!$J$10:$J$276,MATCH(B271,'[2]CN BC'!$H$10:$H$276,0)),"")</f>
        <v>21</v>
      </c>
      <c r="P271" s="515">
        <f t="shared" si="63"/>
        <v>10584000</v>
      </c>
      <c r="Q271" s="480"/>
      <c r="R271" s="377">
        <f t="shared" si="72"/>
        <v>0</v>
      </c>
      <c r="S271" s="385"/>
      <c r="T271" s="377">
        <f t="shared" si="67"/>
        <v>0</v>
      </c>
      <c r="U271" s="377">
        <f t="shared" si="61"/>
        <v>88200</v>
      </c>
      <c r="V271" s="386">
        <f t="shared" si="73"/>
        <v>10672200</v>
      </c>
      <c r="W271" s="459">
        <v>23</v>
      </c>
      <c r="X271" s="606">
        <f t="shared" si="62"/>
        <v>260</v>
      </c>
      <c r="Y271" s="514">
        <f>IFERROR(INDEX('[2]CN BC'!$M$10:$M$276,MATCH(B271,'[2]CN BC'!$H$10:$H$276,0)),"")</f>
        <v>0</v>
      </c>
      <c r="Z271" s="147"/>
      <c r="AA271" s="113"/>
      <c r="AB271" s="114"/>
      <c r="AC271" s="161"/>
      <c r="AD271" s="114"/>
      <c r="AE271" s="114"/>
      <c r="AF271" s="114"/>
      <c r="AG271" s="114"/>
      <c r="AH271" s="114"/>
      <c r="AI271" s="114"/>
    </row>
    <row r="272" spans="1:39" s="387" customFormat="1" ht="24" customHeight="1">
      <c r="A272" s="394">
        <f>_xlfn.AGGREGATE(4,7,A$11:A271)+1</f>
        <v>261</v>
      </c>
      <c r="B272" s="378" t="s">
        <v>1921</v>
      </c>
      <c r="C272" s="379" t="s">
        <v>1083</v>
      </c>
      <c r="D272" s="424" t="s">
        <v>1820</v>
      </c>
      <c r="E272" s="441" t="s">
        <v>1415</v>
      </c>
      <c r="F272" s="381">
        <v>4.6500000000000004</v>
      </c>
      <c r="G272" s="382"/>
      <c r="H272" s="383">
        <f t="shared" si="69"/>
        <v>4.6500000000000004</v>
      </c>
      <c r="I272" s="413">
        <v>0.25</v>
      </c>
      <c r="J272" s="384">
        <f t="shared" si="70"/>
        <v>4.9000000000000004</v>
      </c>
      <c r="K272" s="377">
        <f t="shared" si="71"/>
        <v>8820000</v>
      </c>
      <c r="L272" s="381" t="str">
        <f>VLOOKUP(B272,'[1]Gui chi Quynh'!$B$7:$F$397,5,FALSE)</f>
        <v>A4</v>
      </c>
      <c r="M272" s="515">
        <f t="shared" si="68"/>
        <v>8820000</v>
      </c>
      <c r="N272" s="391">
        <v>21</v>
      </c>
      <c r="O272" s="459">
        <f>IFERROR(INDEX('[2]CN BC'!$J$10:$J$276,MATCH(B272,'[2]CN BC'!$H$10:$H$276,0)),"")</f>
        <v>21</v>
      </c>
      <c r="P272" s="515">
        <f t="shared" si="63"/>
        <v>8820000</v>
      </c>
      <c r="Q272" s="409"/>
      <c r="R272" s="377">
        <f t="shared" si="72"/>
        <v>0</v>
      </c>
      <c r="S272" s="401"/>
      <c r="T272" s="377">
        <f t="shared" si="67"/>
        <v>0</v>
      </c>
      <c r="U272" s="377">
        <f t="shared" ref="U272:U278" si="74">IF(OR(L272="A DN",L272="KXL", L272=""),"0",ROUND(J272*0.01*$G$8+Q272*1%*$G$8+S272*1%*$G$8,))</f>
        <v>88200</v>
      </c>
      <c r="V272" s="386">
        <f t="shared" si="73"/>
        <v>8908200</v>
      </c>
      <c r="W272" s="459">
        <v>23</v>
      </c>
      <c r="X272" s="606">
        <f t="shared" ref="X272:X278" si="75">A272</f>
        <v>261</v>
      </c>
      <c r="Y272" s="514">
        <f>IFERROR(INDEX('[2]CN BC'!$M$10:$M$276,MATCH(B272,'[2]CN BC'!$H$10:$H$276,0)),"")</f>
        <v>0</v>
      </c>
      <c r="Z272" s="147"/>
      <c r="AA272" s="113"/>
      <c r="AB272" s="114"/>
      <c r="AC272" s="161"/>
      <c r="AD272" s="114"/>
      <c r="AE272" s="114"/>
      <c r="AF272" s="114"/>
      <c r="AG272" s="114"/>
      <c r="AH272" s="114"/>
      <c r="AI272" s="114"/>
      <c r="AJ272" s="114"/>
      <c r="AK272" s="114"/>
      <c r="AL272" s="114"/>
      <c r="AM272" s="114"/>
    </row>
    <row r="273" spans="1:39" s="387" customFormat="1" ht="29.25" customHeight="1">
      <c r="A273" s="394">
        <f>_xlfn.AGGREGATE(4,7,A$11:A272)+1</f>
        <v>262</v>
      </c>
      <c r="B273" s="378" t="s">
        <v>1922</v>
      </c>
      <c r="C273" s="379" t="s">
        <v>863</v>
      </c>
      <c r="D273" s="452" t="s">
        <v>1821</v>
      </c>
      <c r="E273" s="441" t="s">
        <v>392</v>
      </c>
      <c r="F273" s="388">
        <v>3.66</v>
      </c>
      <c r="G273" s="382"/>
      <c r="H273" s="383">
        <f t="shared" si="69"/>
        <v>3.66</v>
      </c>
      <c r="I273" s="383"/>
      <c r="J273" s="384">
        <f t="shared" si="70"/>
        <v>3.66</v>
      </c>
      <c r="K273" s="377">
        <f t="shared" si="71"/>
        <v>6588000</v>
      </c>
      <c r="L273" s="381" t="str">
        <f>VLOOKUP(B273,'[1]Gui chi Quynh'!$B$7:$F$397,5,FALSE)</f>
        <v>A4</v>
      </c>
      <c r="M273" s="515">
        <f t="shared" si="68"/>
        <v>6588000</v>
      </c>
      <c r="N273" s="391">
        <v>21</v>
      </c>
      <c r="O273" s="459">
        <f>IFERROR(INDEX('[2]CN BC'!$J$10:$J$276,MATCH(B273,'[2]CN BC'!$H$10:$H$276,0)),"")</f>
        <v>21</v>
      </c>
      <c r="P273" s="515">
        <f t="shared" si="63"/>
        <v>6588000</v>
      </c>
      <c r="Q273" s="480"/>
      <c r="R273" s="377">
        <f t="shared" si="72"/>
        <v>0</v>
      </c>
      <c r="S273" s="385"/>
      <c r="T273" s="377">
        <f t="shared" si="67"/>
        <v>0</v>
      </c>
      <c r="U273" s="377">
        <f t="shared" si="74"/>
        <v>65880</v>
      </c>
      <c r="V273" s="386">
        <f>(P273+R273+T273+U273)</f>
        <v>6653880</v>
      </c>
      <c r="W273" s="487">
        <v>23</v>
      </c>
      <c r="X273" s="606">
        <f t="shared" si="75"/>
        <v>262</v>
      </c>
      <c r="Y273" s="514">
        <f>IFERROR(INDEX('[2]CN BC'!$M$10:$M$276,MATCH(B273,'[2]CN BC'!$H$10:$H$276,0)),"")</f>
        <v>0</v>
      </c>
      <c r="Z273" s="567"/>
      <c r="AA273" s="568"/>
      <c r="AC273" s="508"/>
    </row>
    <row r="274" spans="1:39" s="387" customFormat="1" ht="24" customHeight="1">
      <c r="A274" s="394">
        <f>_xlfn.AGGREGATE(4,7,A$11:A273)+1</f>
        <v>263</v>
      </c>
      <c r="B274" s="378" t="s">
        <v>1923</v>
      </c>
      <c r="C274" s="379" t="s">
        <v>1013</v>
      </c>
      <c r="D274" s="452" t="s">
        <v>1822</v>
      </c>
      <c r="E274" s="446" t="s">
        <v>511</v>
      </c>
      <c r="F274" s="388">
        <v>3.66</v>
      </c>
      <c r="G274" s="382"/>
      <c r="H274" s="465">
        <f t="shared" si="69"/>
        <v>3.66</v>
      </c>
      <c r="I274" s="383"/>
      <c r="J274" s="384">
        <f t="shared" si="70"/>
        <v>3.66</v>
      </c>
      <c r="K274" s="377">
        <f t="shared" si="71"/>
        <v>6588000</v>
      </c>
      <c r="L274" s="381" t="str">
        <f>VLOOKUP(B274,'[1]Gui chi Quynh'!$B$7:$F$397,5,FALSE)</f>
        <v>A4</v>
      </c>
      <c r="M274" s="515">
        <f t="shared" si="68"/>
        <v>6588000</v>
      </c>
      <c r="N274" s="391">
        <v>21</v>
      </c>
      <c r="O274" s="459">
        <f>IFERROR(INDEX('[2]CN BC'!$J$10:$J$276,MATCH(B274,'[2]CN BC'!$H$10:$H$276,0)),"")</f>
        <v>21</v>
      </c>
      <c r="P274" s="515">
        <f>IF(O274&gt;=N274,M274,M274/N274*O274)</f>
        <v>6588000</v>
      </c>
      <c r="Q274" s="480"/>
      <c r="R274" s="377">
        <f t="shared" si="72"/>
        <v>0</v>
      </c>
      <c r="S274" s="385"/>
      <c r="T274" s="377">
        <f t="shared" si="67"/>
        <v>0</v>
      </c>
      <c r="U274" s="377">
        <f t="shared" si="74"/>
        <v>65880</v>
      </c>
      <c r="V274" s="386">
        <f t="shared" si="73"/>
        <v>6653880</v>
      </c>
      <c r="W274" s="487">
        <v>23</v>
      </c>
      <c r="X274" s="606">
        <f t="shared" si="75"/>
        <v>263</v>
      </c>
      <c r="Y274" s="514">
        <f>IFERROR(INDEX('[2]CN BC'!$M$10:$M$276,MATCH(B274,'[2]CN BC'!$H$10:$H$276,0)),"")</f>
        <v>0</v>
      </c>
      <c r="Z274" s="147"/>
      <c r="AA274" s="113"/>
      <c r="AB274" s="114"/>
      <c r="AC274" s="508"/>
    </row>
    <row r="275" spans="1:39" s="387" customFormat="1" ht="24" customHeight="1">
      <c r="A275" s="394">
        <f>_xlfn.AGGREGATE(4,7,A$11:A274)+1</f>
        <v>264</v>
      </c>
      <c r="B275" s="378" t="s">
        <v>1552</v>
      </c>
      <c r="C275" s="379" t="s">
        <v>981</v>
      </c>
      <c r="D275" s="452" t="s">
        <v>1823</v>
      </c>
      <c r="E275" s="441" t="s">
        <v>1418</v>
      </c>
      <c r="F275" s="381">
        <v>4.32</v>
      </c>
      <c r="G275" s="382"/>
      <c r="H275" s="383">
        <f t="shared" si="69"/>
        <v>4.32</v>
      </c>
      <c r="I275" s="383"/>
      <c r="J275" s="384">
        <f t="shared" si="70"/>
        <v>4.32</v>
      </c>
      <c r="K275" s="377">
        <f t="shared" si="71"/>
        <v>7776000.0000000009</v>
      </c>
      <c r="L275" s="381" t="str">
        <f>VLOOKUP(B275,'[1]Gui chi Quynh'!$B$7:$F$397,5,FALSE)</f>
        <v>A4</v>
      </c>
      <c r="M275" s="515">
        <f t="shared" si="68"/>
        <v>7776000.0000000009</v>
      </c>
      <c r="N275" s="391">
        <v>21</v>
      </c>
      <c r="O275" s="459">
        <f>IFERROR(INDEX('[2]CN BC'!$J$10:$J$276,MATCH(B275,'[2]CN BC'!$H$10:$H$276,0)),"")</f>
        <v>21</v>
      </c>
      <c r="P275" s="515">
        <f>IF(O275&gt;=N275,M275,M275/N275*O275)</f>
        <v>7776000.0000000009</v>
      </c>
      <c r="Q275" s="480"/>
      <c r="R275" s="377">
        <f t="shared" si="72"/>
        <v>0</v>
      </c>
      <c r="S275" s="385"/>
      <c r="T275" s="377">
        <f t="shared" si="67"/>
        <v>0</v>
      </c>
      <c r="U275" s="377">
        <f t="shared" si="74"/>
        <v>77760</v>
      </c>
      <c r="V275" s="386">
        <f t="shared" si="73"/>
        <v>7853760.0000000009</v>
      </c>
      <c r="W275" s="487">
        <v>23</v>
      </c>
      <c r="X275" s="606">
        <f t="shared" si="75"/>
        <v>264</v>
      </c>
      <c r="Y275" s="514">
        <f>IFERROR(INDEX('[2]CN BC'!$M$10:$M$276,MATCH(B275,'[2]CN BC'!$H$10:$H$276,0)),"")</f>
        <v>0</v>
      </c>
      <c r="Z275" s="147"/>
      <c r="AA275" s="113"/>
      <c r="AB275" s="114"/>
      <c r="AC275" s="508"/>
    </row>
    <row r="276" spans="1:39" s="387" customFormat="1" ht="24" customHeight="1">
      <c r="A276" s="394">
        <f>_xlfn.AGGREGATE(4,7,A$11:A275)+1</f>
        <v>265</v>
      </c>
      <c r="B276" s="378" t="s">
        <v>1940</v>
      </c>
      <c r="C276" s="379"/>
      <c r="D276" s="452" t="s">
        <v>1991</v>
      </c>
      <c r="E276" s="441" t="s">
        <v>1992</v>
      </c>
      <c r="F276" s="388">
        <v>3.33</v>
      </c>
      <c r="G276" s="382"/>
      <c r="H276" s="465">
        <f t="shared" si="69"/>
        <v>3.33</v>
      </c>
      <c r="I276" s="383"/>
      <c r="J276" s="384">
        <f t="shared" si="70"/>
        <v>3.33</v>
      </c>
      <c r="K276" s="377">
        <f t="shared" si="71"/>
        <v>5994000</v>
      </c>
      <c r="L276" s="381" t="str">
        <f>VLOOKUP(B276,'[1]Gui chi Quynh'!$B$7:$F$397,5,FALSE)</f>
        <v>A1</v>
      </c>
      <c r="M276" s="515">
        <f t="shared" si="68"/>
        <v>9590400</v>
      </c>
      <c r="N276" s="391">
        <v>21</v>
      </c>
      <c r="O276" s="459">
        <f>IFERROR(INDEX('[2]CN BC'!$J$10:$J$276,MATCH(B276,'[2]CN BC'!$H$10:$H$276,0)),"")</f>
        <v>21</v>
      </c>
      <c r="P276" s="515">
        <f>IF(O276&gt;=N276,M276,M276/N276*O276)</f>
        <v>9590400</v>
      </c>
      <c r="Q276" s="480"/>
      <c r="R276" s="377">
        <f t="shared" si="72"/>
        <v>0</v>
      </c>
      <c r="S276" s="385"/>
      <c r="T276" s="377">
        <f>S276*$G$8*1</f>
        <v>0</v>
      </c>
      <c r="U276" s="377">
        <f t="shared" si="74"/>
        <v>59940</v>
      </c>
      <c r="V276" s="386">
        <f>(P276+R276+T276+U276)</f>
        <v>9650340</v>
      </c>
      <c r="W276" s="487">
        <v>23</v>
      </c>
      <c r="X276" s="606">
        <f t="shared" si="75"/>
        <v>265</v>
      </c>
      <c r="Y276" s="514">
        <f>IFERROR(INDEX('[2]CN BC'!$M$10:$M$276,MATCH(B276,'[2]CN BC'!$H$10:$H$276,0)),"")</f>
        <v>0</v>
      </c>
      <c r="Z276" s="147"/>
      <c r="AA276" s="113"/>
      <c r="AB276" s="114"/>
      <c r="AC276" s="161"/>
      <c r="AD276" s="114"/>
      <c r="AE276" s="114"/>
      <c r="AF276" s="114"/>
      <c r="AG276" s="114"/>
      <c r="AH276" s="114"/>
      <c r="AI276" s="114"/>
    </row>
    <row r="277" spans="1:39" s="114" customFormat="1" ht="24" customHeight="1">
      <c r="A277" s="394">
        <f>_xlfn.AGGREGATE(4,7,A$11:A276)+1</f>
        <v>266</v>
      </c>
      <c r="B277" s="37" t="s">
        <v>1553</v>
      </c>
      <c r="C277" s="421" t="s">
        <v>501</v>
      </c>
      <c r="D277" s="424" t="s">
        <v>1824</v>
      </c>
      <c r="E277" s="454">
        <v>1603205246186</v>
      </c>
      <c r="F277" s="381">
        <v>4.9800000000000004</v>
      </c>
      <c r="G277" s="382"/>
      <c r="H277" s="383">
        <f t="shared" si="69"/>
        <v>4.9800000000000004</v>
      </c>
      <c r="I277" s="383"/>
      <c r="J277" s="384">
        <f t="shared" si="70"/>
        <v>4.9800000000000004</v>
      </c>
      <c r="K277" s="377">
        <f t="shared" si="71"/>
        <v>8964000</v>
      </c>
      <c r="L277" s="381" t="str">
        <f>VLOOKUP(B277,'[1]Gui chi Quynh'!$B$7:$F$397,5,FALSE)</f>
        <v>A4</v>
      </c>
      <c r="M277" s="515">
        <f t="shared" si="68"/>
        <v>8964000</v>
      </c>
      <c r="N277" s="391">
        <v>21</v>
      </c>
      <c r="O277" s="459">
        <f>IFERROR(INDEX('[2]CN BC'!$J$10:$J$276,MATCH(B277,'[2]CN BC'!$H$10:$H$276,0)),"")</f>
        <v>21</v>
      </c>
      <c r="P277" s="515">
        <f>IF(O277&gt;=N277,M277,M277/N277*O277)</f>
        <v>8964000</v>
      </c>
      <c r="Q277" s="409"/>
      <c r="R277" s="377">
        <f t="shared" si="72"/>
        <v>0</v>
      </c>
      <c r="S277" s="422"/>
      <c r="T277" s="377">
        <f>S277*$G$8*1</f>
        <v>0</v>
      </c>
      <c r="U277" s="377">
        <f t="shared" si="74"/>
        <v>89640</v>
      </c>
      <c r="V277" s="386">
        <f t="shared" si="73"/>
        <v>9053640</v>
      </c>
      <c r="W277" s="459">
        <v>23</v>
      </c>
      <c r="X277" s="606">
        <f t="shared" si="75"/>
        <v>266</v>
      </c>
      <c r="Y277" s="514">
        <f>IFERROR(INDEX('[2]CN BC'!$M$10:$M$276,MATCH(B277,'[2]CN BC'!$H$10:$H$276,0)),"")</f>
        <v>0</v>
      </c>
      <c r="Z277" s="147"/>
      <c r="AA277" s="113"/>
      <c r="AC277" s="161"/>
    </row>
    <row r="278" spans="1:39" s="387" customFormat="1" ht="24" customHeight="1">
      <c r="A278" s="394">
        <f>_xlfn.AGGREGATE(4,7,A$11:A277)+1</f>
        <v>267</v>
      </c>
      <c r="B278" s="378" t="s">
        <v>1560</v>
      </c>
      <c r="C278" s="379"/>
      <c r="D278" s="504" t="s">
        <v>1825</v>
      </c>
      <c r="E278" s="505">
        <v>1603215002692</v>
      </c>
      <c r="F278" s="388">
        <v>3.33</v>
      </c>
      <c r="G278" s="382"/>
      <c r="H278" s="465">
        <f t="shared" si="69"/>
        <v>3.33</v>
      </c>
      <c r="I278" s="383">
        <v>0.35</v>
      </c>
      <c r="J278" s="384">
        <f t="shared" si="70"/>
        <v>3.68</v>
      </c>
      <c r="K278" s="377">
        <f t="shared" si="71"/>
        <v>6624000</v>
      </c>
      <c r="L278" s="381" t="str">
        <f>VLOOKUP(B278,'[1]Gui chi Quynh'!$B$7:$F$397,5,FALSE)</f>
        <v>A4</v>
      </c>
      <c r="M278" s="515">
        <f t="shared" si="68"/>
        <v>6624000</v>
      </c>
      <c r="N278" s="391">
        <v>21</v>
      </c>
      <c r="O278" s="459">
        <f>IFERROR(INDEX('[2]CN BC'!$J$10:$J$276,MATCH(B278,'[2]CN BC'!$H$10:$H$276,0)),"")</f>
        <v>21</v>
      </c>
      <c r="P278" s="515">
        <f>IF(O278&gt;=N278,M278,M278/N278*O278)</f>
        <v>6624000</v>
      </c>
      <c r="Q278" s="409"/>
      <c r="R278" s="377">
        <f t="shared" si="72"/>
        <v>0</v>
      </c>
      <c r="S278" s="401"/>
      <c r="T278" s="377">
        <f>S278*$G$8*1</f>
        <v>0</v>
      </c>
      <c r="U278" s="377">
        <f t="shared" si="74"/>
        <v>66240</v>
      </c>
      <c r="V278" s="386">
        <f t="shared" si="73"/>
        <v>6690240</v>
      </c>
      <c r="W278" s="495">
        <v>23</v>
      </c>
      <c r="X278" s="606">
        <f t="shared" si="75"/>
        <v>267</v>
      </c>
      <c r="Y278" s="514">
        <f>IFERROR(INDEX('[2]CN BC'!$M$10:$M$276,MATCH(B278,'[2]CN BC'!$H$10:$H$276,0)),"")</f>
        <v>0</v>
      </c>
      <c r="Z278" s="147"/>
      <c r="AA278" s="113"/>
      <c r="AB278" s="114"/>
      <c r="AC278" s="161"/>
      <c r="AD278" s="114"/>
      <c r="AE278" s="114"/>
      <c r="AF278" s="114"/>
      <c r="AG278" s="114"/>
      <c r="AH278" s="114"/>
      <c r="AI278" s="114"/>
      <c r="AJ278" s="114"/>
      <c r="AK278" s="114"/>
      <c r="AL278" s="114"/>
      <c r="AM278" s="114"/>
    </row>
    <row r="279" spans="1:39" s="130" customFormat="1" ht="21.75" customHeight="1">
      <c r="A279" s="361"/>
      <c r="B279" s="428" t="s">
        <v>1109</v>
      </c>
      <c r="C279" s="429"/>
      <c r="D279" s="430"/>
      <c r="E279" s="362"/>
      <c r="F279" s="431">
        <f t="shared" ref="F279:K279" si="76">SUM(F12:F278)</f>
        <v>1012.1950000000006</v>
      </c>
      <c r="G279" s="431">
        <f t="shared" si="76"/>
        <v>2.6900000000000004</v>
      </c>
      <c r="H279" s="431">
        <f t="shared" si="76"/>
        <v>1025.4992000000007</v>
      </c>
      <c r="I279" s="431">
        <f t="shared" si="76"/>
        <v>25.099999999999998</v>
      </c>
      <c r="J279" s="431">
        <f t="shared" si="76"/>
        <v>1050.5992000000008</v>
      </c>
      <c r="K279" s="432">
        <f t="shared" si="76"/>
        <v>1891078560</v>
      </c>
      <c r="L279" s="431"/>
      <c r="M279" s="433">
        <f t="shared" ref="M279:V279" si="77">SUM(M12:M278)</f>
        <v>2257337952</v>
      </c>
      <c r="N279" s="433">
        <f t="shared" si="77"/>
        <v>5607</v>
      </c>
      <c r="O279" s="434">
        <f t="shared" si="77"/>
        <v>5772.5</v>
      </c>
      <c r="P279" s="433">
        <f t="shared" si="77"/>
        <v>2252699352</v>
      </c>
      <c r="Q279" s="496">
        <f t="shared" si="77"/>
        <v>9.9600000000000008E-2</v>
      </c>
      <c r="R279" s="433">
        <f t="shared" si="77"/>
        <v>286848</v>
      </c>
      <c r="S279" s="435">
        <f t="shared" si="77"/>
        <v>0</v>
      </c>
      <c r="T279" s="433">
        <f t="shared" si="77"/>
        <v>0</v>
      </c>
      <c r="U279" s="433">
        <f t="shared" si="77"/>
        <v>18768774</v>
      </c>
      <c r="V279" s="433">
        <f t="shared" si="77"/>
        <v>2271754974</v>
      </c>
      <c r="W279" s="462"/>
      <c r="X279" s="363"/>
      <c r="Y279" s="362"/>
      <c r="Z279" s="457"/>
      <c r="AA279" s="521"/>
      <c r="AC279" s="162"/>
    </row>
    <row r="280" spans="1:39" ht="2.25" customHeight="1">
      <c r="F280" s="1"/>
      <c r="G280" s="4"/>
      <c r="K280" s="371"/>
      <c r="L280" s="1"/>
      <c r="M280" s="3"/>
      <c r="N280" s="1"/>
      <c r="O280" s="1"/>
      <c r="P280" s="3"/>
      <c r="Q280" s="471"/>
      <c r="R280" s="3"/>
      <c r="S280" s="398"/>
      <c r="T280" s="3"/>
      <c r="U280" s="3"/>
      <c r="V280" s="3"/>
      <c r="W280" s="3"/>
    </row>
    <row r="281" spans="1:39" s="16" customFormat="1" ht="21.75" customHeight="1">
      <c r="B281" s="513" t="s">
        <v>2029</v>
      </c>
      <c r="C281" s="19"/>
      <c r="D281" s="19"/>
      <c r="E281" s="19"/>
      <c r="F281" s="15"/>
      <c r="G281" s="15"/>
      <c r="H281" s="15"/>
      <c r="I281" s="15"/>
      <c r="J281" s="85"/>
      <c r="K281" s="369"/>
      <c r="L281" s="18"/>
      <c r="M281" s="17"/>
      <c r="N281" s="18"/>
      <c r="O281" s="18"/>
      <c r="P281" s="48"/>
      <c r="Q281" s="470"/>
      <c r="R281" s="17"/>
      <c r="S281" s="397"/>
      <c r="T281" s="17"/>
      <c r="U281" s="17"/>
      <c r="V281" s="48"/>
      <c r="W281" s="48"/>
      <c r="Y281" s="102"/>
      <c r="Z281" s="111"/>
      <c r="AA281" s="517"/>
      <c r="AC281" s="158"/>
    </row>
    <row r="282" spans="1:39" s="16" customFormat="1" ht="3.75" customHeight="1">
      <c r="B282" s="41"/>
      <c r="C282" s="19"/>
      <c r="D282" s="19"/>
      <c r="E282" s="19"/>
      <c r="F282" s="15"/>
      <c r="G282" s="15"/>
      <c r="H282" s="15"/>
      <c r="I282" s="15"/>
      <c r="J282" s="85"/>
      <c r="K282" s="369"/>
      <c r="L282" s="18"/>
      <c r="M282" s="17"/>
      <c r="N282" s="18"/>
      <c r="O282" s="18"/>
      <c r="P282" s="48"/>
      <c r="Q282" s="470"/>
      <c r="R282" s="17"/>
      <c r="S282" s="397"/>
      <c r="T282" s="17"/>
      <c r="U282" s="17"/>
      <c r="V282" s="48"/>
      <c r="W282" s="48"/>
      <c r="Y282" s="102"/>
      <c r="Z282" s="111"/>
      <c r="AA282" s="517"/>
      <c r="AC282" s="158"/>
    </row>
    <row r="283" spans="1:39" ht="15.75">
      <c r="F283" s="1"/>
      <c r="G283" s="4"/>
      <c r="K283" s="370"/>
      <c r="L283" s="1"/>
      <c r="M283" s="3"/>
      <c r="N283" s="1"/>
      <c r="O283" s="1"/>
      <c r="P283" s="1"/>
      <c r="Q283" s="476"/>
      <c r="R283" s="1"/>
      <c r="S283" s="402"/>
      <c r="U283" s="635" t="s">
        <v>2028</v>
      </c>
      <c r="V283" s="635"/>
      <c r="W283" s="635"/>
      <c r="X283" s="635"/>
      <c r="Y283" s="635"/>
    </row>
    <row r="284" spans="1:39" s="16" customFormat="1">
      <c r="A284" s="622" t="s">
        <v>859</v>
      </c>
      <c r="B284" s="622"/>
      <c r="C284" s="19"/>
      <c r="D284" s="19"/>
      <c r="E284" s="19"/>
      <c r="F284" s="19"/>
      <c r="G284" s="19"/>
      <c r="H284" s="19"/>
      <c r="I284" s="13"/>
      <c r="J284" s="626" t="s">
        <v>1446</v>
      </c>
      <c r="K284" s="626"/>
      <c r="L284" s="626"/>
      <c r="M284" s="626"/>
      <c r="N284" s="626"/>
      <c r="P284" s="622" t="s">
        <v>1191</v>
      </c>
      <c r="Q284" s="622"/>
      <c r="R284" s="622"/>
      <c r="S284" s="622"/>
      <c r="T284" s="622"/>
      <c r="U284" s="622" t="s">
        <v>41</v>
      </c>
      <c r="V284" s="622"/>
      <c r="W284" s="622"/>
      <c r="X284" s="622"/>
      <c r="Y284" s="622"/>
      <c r="Z284" s="111"/>
      <c r="AA284" s="517"/>
      <c r="AC284" s="158"/>
    </row>
    <row r="285" spans="1:39" s="16" customFormat="1" ht="13.5" customHeight="1">
      <c r="A285" s="13"/>
      <c r="B285" s="13"/>
      <c r="C285" s="19"/>
      <c r="D285" s="19"/>
      <c r="E285" s="19"/>
      <c r="F285" s="19"/>
      <c r="G285" s="19"/>
      <c r="H285" s="19"/>
      <c r="I285" s="13"/>
      <c r="J285" s="235"/>
      <c r="K285" s="366"/>
      <c r="L285" s="566"/>
      <c r="M285" s="14"/>
      <c r="N285" s="553"/>
      <c r="O285" s="19"/>
      <c r="P285" s="13"/>
      <c r="Q285" s="477"/>
      <c r="R285" s="13"/>
      <c r="S285" s="403"/>
      <c r="U285" s="19"/>
      <c r="V285" s="13"/>
      <c r="W285" s="13"/>
      <c r="Y285" s="103"/>
      <c r="Z285" s="111"/>
      <c r="AA285" s="517"/>
      <c r="AC285" s="158"/>
    </row>
    <row r="286" spans="1:39" s="16" customFormat="1" ht="10.5" customHeight="1">
      <c r="A286" s="13"/>
      <c r="B286" s="13"/>
      <c r="C286" s="19"/>
      <c r="D286" s="19"/>
      <c r="E286" s="19"/>
      <c r="F286" s="19"/>
      <c r="G286" s="19"/>
      <c r="H286" s="19"/>
      <c r="I286" s="13"/>
      <c r="J286" s="235"/>
      <c r="K286" s="366"/>
      <c r="L286" s="566">
        <f>COUNTIF(L12:L278,"A1")</f>
        <v>38</v>
      </c>
      <c r="M286" s="14"/>
      <c r="N286" s="553"/>
      <c r="O286" s="19"/>
      <c r="P286" s="13"/>
      <c r="Q286" s="477"/>
      <c r="R286" s="13"/>
      <c r="S286" s="403"/>
      <c r="U286" s="19"/>
      <c r="V286" s="13"/>
      <c r="W286" s="13"/>
      <c r="Y286" s="103"/>
      <c r="Z286" s="111"/>
      <c r="AA286" s="517"/>
      <c r="AC286" s="158"/>
    </row>
    <row r="287" spans="1:39" s="16" customFormat="1" ht="13.5" customHeight="1">
      <c r="G287" s="23"/>
      <c r="H287" s="18"/>
      <c r="J287" s="235"/>
      <c r="K287" s="372"/>
      <c r="L287" s="566">
        <f>COUNTIF($L$12:$L$278,"A2")</f>
        <v>35</v>
      </c>
      <c r="M287" s="13"/>
      <c r="N287" s="553"/>
      <c r="O287" s="18"/>
      <c r="P287" s="18"/>
      <c r="Q287" s="478"/>
      <c r="R287" s="18"/>
      <c r="S287" s="404"/>
      <c r="T287" s="18"/>
      <c r="U287" s="18"/>
      <c r="V287" s="18"/>
      <c r="W287" s="18"/>
      <c r="Y287" s="101"/>
      <c r="Z287" s="111"/>
      <c r="AA287" s="517"/>
      <c r="AC287" s="158"/>
    </row>
    <row r="288" spans="1:39" s="16" customFormat="1" ht="13.5" customHeight="1">
      <c r="G288" s="23"/>
      <c r="H288" s="18"/>
      <c r="J288" s="235"/>
      <c r="K288" s="372"/>
      <c r="L288" s="566">
        <f>COUNTIF($L$12:$L$278,"A3")</f>
        <v>80</v>
      </c>
      <c r="M288" s="13"/>
      <c r="N288" s="553"/>
      <c r="O288" s="18"/>
      <c r="P288" s="411"/>
      <c r="Q288" s="478"/>
      <c r="R288" s="18"/>
      <c r="S288" s="404"/>
      <c r="T288" s="18"/>
      <c r="U288" s="18"/>
      <c r="V288" s="18"/>
      <c r="W288" s="18"/>
      <c r="Y288" s="468"/>
      <c r="Z288" s="111"/>
      <c r="AA288" s="517"/>
      <c r="AC288" s="158"/>
    </row>
    <row r="289" spans="1:29" s="16" customFormat="1" ht="13.5" customHeight="1">
      <c r="G289" s="23"/>
      <c r="H289" s="18"/>
      <c r="J289" s="235"/>
      <c r="K289" s="372"/>
      <c r="L289" s="566">
        <f>COUNTIF($L$12:$L$278,"A4")</f>
        <v>109</v>
      </c>
      <c r="M289" s="13"/>
      <c r="N289" s="553"/>
      <c r="O289" s="18"/>
      <c r="P289" s="49"/>
      <c r="Q289" s="478"/>
      <c r="R289" s="18"/>
      <c r="S289" s="404"/>
      <c r="T289" s="18"/>
      <c r="U289" s="18"/>
      <c r="V289" s="49"/>
      <c r="W289" s="49"/>
      <c r="Y289" s="101"/>
      <c r="Z289" s="111"/>
      <c r="AA289" s="517"/>
      <c r="AC289" s="158"/>
    </row>
    <row r="290" spans="1:29" s="16" customFormat="1" ht="13.5" customHeight="1">
      <c r="G290" s="23"/>
      <c r="H290" s="18"/>
      <c r="I290" s="18"/>
      <c r="J290" s="234"/>
      <c r="K290" s="367"/>
      <c r="L290" s="566"/>
      <c r="M290" s="13"/>
      <c r="N290" s="554"/>
      <c r="O290" s="18"/>
      <c r="P290" s="18"/>
      <c r="Q290" s="478"/>
      <c r="R290" s="18"/>
      <c r="S290" s="404"/>
      <c r="T290" s="18"/>
      <c r="U290" s="18"/>
      <c r="V290" s="18"/>
      <c r="W290" s="18"/>
      <c r="Y290" s="468"/>
      <c r="Z290" s="111"/>
      <c r="AA290" s="517"/>
      <c r="AC290" s="158"/>
    </row>
    <row r="291" spans="1:29" s="16" customFormat="1" ht="13.5" customHeight="1">
      <c r="G291" s="631"/>
      <c r="H291" s="631"/>
      <c r="I291" s="18"/>
      <c r="J291" s="234"/>
      <c r="K291" s="367"/>
      <c r="L291" s="566"/>
      <c r="M291" s="13"/>
      <c r="N291" s="554"/>
      <c r="O291" s="18"/>
      <c r="P291" s="18"/>
      <c r="Q291" s="478"/>
      <c r="R291" s="18"/>
      <c r="S291" s="404"/>
      <c r="T291" s="18"/>
      <c r="U291" s="18"/>
      <c r="V291" s="18"/>
      <c r="W291" s="18"/>
      <c r="Y291" s="101"/>
      <c r="Z291" s="111"/>
      <c r="AA291" s="517"/>
      <c r="AC291" s="158"/>
    </row>
    <row r="292" spans="1:29" s="16" customFormat="1">
      <c r="A292" s="622" t="s">
        <v>1827</v>
      </c>
      <c r="B292" s="622"/>
      <c r="C292" s="13"/>
      <c r="D292" s="13"/>
      <c r="E292" s="13"/>
      <c r="F292" s="14"/>
      <c r="G292" s="19"/>
      <c r="H292" s="19"/>
      <c r="I292" s="13"/>
      <c r="J292" s="626" t="s">
        <v>1458</v>
      </c>
      <c r="K292" s="626"/>
      <c r="L292" s="626"/>
      <c r="M292" s="626"/>
      <c r="N292" s="626"/>
      <c r="P292" s="622" t="s">
        <v>1445</v>
      </c>
      <c r="Q292" s="622"/>
      <c r="R292" s="622"/>
      <c r="S292" s="622"/>
      <c r="T292" s="622"/>
      <c r="U292" s="622" t="s">
        <v>1433</v>
      </c>
      <c r="V292" s="622"/>
      <c r="W292" s="622"/>
      <c r="X292" s="622"/>
      <c r="Y292" s="622"/>
      <c r="Z292" s="111"/>
      <c r="AA292" s="517"/>
      <c r="AC292" s="158"/>
    </row>
    <row r="293" spans="1:29" ht="15.75">
      <c r="A293" s="6"/>
      <c r="J293" s="253"/>
      <c r="K293" s="373"/>
      <c r="L293" s="7"/>
      <c r="M293" s="7"/>
    </row>
    <row r="294" spans="1:29" ht="15.75" customHeight="1">
      <c r="A294" s="6"/>
      <c r="J294" s="253"/>
      <c r="K294" s="373"/>
      <c r="L294" s="7"/>
      <c r="M294" s="7"/>
    </row>
    <row r="297" spans="1:29">
      <c r="K297" s="374"/>
    </row>
    <row r="350" ht="15.75" customHeight="1"/>
  </sheetData>
  <sheetProtection deleteColumns="0" deleteRows="0" selectLockedCells="1"/>
  <mergeCells count="23">
    <mergeCell ref="J292:N292"/>
    <mergeCell ref="N8:R8"/>
    <mergeCell ref="A292:B292"/>
    <mergeCell ref="P292:T292"/>
    <mergeCell ref="U292:Y292"/>
    <mergeCell ref="U284:Y284"/>
    <mergeCell ref="B11:C11"/>
    <mergeCell ref="G291:H291"/>
    <mergeCell ref="X10:Y10"/>
    <mergeCell ref="A284:B284"/>
    <mergeCell ref="B10:C10"/>
    <mergeCell ref="P284:T284"/>
    <mergeCell ref="U283:Y283"/>
    <mergeCell ref="R1:Y1"/>
    <mergeCell ref="A7:Y7"/>
    <mergeCell ref="A1:L1"/>
    <mergeCell ref="A6:Y6"/>
    <mergeCell ref="J284:N284"/>
    <mergeCell ref="R2:Y2"/>
    <mergeCell ref="X11:Y11"/>
    <mergeCell ref="A2:L2"/>
    <mergeCell ref="A3:L3"/>
    <mergeCell ref="A5:Y5"/>
  </mergeCells>
  <phoneticPr fontId="10" type="noConversion"/>
  <conditionalFormatting sqref="F130:G131 F164:G164 G257:G269 F80:G81 U284 U292 F112:G115 F21:G22 F33:G33 F120:G120 F73:G74 F125:G125 F162:G162 F206:G206 F221:G221 A284:J284 A292:J292 F195:G195 F277:G278 F135:G136 A1:L2 E66:G66 E196:G205 E137:G142 E34:G34 E42:G43 E150:G161 E82:G82 A7 F44:G44 F182:G182 Z292:IV292 Z1:IV2 Z7:IV7 AB96:IV96 AB193:IV193 AA203:IV203 AB202:IV202 AB222:IV222 Z253 AB253:IV253 Z258:Z269 AB258:IV269 Z67 AB67:IV67 Z245:IV252 Z244 AB244:IV244 E76:J76 AB204:IV204 AB17:IV17 F25:G25 E90:G90 E209:J213 F238:G243 D67:G67 E219:G220 Z254:IV257 Q271:Q278 S271:S278 B271:C278 E270:G276 Z270:IV284 E121:G124 H51 J51:K51 F77:J77 F49:K50 F68:K68 S28:S29 I28:I29 Q28:Q29 H17 E117:G119 E126:G129 F47:G48 E19:G20 E23:G24 E244:G256 E186:G194 D86 F15:K16 E207:G208 K186:K213 O284:P284 O292:P292 N1:R2 A279:Y282 A3:XFD6 A293:XFD65539 A8:XFD10 H19:K25 E214:K218 R17 E28:G32 F143:G149 F75:K75 K76:K77 P12:V13 E183:K185 E18:K18 A12:C12 B18:C25 J17:K17 J116:K116 H116 R116 F35:G36 J35:K38 H35:H38 Q35:Q36 H30:K34 I35:I36 S35:S36 F58:K58 E95:G95 E107:G111 E59:K59 S49:S50 B66:C66 Z66:IV66 J65:K65 H65 H66:K67 A285:XFD291 F96:G106 Z107:IV115 E14:K14 H80:K82 B28:C36 Q30:S34 Z26:IV31 Z32 AB32:IV32 Q14:S16 E52:K57 S52:S59 Q52:Q59 H186:J208 Z243:IV243 E178:G181 A283:U283 F177:G177 F78:K79 F83:K83 F60:K60 E132:G134 E165:G176 AA97:IV106 AA117:IV149 AA188:IV192 Z188:Z193 Z194:IV200 AA201:IV201 S62:S64 Q62:Q64 R62:R67 AA205:IV221 Q18:S25 E71:G72 H71:K74 E45:G46 H42:K48 E69:K70 S39:S47 B39:C50 B68:C83 Q39:Q50 Z33:IV50 Z68:IV83 F91:G94 AA90:IV95 Z90:Z106 Q66:S83 H26:H29 R26:R29 J26:K29 R35:R59 AA18:IV25 Z17:Z25 A11:X11 Z11:IV16 E39:K41 E61:K64 B52:C64 Q60:S61 Z52:IV64 E12:N13 P14:P83 T14:V83 X12:X83 Z86:IV89 F87:K89 F86:J86 E163:G163 H117:K182 Z150:IV187 Q117:S221 AA223:IV242 E222:G237 Q222:Q269 S222:S269 Z201:Z242 H219:K278 R222:R278 B117:C269 B87:C115 H90:K115 Q86:S115 P86:P278 T86:V278 X86:X278 L14:N278 B13:C16 A13:A278">
    <cfRule type="cellIs" dxfId="93" priority="242" stopIfTrue="1" operator="equal">
      <formula>"KXL"</formula>
    </cfRule>
    <cfRule type="cellIs" dxfId="92" priority="243" stopIfTrue="1" operator="equal">
      <formula>"A DN"</formula>
    </cfRule>
    <cfRule type="cellIs" dxfId="91" priority="244" stopIfTrue="1" operator="equal">
      <formula>"C"</formula>
    </cfRule>
    <cfRule type="cellIs" dxfId="90" priority="245" stopIfTrue="1" operator="equal">
      <formula>"B"</formula>
    </cfRule>
  </conditionalFormatting>
  <conditionalFormatting sqref="B270:C270 Q270 S270">
    <cfRule type="cellIs" dxfId="89" priority="237" stopIfTrue="1" operator="equal">
      <formula>"KXL"</formula>
    </cfRule>
    <cfRule type="cellIs" dxfId="88" priority="238" stopIfTrue="1" operator="equal">
      <formula>"A DN"</formula>
    </cfRule>
    <cfRule type="cellIs" dxfId="87" priority="239" stopIfTrue="1" operator="equal">
      <formula>"C"</formula>
    </cfRule>
    <cfRule type="cellIs" dxfId="86" priority="240" stopIfTrue="1" operator="equal">
      <formula>"B"</formula>
    </cfRule>
  </conditionalFormatting>
  <conditionalFormatting sqref="B51:C51 Q51 S51 F51:G51 Z51:IV51 Z65:IV65 Z116:IV116 I51 Z117:Z149">
    <cfRule type="cellIs" dxfId="85" priority="193" stopIfTrue="1" operator="equal">
      <formula>"C"</formula>
    </cfRule>
    <cfRule type="cellIs" dxfId="84" priority="194" stopIfTrue="1" operator="equal">
      <formula>"B"</formula>
    </cfRule>
    <cfRule type="cellIs" dxfId="83" priority="195" stopIfTrue="1" operator="equal">
      <formula>"A DN"</formula>
    </cfRule>
  </conditionalFormatting>
  <conditionalFormatting sqref="Q65 B65:C65 S65 F65:G65 I65">
    <cfRule type="cellIs" dxfId="82" priority="188" stopIfTrue="1" operator="equal">
      <formula>"C"</formula>
    </cfRule>
    <cfRule type="cellIs" dxfId="81" priority="189" stopIfTrue="1" operator="equal">
      <formula>"B"</formula>
    </cfRule>
    <cfRule type="cellIs" dxfId="80" priority="190" stopIfTrue="1" operator="equal">
      <formula>"A DN"</formula>
    </cfRule>
  </conditionalFormatting>
  <conditionalFormatting sqref="B116:C116 F116:G116 Q116 S116 I116">
    <cfRule type="cellIs" dxfId="79" priority="183" stopIfTrue="1" operator="equal">
      <formula>"C"</formula>
    </cfRule>
    <cfRule type="cellIs" dxfId="78" priority="184" stopIfTrue="1" operator="equal">
      <formula>"B"</formula>
    </cfRule>
    <cfRule type="cellIs" dxfId="77" priority="185" stopIfTrue="1" operator="equal">
      <formula>"A DN"</formula>
    </cfRule>
  </conditionalFormatting>
  <conditionalFormatting sqref="E116">
    <cfRule type="cellIs" dxfId="76" priority="177" stopIfTrue="1" operator="equal">
      <formula>"KXL"</formula>
    </cfRule>
    <cfRule type="cellIs" dxfId="75" priority="178" stopIfTrue="1" operator="equal">
      <formula>"A DN"</formula>
    </cfRule>
    <cfRule type="cellIs" dxfId="74" priority="179" stopIfTrue="1" operator="equal">
      <formula>"C"</formula>
    </cfRule>
    <cfRule type="cellIs" dxfId="73" priority="180" stopIfTrue="1" operator="equal">
      <formula>"B"</formula>
    </cfRule>
  </conditionalFormatting>
  <conditionalFormatting sqref="D17:G17 I17 Q17 S17">
    <cfRule type="cellIs" dxfId="72" priority="122" stopIfTrue="1" operator="equal">
      <formula>"KXL"</formula>
    </cfRule>
    <cfRule type="cellIs" dxfId="71" priority="123" stopIfTrue="1" operator="equal">
      <formula>"A DN"</formula>
    </cfRule>
    <cfRule type="cellIs" dxfId="70" priority="124" stopIfTrue="1" operator="equal">
      <formula>"C"</formula>
    </cfRule>
    <cfRule type="cellIs" dxfId="69" priority="125" stopIfTrue="1" operator="equal">
      <formula>"B"</formula>
    </cfRule>
  </conditionalFormatting>
  <conditionalFormatting sqref="Q26:Q27 D26:G27 I26:I27 S26:S27">
    <cfRule type="cellIs" dxfId="68" priority="109" stopIfTrue="1" operator="equal">
      <formula>"KXL"</formula>
    </cfRule>
    <cfRule type="cellIs" dxfId="67" priority="110" stopIfTrue="1" operator="equal">
      <formula>"A DN"</formula>
    </cfRule>
    <cfRule type="cellIs" dxfId="66" priority="111" stopIfTrue="1" operator="equal">
      <formula>"C"</formula>
    </cfRule>
    <cfRule type="cellIs" dxfId="65" priority="112" stopIfTrue="1" operator="equal">
      <formula>"B"</formula>
    </cfRule>
  </conditionalFormatting>
  <conditionalFormatting sqref="D37:G37 Q37:Q38 I37:I38 S37:S38 D38 F38:G38">
    <cfRule type="cellIs" dxfId="64" priority="96" stopIfTrue="1" operator="equal">
      <formula>"KXL"</formula>
    </cfRule>
    <cfRule type="cellIs" dxfId="63" priority="97" stopIfTrue="1" operator="equal">
      <formula>"A DN"</formula>
    </cfRule>
    <cfRule type="cellIs" dxfId="62" priority="98" stopIfTrue="1" operator="equal">
      <formula>"C"</formula>
    </cfRule>
    <cfRule type="cellIs" dxfId="61" priority="99" stopIfTrue="1" operator="equal">
      <formula>"B"</formula>
    </cfRule>
  </conditionalFormatting>
  <conditionalFormatting sqref="L12:L278">
    <cfRule type="expression" dxfId="60" priority="51" stopIfTrue="1">
      <formula>"if=B1"</formula>
    </cfRule>
    <cfRule type="expression" dxfId="59" priority="52" stopIfTrue="1">
      <formula>$B1</formula>
    </cfRule>
    <cfRule type="expression" dxfId="58" priority="55" stopIfTrue="1">
      <formula>B1</formula>
    </cfRule>
  </conditionalFormatting>
  <conditionalFormatting sqref="L12:L278">
    <cfRule type="cellIs" dxfId="57" priority="1201" stopIfTrue="1" operator="equal">
      <formula>"C2"</formula>
    </cfRule>
    <cfRule type="cellIs" dxfId="56" priority="1202" stopIfTrue="1" operator="equal">
      <formula>"C1"</formula>
    </cfRule>
    <cfRule type="cellIs" dxfId="55" priority="1203" stopIfTrue="1" operator="equal">
      <formula>"C2"</formula>
    </cfRule>
    <cfRule type="cellIs" dxfId="54" priority="1204" stopIfTrue="1" operator="equal">
      <formula>"D"</formula>
    </cfRule>
    <cfRule type="cellIs" dxfId="53" priority="1205" stopIfTrue="1" operator="equal">
      <formula>"E"</formula>
    </cfRule>
    <cfRule type="cellIs" dxfId="52" priority="1206" stopIfTrue="1" operator="equal">
      <formula>"A DN"</formula>
    </cfRule>
    <cfRule type="cellIs" dxfId="51" priority="1207" stopIfTrue="1" operator="equal">
      <formula>"A DN"</formula>
    </cfRule>
    <cfRule type="cellIs" dxfId="50" priority="1208" stopIfTrue="1" operator="equal">
      <formula>"E"</formula>
    </cfRule>
    <cfRule type="cellIs" dxfId="49" priority="1209" stopIfTrue="1" operator="equal">
      <formula>"D"</formula>
    </cfRule>
    <cfRule type="cellIs" dxfId="48" priority="1210" stopIfTrue="1" operator="equal">
      <formula>"D1"</formula>
    </cfRule>
    <cfRule type="cellIs" dxfId="47" priority="1211" stopIfTrue="1" operator="equal">
      <formula>"C2"</formula>
    </cfRule>
    <cfRule type="cellIs" dxfId="46" priority="1212" stopIfTrue="1" operator="equal">
      <formula>"C1"</formula>
    </cfRule>
    <cfRule type="cellIs" dxfId="45" priority="1213" stopIfTrue="1" operator="equal">
      <formula>"B2"</formula>
    </cfRule>
    <cfRule type="cellIs" dxfId="44" priority="1214" stopIfTrue="1" operator="equal">
      <formula>"B1"</formula>
    </cfRule>
    <cfRule type="expression" dxfId="43" priority="1215" stopIfTrue="1">
      <formula>B1</formula>
    </cfRule>
    <cfRule type="cellIs" dxfId="42" priority="1216" stopIfTrue="1" operator="equal">
      <formula>"D"</formula>
    </cfRule>
  </conditionalFormatting>
  <conditionalFormatting sqref="L12:L278">
    <cfRule type="cellIs" dxfId="41" priority="1217" stopIfTrue="1" operator="equal">
      <formula>"B1"</formula>
    </cfRule>
    <cfRule type="expression" dxfId="40" priority="1218" stopIfTrue="1">
      <formula>B1</formula>
    </cfRule>
  </conditionalFormatting>
  <conditionalFormatting sqref="L12:L278">
    <cfRule type="cellIs" dxfId="39" priority="1219" stopIfTrue="1" operator="equal">
      <formula>"B2"</formula>
    </cfRule>
    <cfRule type="expression" dxfId="38" priority="1220" stopIfTrue="1">
      <formula>B1</formula>
    </cfRule>
  </conditionalFormatting>
  <conditionalFormatting sqref="U84:V84 X84 P84:R84 K84:K86">
    <cfRule type="cellIs" dxfId="37" priority="5" stopIfTrue="1" operator="equal">
      <formula>"KXL"</formula>
    </cfRule>
    <cfRule type="cellIs" dxfId="36" priority="6" stopIfTrue="1" operator="equal">
      <formula>"A DN"</formula>
    </cfRule>
    <cfRule type="cellIs" dxfId="35" priority="7" stopIfTrue="1" operator="equal">
      <formula>"C"</formula>
    </cfRule>
    <cfRule type="cellIs" dxfId="34" priority="8" stopIfTrue="1" operator="equal">
      <formula>"B"</formula>
    </cfRule>
  </conditionalFormatting>
  <conditionalFormatting sqref="Z84:IV84 D84:J84 S84:T84">
    <cfRule type="cellIs" dxfId="33" priority="1" stopIfTrue="1" operator="equal">
      <formula>"KXL"</formula>
    </cfRule>
    <cfRule type="cellIs" dxfId="32" priority="2" stopIfTrue="1" operator="equal">
      <formula>"A DN"</formula>
    </cfRule>
    <cfRule type="cellIs" dxfId="31" priority="3" stopIfTrue="1" operator="equal">
      <formula>"C"</formula>
    </cfRule>
    <cfRule type="cellIs" dxfId="30" priority="4" stopIfTrue="1" operator="equal">
      <formula>"B"</formula>
    </cfRule>
  </conditionalFormatting>
  <printOptions horizontalCentered="1"/>
  <pageMargins left="0.21" right="0.17" top="0.28999999999999998" bottom="0.33" header="0.17" footer="0.17"/>
  <pageSetup paperSize="9" scale="87" orientation="landscape" r:id="rId1"/>
  <headerFooter alignWithMargins="0">
    <oddFooter>Page &amp;P of &amp;N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AI27"/>
  <sheetViews>
    <sheetView zoomScale="120" zoomScaleNormal="120" workbookViewId="0">
      <selection activeCell="V14" sqref="V14"/>
    </sheetView>
  </sheetViews>
  <sheetFormatPr defaultColWidth="12.42578125" defaultRowHeight="12.75"/>
  <cols>
    <col min="1" max="1" width="4.42578125" style="2" customWidth="1"/>
    <col min="2" max="2" width="20.85546875" style="2" customWidth="1"/>
    <col min="3" max="5" width="12.42578125" style="2" hidden="1" customWidth="1"/>
    <col min="6" max="7" width="8.140625" style="2" hidden="1" customWidth="1"/>
    <col min="8" max="8" width="10" style="2" hidden="1" customWidth="1"/>
    <col min="9" max="9" width="10.42578125" style="2" hidden="1" customWidth="1"/>
    <col min="10" max="10" width="8.5703125" style="2" customWidth="1"/>
    <col min="11" max="11" width="12" style="2" hidden="1" customWidth="1"/>
    <col min="12" max="12" width="8.5703125" style="2" customWidth="1"/>
    <col min="13" max="13" width="12.42578125" style="2" customWidth="1"/>
    <col min="14" max="14" width="10.28515625" style="2" customWidth="1"/>
    <col min="15" max="15" width="9.85546875" style="2" customWidth="1"/>
    <col min="16" max="16" width="13.5703125" style="2" customWidth="1"/>
    <col min="17" max="17" width="12.140625" style="2" hidden="1" customWidth="1"/>
    <col min="18" max="18" width="9.7109375" style="2" customWidth="1"/>
    <col min="19" max="19" width="11.140625" style="2" hidden="1" customWidth="1"/>
    <col min="20" max="20" width="9" style="2" customWidth="1"/>
    <col min="21" max="22" width="12.42578125" style="2" customWidth="1"/>
    <col min="23" max="23" width="3.28515625" style="2" hidden="1" customWidth="1"/>
    <col min="24" max="24" width="4" style="2" customWidth="1"/>
    <col min="25" max="25" width="18.28515625" style="2" customWidth="1"/>
    <col min="26" max="16384" width="12.42578125" style="2"/>
  </cols>
  <sheetData>
    <row r="1" spans="1:35" ht="15">
      <c r="A1" s="624" t="s">
        <v>492</v>
      </c>
      <c r="B1" s="624"/>
      <c r="C1" s="624"/>
      <c r="D1" s="624"/>
      <c r="E1" s="624"/>
      <c r="F1" s="624"/>
      <c r="G1" s="624"/>
      <c r="H1" s="624"/>
      <c r="I1" s="624"/>
      <c r="J1" s="624"/>
      <c r="K1" s="624"/>
      <c r="L1" s="624"/>
      <c r="N1" s="19"/>
      <c r="O1" s="19"/>
      <c r="P1" s="19"/>
      <c r="Q1" s="19"/>
      <c r="R1" s="19"/>
      <c r="S1" s="19"/>
      <c r="T1" s="622" t="s">
        <v>849</v>
      </c>
      <c r="U1" s="622"/>
      <c r="V1" s="622"/>
      <c r="W1" s="622"/>
      <c r="X1" s="622"/>
      <c r="Y1" s="622"/>
    </row>
    <row r="2" spans="1:35" ht="14.25">
      <c r="A2" s="622" t="s">
        <v>1563</v>
      </c>
      <c r="B2" s="622"/>
      <c r="C2" s="622"/>
      <c r="D2" s="622"/>
      <c r="E2" s="622"/>
      <c r="F2" s="622"/>
      <c r="G2" s="622"/>
      <c r="H2" s="622"/>
      <c r="I2" s="622"/>
      <c r="J2" s="622"/>
      <c r="K2" s="622"/>
      <c r="L2" s="622"/>
      <c r="N2" s="19"/>
      <c r="O2" s="19"/>
      <c r="P2" s="19"/>
      <c r="Q2" s="19"/>
      <c r="R2" s="19"/>
      <c r="S2" s="19"/>
      <c r="T2" s="622" t="s">
        <v>851</v>
      </c>
      <c r="U2" s="622"/>
      <c r="V2" s="622"/>
      <c r="W2" s="622"/>
      <c r="X2" s="622"/>
      <c r="Y2" s="622"/>
    </row>
    <row r="3" spans="1:35" ht="14.25">
      <c r="A3" s="622" t="s">
        <v>1565</v>
      </c>
      <c r="B3" s="622"/>
      <c r="C3" s="622"/>
      <c r="D3" s="622"/>
      <c r="E3" s="622"/>
      <c r="F3" s="622"/>
      <c r="G3" s="622"/>
      <c r="H3" s="622"/>
      <c r="I3" s="622"/>
      <c r="J3" s="622"/>
      <c r="K3" s="622"/>
      <c r="L3" s="622"/>
      <c r="M3" s="3"/>
      <c r="N3" s="1"/>
      <c r="O3" s="1"/>
      <c r="P3" s="1"/>
      <c r="Q3" s="1"/>
      <c r="R3" s="1"/>
      <c r="S3" s="1"/>
      <c r="T3" s="1"/>
      <c r="U3" s="1"/>
      <c r="V3" s="3"/>
      <c r="W3" s="3"/>
    </row>
    <row r="4" spans="1:35" ht="13.5" customHeight="1">
      <c r="J4" s="1"/>
      <c r="K4" s="1"/>
      <c r="L4" s="1"/>
      <c r="M4" s="3"/>
      <c r="N4" s="1"/>
      <c r="O4" s="1"/>
      <c r="P4" s="1"/>
      <c r="Q4" s="1"/>
      <c r="R4" s="1"/>
      <c r="S4" s="1"/>
      <c r="T4" s="1"/>
      <c r="U4" s="1"/>
      <c r="V4" s="3"/>
      <c r="W4" s="3"/>
    </row>
    <row r="5" spans="1:35" ht="15.75">
      <c r="A5" s="625" t="s">
        <v>2019</v>
      </c>
      <c r="B5" s="625"/>
      <c r="C5" s="625"/>
      <c r="D5" s="625"/>
      <c r="E5" s="625"/>
      <c r="F5" s="625"/>
      <c r="G5" s="625"/>
      <c r="H5" s="625"/>
      <c r="I5" s="625"/>
      <c r="J5" s="625"/>
      <c r="K5" s="625"/>
      <c r="L5" s="625"/>
      <c r="M5" s="625"/>
      <c r="N5" s="625"/>
      <c r="O5" s="625"/>
      <c r="P5" s="625"/>
      <c r="Q5" s="625"/>
      <c r="R5" s="625"/>
      <c r="S5" s="625"/>
      <c r="T5" s="625"/>
      <c r="U5" s="625"/>
      <c r="V5" s="625"/>
      <c r="W5" s="625"/>
      <c r="X5" s="625"/>
      <c r="Y5" s="625"/>
    </row>
    <row r="6" spans="1:35" ht="15.75">
      <c r="A6" s="625" t="s">
        <v>1597</v>
      </c>
      <c r="B6" s="625"/>
      <c r="C6" s="625"/>
      <c r="D6" s="625"/>
      <c r="E6" s="625"/>
      <c r="F6" s="625"/>
      <c r="G6" s="625"/>
      <c r="H6" s="625"/>
      <c r="I6" s="625"/>
      <c r="J6" s="625"/>
      <c r="K6" s="625"/>
      <c r="L6" s="625"/>
      <c r="M6" s="625"/>
      <c r="N6" s="625"/>
      <c r="O6" s="625"/>
      <c r="P6" s="625"/>
      <c r="Q6" s="625"/>
      <c r="R6" s="625"/>
      <c r="S6" s="625"/>
      <c r="T6" s="625"/>
      <c r="U6" s="625"/>
      <c r="V6" s="625"/>
      <c r="W6" s="625"/>
      <c r="X6" s="625"/>
      <c r="Y6" s="625"/>
    </row>
    <row r="7" spans="1:35" ht="44.25" customHeight="1">
      <c r="A7" s="638" t="s">
        <v>2008</v>
      </c>
      <c r="B7" s="638"/>
      <c r="C7" s="638"/>
      <c r="D7" s="638"/>
      <c r="E7" s="638"/>
      <c r="F7" s="638"/>
      <c r="G7" s="638"/>
      <c r="H7" s="638"/>
      <c r="I7" s="638"/>
      <c r="J7" s="638"/>
      <c r="K7" s="638"/>
      <c r="L7" s="638"/>
      <c r="M7" s="638"/>
      <c r="N7" s="638"/>
      <c r="O7" s="638"/>
      <c r="P7" s="638"/>
      <c r="Q7" s="638"/>
      <c r="R7" s="638"/>
      <c r="S7" s="638"/>
      <c r="T7" s="638"/>
      <c r="U7" s="638"/>
      <c r="V7" s="638"/>
      <c r="W7" s="638"/>
      <c r="X7" s="638"/>
      <c r="Y7" s="638"/>
    </row>
    <row r="8" spans="1:35" ht="11.25" customHeight="1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</row>
    <row r="9" spans="1:35" s="16" customFormat="1" ht="15">
      <c r="A9" s="359" t="s">
        <v>1599</v>
      </c>
      <c r="C9" s="359"/>
      <c r="D9" s="360"/>
      <c r="E9" s="43"/>
      <c r="F9" s="43"/>
      <c r="G9" s="43"/>
      <c r="H9" s="44">
        <v>1800000</v>
      </c>
      <c r="I9" s="43"/>
      <c r="J9" s="522">
        <v>1490000</v>
      </c>
      <c r="K9" s="43"/>
      <c r="L9" s="43"/>
      <c r="N9" s="47"/>
      <c r="O9" s="19"/>
      <c r="P9" s="19"/>
      <c r="Q9" s="19"/>
      <c r="R9" s="19"/>
      <c r="S9" s="28"/>
      <c r="V9" s="28" t="s">
        <v>1181</v>
      </c>
      <c r="W9" s="17"/>
      <c r="X9" s="18"/>
      <c r="Y9" s="18"/>
    </row>
    <row r="10" spans="1:35">
      <c r="A10" s="1"/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3"/>
      <c r="W10" s="3"/>
      <c r="X10" s="1"/>
      <c r="Y10" s="1"/>
    </row>
    <row r="11" spans="1:35" s="114" customFormat="1" ht="52.5">
      <c r="A11" s="414" t="s">
        <v>853</v>
      </c>
      <c r="B11" s="636" t="s">
        <v>854</v>
      </c>
      <c r="C11" s="636"/>
      <c r="D11" s="423" t="s">
        <v>1598</v>
      </c>
      <c r="E11" s="423" t="s">
        <v>50</v>
      </c>
      <c r="F11" s="415" t="s">
        <v>1137</v>
      </c>
      <c r="G11" s="416" t="s">
        <v>1138</v>
      </c>
      <c r="H11" s="417" t="s">
        <v>1139</v>
      </c>
      <c r="I11" s="415" t="s">
        <v>1140</v>
      </c>
      <c r="J11" s="418" t="s">
        <v>855</v>
      </c>
      <c r="K11" s="415" t="s">
        <v>1141</v>
      </c>
      <c r="L11" s="418" t="s">
        <v>860</v>
      </c>
      <c r="M11" s="419" t="s">
        <v>1186</v>
      </c>
      <c r="N11" s="419" t="s">
        <v>861</v>
      </c>
      <c r="O11" s="419" t="s">
        <v>857</v>
      </c>
      <c r="P11" s="419" t="s">
        <v>1187</v>
      </c>
      <c r="Q11" s="420" t="s">
        <v>1183</v>
      </c>
      <c r="R11" s="419" t="s">
        <v>841</v>
      </c>
      <c r="S11" s="420" t="s">
        <v>1184</v>
      </c>
      <c r="T11" s="419" t="s">
        <v>1189</v>
      </c>
      <c r="U11" s="419" t="s">
        <v>1190</v>
      </c>
      <c r="V11" s="414" t="s">
        <v>1100</v>
      </c>
      <c r="W11" s="414"/>
      <c r="X11" s="636" t="s">
        <v>40</v>
      </c>
      <c r="Y11" s="636"/>
    </row>
    <row r="12" spans="1:35" s="114" customFormat="1">
      <c r="A12" s="32" t="s">
        <v>1110</v>
      </c>
      <c r="B12" s="630" t="s">
        <v>1111</v>
      </c>
      <c r="C12" s="630"/>
      <c r="D12" s="32"/>
      <c r="E12" s="32"/>
      <c r="F12" s="375" t="s">
        <v>1112</v>
      </c>
      <c r="G12" s="375" t="s">
        <v>1113</v>
      </c>
      <c r="H12" s="375" t="s">
        <v>1114</v>
      </c>
      <c r="I12" s="375" t="s">
        <v>1115</v>
      </c>
      <c r="J12" s="32" t="s">
        <v>1112</v>
      </c>
      <c r="K12" s="375" t="s">
        <v>1117</v>
      </c>
      <c r="L12" s="32" t="s">
        <v>1113</v>
      </c>
      <c r="M12" s="32" t="s">
        <v>1114</v>
      </c>
      <c r="N12" s="32" t="s">
        <v>1115</v>
      </c>
      <c r="O12" s="32" t="s">
        <v>1116</v>
      </c>
      <c r="P12" s="32" t="s">
        <v>1117</v>
      </c>
      <c r="Q12" s="376" t="s">
        <v>1125</v>
      </c>
      <c r="R12" s="32" t="s">
        <v>1118</v>
      </c>
      <c r="S12" s="376" t="s">
        <v>1127</v>
      </c>
      <c r="T12" s="32">
        <v>10</v>
      </c>
      <c r="U12" s="32">
        <v>11</v>
      </c>
      <c r="V12" s="32">
        <v>12</v>
      </c>
      <c r="W12" s="32"/>
      <c r="X12" s="630" t="s">
        <v>1122</v>
      </c>
      <c r="Y12" s="630"/>
      <c r="Z12" s="395"/>
    </row>
    <row r="13" spans="1:35" s="387" customFormat="1" ht="36.75" customHeight="1">
      <c r="A13" s="394" t="s">
        <v>1110</v>
      </c>
      <c r="B13" s="464" t="s">
        <v>1830</v>
      </c>
      <c r="C13" s="437" t="s">
        <v>1087</v>
      </c>
      <c r="D13" s="436" t="s">
        <v>1829</v>
      </c>
      <c r="E13" s="466">
        <v>1603205354978</v>
      </c>
      <c r="F13" s="381">
        <v>2.67</v>
      </c>
      <c r="G13" s="382"/>
      <c r="H13" s="383">
        <f>F13+(F13*G13)</f>
        <v>2.67</v>
      </c>
      <c r="I13" s="383">
        <v>0.45</v>
      </c>
      <c r="J13" s="384">
        <f>H13+I13</f>
        <v>3.12</v>
      </c>
      <c r="K13" s="377">
        <f>J13*CN!$G$8</f>
        <v>5616000</v>
      </c>
      <c r="L13" s="381"/>
      <c r="M13" s="486">
        <f>IF(L13="A1",K13*1.6,IF(L13="A2",K13*1.4,IF(L13="A3",K13*1.2,IF(L13="A4",K13*1,IF(L13="B1",K13*0.7,IF(L13="B2",K13*0.5,IF(L13="C1",K13*0.3,IF(L13="C2",K13*0.2,0))))))))</f>
        <v>0</v>
      </c>
      <c r="N13" s="381"/>
      <c r="O13" s="459"/>
      <c r="P13" s="377">
        <f>IF(O13&gt;=N13,M13,M13/N13*O13)</f>
        <v>0</v>
      </c>
      <c r="Q13" s="409"/>
      <c r="R13" s="377">
        <f>Q13*CN!$G$8*1</f>
        <v>0</v>
      </c>
      <c r="S13" s="385"/>
      <c r="T13" s="377">
        <f>S13*[3]CN!$G$8*0.65</f>
        <v>0</v>
      </c>
      <c r="U13" s="377" t="str">
        <f>IF(OR(L13="A DN",L13="KXL", L13=""),"0",ROUND(J13*0.01*CN!$G$8+Q13*1%*CN!$G$8+S13*1%*CN!$G$8,))</f>
        <v>0</v>
      </c>
      <c r="V13" s="386">
        <f>(P13+R13+T13+U13)</f>
        <v>0</v>
      </c>
      <c r="W13" s="459">
        <v>17</v>
      </c>
      <c r="X13" s="542" t="str">
        <f>A13</f>
        <v>01</v>
      </c>
      <c r="Y13" s="410"/>
      <c r="Z13" s="114"/>
      <c r="AA13" s="161"/>
      <c r="AB13" s="114"/>
      <c r="AC13" s="114"/>
      <c r="AD13" s="114"/>
      <c r="AE13" s="114"/>
      <c r="AF13" s="114"/>
      <c r="AG13" s="114"/>
      <c r="AH13" s="114"/>
      <c r="AI13" s="114"/>
    </row>
    <row r="14" spans="1:35" s="113" customFormat="1" ht="39.75" customHeight="1">
      <c r="A14" s="22" t="s">
        <v>1111</v>
      </c>
      <c r="B14" s="37" t="s">
        <v>2005</v>
      </c>
      <c r="C14" s="155" t="s">
        <v>987</v>
      </c>
      <c r="D14" s="67" t="s">
        <v>1826</v>
      </c>
      <c r="E14" s="80" t="s">
        <v>12</v>
      </c>
      <c r="F14" s="86">
        <v>3.34</v>
      </c>
      <c r="G14" s="179"/>
      <c r="H14" s="86">
        <f>F14+(F14*G14)</f>
        <v>3.34</v>
      </c>
      <c r="I14" s="179">
        <v>0</v>
      </c>
      <c r="J14" s="10">
        <f>I14+H14</f>
        <v>3.34</v>
      </c>
      <c r="K14" s="34">
        <f>J14*$H$9</f>
        <v>6012000</v>
      </c>
      <c r="L14" s="381"/>
      <c r="M14" s="486">
        <f>IF(L14="A1",K14*1.6,IF(L14="A2",K14*1.4,IF(L14="A3",K14*1.2,IF(L14="A4",K14*1,IF(L14="B1",K14*0.7,IF(L14="B2",K14*0.5,IF(L14="C1",K14*0.3,IF(L14="C2",K14*0.2,0))))))))</f>
        <v>0</v>
      </c>
      <c r="N14" s="10"/>
      <c r="O14" s="67"/>
      <c r="P14" s="34">
        <f>IF(O14&gt;=N14,M14,M14/N14*O14)</f>
        <v>0</v>
      </c>
      <c r="Q14" s="543"/>
      <c r="R14" s="34">
        <f>Q14*$H$9*0.65</f>
        <v>0</v>
      </c>
      <c r="S14" s="79"/>
      <c r="T14" s="34">
        <f>S14*$H$9*0.65</f>
        <v>0</v>
      </c>
      <c r="U14" s="544">
        <v>0</v>
      </c>
      <c r="V14" s="386">
        <f>ROUND(P14+R14+T14+U14,0)</f>
        <v>0</v>
      </c>
      <c r="W14" s="67">
        <v>21</v>
      </c>
      <c r="X14" s="545" t="str">
        <f>A14</f>
        <v>02</v>
      </c>
      <c r="Y14" s="463"/>
    </row>
    <row r="15" spans="1:35" s="21" customFormat="1" ht="23.25" customHeight="1">
      <c r="A15" s="354"/>
      <c r="B15" s="637" t="s">
        <v>866</v>
      </c>
      <c r="C15" s="637"/>
      <c r="D15" s="354"/>
      <c r="E15" s="354"/>
      <c r="F15" s="354">
        <f>SUM(F13:F14)</f>
        <v>6.01</v>
      </c>
      <c r="G15" s="354">
        <f>SUM(G13:G14)</f>
        <v>0</v>
      </c>
      <c r="H15" s="354">
        <f>SUM(H13:H14)</f>
        <v>6.01</v>
      </c>
      <c r="I15" s="354">
        <f>SUM(I13:I14)</f>
        <v>0.45</v>
      </c>
      <c r="J15" s="546">
        <f>SUM(J13:J14)</f>
        <v>6.46</v>
      </c>
      <c r="K15" s="355">
        <f>J15*$H$9</f>
        <v>11628000</v>
      </c>
      <c r="L15" s="356"/>
      <c r="M15" s="170">
        <f t="shared" ref="M15:V15" si="0">SUM(M13:M14)</f>
        <v>0</v>
      </c>
      <c r="N15" s="354">
        <f t="shared" si="0"/>
        <v>0</v>
      </c>
      <c r="O15" s="547">
        <f t="shared" si="0"/>
        <v>0</v>
      </c>
      <c r="P15" s="170">
        <f t="shared" si="0"/>
        <v>0</v>
      </c>
      <c r="Q15" s="357">
        <f t="shared" si="0"/>
        <v>0</v>
      </c>
      <c r="R15" s="170">
        <f t="shared" si="0"/>
        <v>0</v>
      </c>
      <c r="S15" s="357">
        <f t="shared" si="0"/>
        <v>0</v>
      </c>
      <c r="T15" s="170">
        <f t="shared" si="0"/>
        <v>0</v>
      </c>
      <c r="U15" s="170">
        <f t="shared" si="0"/>
        <v>0</v>
      </c>
      <c r="V15" s="170">
        <f t="shared" si="0"/>
        <v>0</v>
      </c>
      <c r="W15" s="407"/>
      <c r="X15" s="358"/>
      <c r="Y15" s="116"/>
    </row>
    <row r="16" spans="1:35">
      <c r="J16" s="1"/>
      <c r="K16" s="1"/>
      <c r="L16" s="1"/>
      <c r="M16" s="3"/>
      <c r="N16" s="1"/>
      <c r="O16" s="1"/>
      <c r="P16" s="1"/>
      <c r="Q16" s="1"/>
      <c r="R16" s="1"/>
      <c r="S16" s="1"/>
      <c r="T16" s="1"/>
      <c r="U16" s="1"/>
      <c r="V16" s="3"/>
      <c r="W16" s="3"/>
    </row>
    <row r="17" spans="1:25" s="16" customFormat="1" ht="21" customHeight="1">
      <c r="B17" s="513" t="s">
        <v>2016</v>
      </c>
      <c r="C17" s="19"/>
      <c r="D17" s="19"/>
      <c r="E17" s="19"/>
      <c r="F17" s="15"/>
      <c r="G17" s="15"/>
      <c r="H17" s="15"/>
      <c r="I17" s="15"/>
      <c r="J17" s="111"/>
      <c r="K17" s="17"/>
      <c r="L17" s="18"/>
      <c r="N17" s="18"/>
      <c r="O17" s="18"/>
      <c r="P17" s="18"/>
      <c r="Q17" s="18"/>
      <c r="R17" s="18"/>
      <c r="S17" s="18"/>
      <c r="T17" s="18"/>
      <c r="U17" s="18"/>
      <c r="V17" s="48"/>
      <c r="W17" s="48"/>
    </row>
    <row r="18" spans="1:25" ht="15.75">
      <c r="V18" s="136" t="s">
        <v>2020</v>
      </c>
      <c r="W18" s="136"/>
    </row>
    <row r="19" spans="1:25" s="16" customFormat="1" ht="15">
      <c r="A19" s="622" t="s">
        <v>859</v>
      </c>
      <c r="B19" s="622"/>
      <c r="C19" s="622" t="s">
        <v>1446</v>
      </c>
      <c r="D19" s="622"/>
      <c r="E19" s="622"/>
      <c r="F19" s="622"/>
      <c r="G19" s="622"/>
      <c r="H19" s="622"/>
      <c r="I19" s="622"/>
      <c r="J19" s="622"/>
      <c r="K19" s="622"/>
      <c r="L19" s="622"/>
      <c r="M19" s="622"/>
      <c r="N19" s="622"/>
      <c r="O19" s="622"/>
      <c r="P19" s="622" t="s">
        <v>1191</v>
      </c>
      <c r="Q19" s="622"/>
      <c r="R19" s="622"/>
      <c r="S19" s="622"/>
      <c r="T19" s="622"/>
      <c r="U19" s="622" t="s">
        <v>41</v>
      </c>
      <c r="V19" s="622"/>
      <c r="W19" s="622"/>
      <c r="X19" s="622"/>
      <c r="Y19" s="622"/>
    </row>
    <row r="20" spans="1:25" s="16" customFormat="1" ht="15">
      <c r="G20" s="23"/>
      <c r="H20" s="18"/>
      <c r="M20" s="18"/>
      <c r="N20" s="18"/>
      <c r="O20" s="18"/>
      <c r="P20" s="18"/>
      <c r="Q20" s="29"/>
      <c r="R20" s="18"/>
      <c r="S20" s="29"/>
      <c r="T20" s="18"/>
      <c r="U20" s="18"/>
      <c r="V20" s="13"/>
      <c r="W20" s="13"/>
      <c r="X20" s="18"/>
      <c r="Y20" s="18"/>
    </row>
    <row r="21" spans="1:25" s="16" customFormat="1" ht="15">
      <c r="G21" s="23"/>
      <c r="H21" s="18"/>
      <c r="M21" s="18"/>
      <c r="N21" s="18"/>
      <c r="O21" s="18"/>
      <c r="P21" s="18"/>
      <c r="Q21" s="29"/>
      <c r="R21" s="18"/>
      <c r="S21" s="29"/>
      <c r="T21" s="18"/>
      <c r="U21" s="18"/>
      <c r="V21" s="18"/>
      <c r="W21" s="18"/>
      <c r="X21" s="18"/>
      <c r="Y21" s="18"/>
    </row>
    <row r="22" spans="1:25" s="16" customFormat="1" ht="15">
      <c r="G22" s="23"/>
      <c r="H22" s="18"/>
      <c r="M22" s="18"/>
      <c r="N22" s="18"/>
      <c r="O22" s="18"/>
      <c r="P22" s="18"/>
      <c r="Q22" s="29"/>
      <c r="R22" s="18"/>
      <c r="S22" s="29"/>
      <c r="T22" s="18"/>
      <c r="U22" s="18"/>
      <c r="V22" s="18"/>
      <c r="W22" s="18"/>
      <c r="X22" s="18"/>
      <c r="Y22" s="18"/>
    </row>
    <row r="23" spans="1:25" s="16" customFormat="1" ht="11.45" customHeight="1">
      <c r="G23" s="23"/>
      <c r="H23" s="18"/>
      <c r="I23" s="18"/>
      <c r="J23" s="18"/>
      <c r="K23" s="18"/>
      <c r="L23" s="18"/>
      <c r="M23" s="18"/>
      <c r="N23" s="18"/>
      <c r="O23" s="18"/>
      <c r="P23" s="18"/>
      <c r="Q23" s="29"/>
      <c r="R23" s="18"/>
      <c r="S23" s="29"/>
      <c r="T23" s="18"/>
      <c r="U23" s="18"/>
      <c r="V23" s="18"/>
      <c r="W23" s="18"/>
      <c r="X23" s="18"/>
      <c r="Y23" s="18"/>
    </row>
    <row r="24" spans="1:25" s="16" customFormat="1" ht="15">
      <c r="G24" s="23"/>
      <c r="H24" s="18"/>
      <c r="I24" s="18"/>
      <c r="J24" s="18"/>
      <c r="K24" s="18"/>
      <c r="L24" s="18"/>
      <c r="M24" s="18"/>
      <c r="N24" s="18"/>
      <c r="O24" s="18"/>
      <c r="P24" s="18"/>
      <c r="Q24" s="29"/>
      <c r="R24" s="18"/>
      <c r="S24" s="29"/>
      <c r="T24" s="18"/>
      <c r="U24" s="18"/>
      <c r="V24" s="18"/>
      <c r="W24" s="18"/>
      <c r="X24" s="18"/>
      <c r="Y24" s="18"/>
    </row>
    <row r="25" spans="1:25" s="16" customFormat="1" ht="15">
      <c r="G25" s="23"/>
      <c r="H25" s="18"/>
      <c r="I25" s="18"/>
      <c r="J25" s="18"/>
      <c r="K25" s="18"/>
      <c r="L25" s="18"/>
      <c r="M25" s="18"/>
      <c r="N25" s="18"/>
      <c r="O25" s="18"/>
      <c r="P25" s="18"/>
      <c r="Q25" s="29"/>
      <c r="R25" s="18"/>
      <c r="S25" s="29"/>
      <c r="T25" s="18"/>
      <c r="U25" s="18"/>
      <c r="V25" s="18"/>
      <c r="W25" s="18"/>
      <c r="X25" s="18"/>
      <c r="Y25" s="18"/>
    </row>
    <row r="26" spans="1:25" s="16" customFormat="1" ht="15">
      <c r="A26" s="622" t="s">
        <v>1827</v>
      </c>
      <c r="B26" s="622"/>
      <c r="C26" s="622" t="s">
        <v>1458</v>
      </c>
      <c r="D26" s="622"/>
      <c r="E26" s="622"/>
      <c r="F26" s="622"/>
      <c r="G26" s="622"/>
      <c r="H26" s="622"/>
      <c r="I26" s="622"/>
      <c r="J26" s="622"/>
      <c r="K26" s="622"/>
      <c r="L26" s="622"/>
      <c r="M26" s="622"/>
      <c r="N26" s="622"/>
      <c r="O26" s="622"/>
      <c r="P26" s="622" t="s">
        <v>1445</v>
      </c>
      <c r="Q26" s="622"/>
      <c r="R26" s="622"/>
      <c r="S26" s="622"/>
      <c r="T26" s="622"/>
      <c r="U26" s="622" t="s">
        <v>1433</v>
      </c>
      <c r="V26" s="622"/>
      <c r="W26" s="622"/>
      <c r="X26" s="622"/>
      <c r="Y26" s="622"/>
    </row>
    <row r="27" spans="1:25" ht="15.75">
      <c r="A27" s="6"/>
      <c r="G27" s="115"/>
      <c r="Q27" s="109"/>
      <c r="S27" s="109"/>
    </row>
  </sheetData>
  <mergeCells count="21">
    <mergeCell ref="A1:L1"/>
    <mergeCell ref="A2:L2"/>
    <mergeCell ref="A5:Y5"/>
    <mergeCell ref="A3:L3"/>
    <mergeCell ref="T1:Y1"/>
    <mergeCell ref="T2:Y2"/>
    <mergeCell ref="P26:T26"/>
    <mergeCell ref="A7:Y7"/>
    <mergeCell ref="B12:C12"/>
    <mergeCell ref="C26:O26"/>
    <mergeCell ref="A26:B26"/>
    <mergeCell ref="X12:Y12"/>
    <mergeCell ref="C19:O19"/>
    <mergeCell ref="U26:Y26"/>
    <mergeCell ref="A6:Y6"/>
    <mergeCell ref="U19:Y19"/>
    <mergeCell ref="X11:Y11"/>
    <mergeCell ref="B11:C11"/>
    <mergeCell ref="B15:C15"/>
    <mergeCell ref="A19:B19"/>
    <mergeCell ref="P19:T19"/>
  </mergeCells>
  <phoneticPr fontId="10" type="noConversion"/>
  <conditionalFormatting sqref="M14">
    <cfRule type="cellIs" dxfId="29" priority="59" stopIfTrue="1" operator="equal">
      <formula>"KXL"</formula>
    </cfRule>
    <cfRule type="cellIs" dxfId="28" priority="60" stopIfTrue="1" operator="equal">
      <formula>"A DN"</formula>
    </cfRule>
    <cfRule type="cellIs" dxfId="27" priority="61" stopIfTrue="1" operator="equal">
      <formula>"C"</formula>
    </cfRule>
    <cfRule type="cellIs" dxfId="26" priority="62" stopIfTrue="1" operator="equal">
      <formula>"B"</formula>
    </cfRule>
  </conditionalFormatting>
  <conditionalFormatting sqref="U13:V13 X13 P13:R13 K13:N13 A13 L14">
    <cfRule type="cellIs" dxfId="25" priority="32" stopIfTrue="1" operator="equal">
      <formula>"KXL"</formula>
    </cfRule>
    <cfRule type="cellIs" dxfId="24" priority="33" stopIfTrue="1" operator="equal">
      <formula>"A DN"</formula>
    </cfRule>
    <cfRule type="cellIs" dxfId="23" priority="34" stopIfTrue="1" operator="equal">
      <formula>"C"</formula>
    </cfRule>
    <cfRule type="cellIs" dxfId="22" priority="35" stopIfTrue="1" operator="equal">
      <formula>"B"</formula>
    </cfRule>
  </conditionalFormatting>
  <conditionalFormatting sqref="Z13:IV13 D13:J13 S13:T13">
    <cfRule type="cellIs" dxfId="21" priority="28" stopIfTrue="1" operator="equal">
      <formula>"KXL"</formula>
    </cfRule>
    <cfRule type="cellIs" dxfId="20" priority="29" stopIfTrue="1" operator="equal">
      <formula>"A DN"</formula>
    </cfRule>
    <cfRule type="cellIs" dxfId="19" priority="30" stopIfTrue="1" operator="equal">
      <formula>"C"</formula>
    </cfRule>
    <cfRule type="cellIs" dxfId="18" priority="31" stopIfTrue="1" operator="equal">
      <formula>"B"</formula>
    </cfRule>
  </conditionalFormatting>
  <conditionalFormatting sqref="L13:L14">
    <cfRule type="cellIs" dxfId="17" priority="36" stopIfTrue="1" operator="equal">
      <formula>"C2"</formula>
    </cfRule>
    <cfRule type="cellIs" dxfId="16" priority="37" stopIfTrue="1" operator="equal">
      <formula>"C1"</formula>
    </cfRule>
    <cfRule type="cellIs" dxfId="15" priority="38" stopIfTrue="1" operator="equal">
      <formula>"C2"</formula>
    </cfRule>
    <cfRule type="cellIs" dxfId="14" priority="39" stopIfTrue="1" operator="equal">
      <formula>"D"</formula>
    </cfRule>
    <cfRule type="cellIs" dxfId="13" priority="40" stopIfTrue="1" operator="equal">
      <formula>"E"</formula>
    </cfRule>
    <cfRule type="cellIs" dxfId="12" priority="41" stopIfTrue="1" operator="equal">
      <formula>"A DN"</formula>
    </cfRule>
    <cfRule type="cellIs" dxfId="11" priority="42" stopIfTrue="1" operator="equal">
      <formula>"A DN"</formula>
    </cfRule>
    <cfRule type="cellIs" dxfId="10" priority="43" stopIfTrue="1" operator="equal">
      <formula>"E"</formula>
    </cfRule>
    <cfRule type="cellIs" dxfId="9" priority="44" stopIfTrue="1" operator="equal">
      <formula>"D"</formula>
    </cfRule>
    <cfRule type="cellIs" dxfId="8" priority="45" stopIfTrue="1" operator="equal">
      <formula>"D1"</formula>
    </cfRule>
    <cfRule type="cellIs" dxfId="7" priority="46" stopIfTrue="1" operator="equal">
      <formula>"C2"</formula>
    </cfRule>
    <cfRule type="cellIs" dxfId="6" priority="47" stopIfTrue="1" operator="equal">
      <formula>"C1"</formula>
    </cfRule>
    <cfRule type="cellIs" dxfId="5" priority="48" stopIfTrue="1" operator="equal">
      <formula>"B2"</formula>
    </cfRule>
    <cfRule type="cellIs" dxfId="4" priority="49" stopIfTrue="1" operator="equal">
      <formula>"B1"</formula>
    </cfRule>
    <cfRule type="cellIs" dxfId="3" priority="51" stopIfTrue="1" operator="equal">
      <formula>"D"</formula>
    </cfRule>
  </conditionalFormatting>
  <conditionalFormatting sqref="L13:L14">
    <cfRule type="cellIs" dxfId="2" priority="52" stopIfTrue="1" operator="equal">
      <formula>"B1"</formula>
    </cfRule>
  </conditionalFormatting>
  <conditionalFormatting sqref="L13:L14">
    <cfRule type="cellIs" dxfId="1" priority="54" stopIfTrue="1" operator="equal">
      <formula>"B2"</formula>
    </cfRule>
  </conditionalFormatting>
  <conditionalFormatting sqref="L13:L14">
    <cfRule type="expression" dxfId="0" priority="56" stopIfTrue="1">
      <formula>"if=B1"</formula>
    </cfRule>
  </conditionalFormatting>
  <printOptions horizontalCentered="1"/>
  <pageMargins left="0.2" right="0" top="0.41" bottom="0.42" header="0.22" footer="0.19"/>
  <pageSetup paperSize="9" scale="95" orientation="landscape" r:id="rId1"/>
  <headerFooter alignWithMargins="0">
    <oddFooter>Page &amp;P of &amp;N</oddFoot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E324"/>
  <sheetViews>
    <sheetView workbookViewId="0">
      <selection activeCell="A7" sqref="A7"/>
    </sheetView>
  </sheetViews>
  <sheetFormatPr defaultRowHeight="12.75"/>
  <cols>
    <col min="1" max="1" width="5.5703125" style="2" customWidth="1"/>
    <col min="2" max="2" width="18.28515625" style="2" customWidth="1"/>
    <col min="3" max="3" width="11.85546875" style="2" customWidth="1"/>
    <col min="4" max="4" width="10.85546875" style="2" hidden="1" customWidth="1"/>
    <col min="5" max="5" width="18.140625" style="2" hidden="1" customWidth="1"/>
    <col min="6" max="6" width="16" style="2" hidden="1" customWidth="1"/>
    <col min="7" max="7" width="7.28515625" style="2" hidden="1" customWidth="1"/>
    <col min="8" max="8" width="7.42578125" style="115" hidden="1" customWidth="1"/>
    <col min="9" max="9" width="9.5703125" style="2" hidden="1" customWidth="1"/>
    <col min="10" max="10" width="29.28515625" style="2" hidden="1" customWidth="1"/>
    <col min="11" max="11" width="8.5703125" style="84" customWidth="1"/>
    <col min="12" max="12" width="10.85546875" style="2" customWidth="1"/>
    <col min="13" max="13" width="8.140625" style="2" customWidth="1"/>
    <col min="14" max="14" width="12.85546875" style="2" customWidth="1"/>
    <col min="15" max="15" width="12.42578125" style="2" customWidth="1"/>
    <col min="16" max="16" width="7.140625" style="2" customWidth="1"/>
    <col min="17" max="17" width="7.42578125" style="2" customWidth="1"/>
    <col min="18" max="18" width="12.42578125" style="2" customWidth="1"/>
    <col min="19" max="19" width="13.28515625" style="2" customWidth="1"/>
    <col min="20" max="20" width="8.85546875" style="146" customWidth="1"/>
    <col min="21" max="21" width="7.42578125" style="2" bestFit="1" customWidth="1"/>
    <col min="22" max="22" width="5.28515625" style="109" customWidth="1"/>
    <col min="23" max="23" width="8.140625" style="2" bestFit="1" customWidth="1"/>
    <col min="24" max="24" width="10.140625" style="2" bestFit="1" customWidth="1"/>
    <col min="25" max="25" width="13.42578125" style="2" customWidth="1"/>
    <col min="26" max="26" width="5.5703125" style="2" customWidth="1"/>
    <col min="27" max="27" width="20.42578125" style="101" customWidth="1"/>
    <col min="28" max="28" width="12.5703125" style="157" bestFit="1" customWidth="1"/>
    <col min="29" max="29" width="13.5703125" style="157" bestFit="1" customWidth="1"/>
    <col min="30" max="30" width="10" style="2" bestFit="1" customWidth="1"/>
    <col min="31" max="16384" width="9.140625" style="2"/>
  </cols>
  <sheetData>
    <row r="1" spans="1:30" ht="15">
      <c r="A1" s="624" t="s">
        <v>492</v>
      </c>
      <c r="B1" s="624"/>
      <c r="C1" s="624"/>
      <c r="D1" s="624"/>
      <c r="E1" s="624"/>
      <c r="F1" s="624"/>
      <c r="G1" s="624"/>
      <c r="H1" s="624"/>
      <c r="I1" s="624"/>
      <c r="J1" s="624"/>
      <c r="K1" s="624"/>
      <c r="L1" s="624"/>
      <c r="M1" s="624"/>
      <c r="N1" s="622" t="s">
        <v>849</v>
      </c>
      <c r="O1" s="622"/>
      <c r="P1" s="622"/>
      <c r="Q1" s="622"/>
      <c r="R1" s="622"/>
      <c r="S1" s="622"/>
      <c r="T1" s="622"/>
      <c r="U1" s="622"/>
      <c r="V1" s="622"/>
      <c r="W1" s="622"/>
      <c r="X1" s="622"/>
      <c r="Y1" s="622"/>
      <c r="Z1" s="622"/>
      <c r="AA1" s="622"/>
    </row>
    <row r="2" spans="1:30" ht="15" customHeight="1">
      <c r="A2" s="622" t="s">
        <v>850</v>
      </c>
      <c r="B2" s="622"/>
      <c r="C2" s="622"/>
      <c r="D2" s="622"/>
      <c r="E2" s="622"/>
      <c r="F2" s="622"/>
      <c r="G2" s="622"/>
      <c r="H2" s="622"/>
      <c r="I2" s="622"/>
      <c r="J2" s="622"/>
      <c r="K2" s="622"/>
      <c r="L2" s="622"/>
      <c r="M2" s="622"/>
      <c r="N2" s="646" t="s">
        <v>851</v>
      </c>
      <c r="O2" s="646"/>
      <c r="P2" s="646"/>
      <c r="Q2" s="646"/>
      <c r="R2" s="646"/>
      <c r="S2" s="646"/>
      <c r="T2" s="646"/>
      <c r="U2" s="646"/>
      <c r="V2" s="646"/>
      <c r="W2" s="646"/>
      <c r="X2" s="646"/>
      <c r="Y2" s="646"/>
      <c r="Z2" s="646"/>
      <c r="AA2" s="646"/>
    </row>
    <row r="3" spans="1:30" ht="19.5" customHeight="1">
      <c r="A3" s="646" t="s">
        <v>852</v>
      </c>
      <c r="B3" s="646"/>
      <c r="C3" s="646"/>
      <c r="D3" s="646"/>
      <c r="E3" s="646"/>
      <c r="F3" s="646"/>
      <c r="G3" s="646"/>
      <c r="H3" s="646"/>
      <c r="I3" s="646"/>
      <c r="J3" s="646"/>
      <c r="K3" s="646"/>
      <c r="L3" s="646"/>
      <c r="M3" s="646"/>
      <c r="N3" s="104"/>
      <c r="O3" s="17"/>
      <c r="P3" s="18"/>
      <c r="Q3" s="18"/>
      <c r="R3" s="18"/>
      <c r="S3" s="17"/>
      <c r="T3" s="137"/>
      <c r="U3" s="17"/>
      <c r="V3" s="25"/>
      <c r="W3" s="17"/>
      <c r="X3" s="17"/>
      <c r="Y3" s="17"/>
      <c r="Z3" s="16"/>
    </row>
    <row r="4" spans="1:30" ht="15.75">
      <c r="A4" s="625" t="s">
        <v>792</v>
      </c>
      <c r="B4" s="625"/>
      <c r="C4" s="625"/>
      <c r="D4" s="625"/>
      <c r="E4" s="625"/>
      <c r="F4" s="625"/>
      <c r="G4" s="625"/>
      <c r="H4" s="625"/>
      <c r="I4" s="625"/>
      <c r="J4" s="625"/>
      <c r="K4" s="625"/>
      <c r="L4" s="625"/>
      <c r="M4" s="625"/>
      <c r="N4" s="625"/>
      <c r="O4" s="625"/>
      <c r="P4" s="625"/>
      <c r="Q4" s="625"/>
      <c r="R4" s="625"/>
      <c r="S4" s="625"/>
      <c r="T4" s="625"/>
      <c r="U4" s="625"/>
      <c r="V4" s="625"/>
      <c r="W4" s="625"/>
      <c r="X4" s="625"/>
      <c r="Y4" s="625"/>
      <c r="Z4" s="625"/>
      <c r="AA4" s="625"/>
    </row>
    <row r="5" spans="1:30" ht="15.75">
      <c r="A5" s="625" t="s">
        <v>1135</v>
      </c>
      <c r="B5" s="625"/>
      <c r="C5" s="625"/>
      <c r="D5" s="625"/>
      <c r="E5" s="625"/>
      <c r="F5" s="625"/>
      <c r="G5" s="625"/>
      <c r="H5" s="625"/>
      <c r="I5" s="625"/>
      <c r="J5" s="625"/>
      <c r="K5" s="625"/>
      <c r="L5" s="625"/>
      <c r="M5" s="625"/>
      <c r="N5" s="625"/>
      <c r="O5" s="625"/>
      <c r="P5" s="625"/>
      <c r="Q5" s="625"/>
      <c r="R5" s="625"/>
      <c r="S5" s="625"/>
      <c r="T5" s="625"/>
      <c r="U5" s="625"/>
      <c r="V5" s="625"/>
      <c r="W5" s="625"/>
      <c r="X5" s="625"/>
      <c r="Y5" s="625"/>
      <c r="Z5" s="625"/>
      <c r="AA5" s="625"/>
    </row>
    <row r="6" spans="1:30" ht="45" customHeight="1">
      <c r="A6" s="643" t="s">
        <v>840</v>
      </c>
      <c r="B6" s="625"/>
      <c r="C6" s="625"/>
      <c r="D6" s="625"/>
      <c r="E6" s="625"/>
      <c r="F6" s="625"/>
      <c r="G6" s="625"/>
      <c r="H6" s="625"/>
      <c r="I6" s="625"/>
      <c r="J6" s="625"/>
      <c r="K6" s="625"/>
      <c r="L6" s="625"/>
      <c r="M6" s="625"/>
      <c r="N6" s="625"/>
      <c r="O6" s="625"/>
      <c r="P6" s="625"/>
      <c r="Q6" s="625"/>
      <c r="R6" s="625"/>
      <c r="S6" s="625"/>
      <c r="T6" s="625"/>
      <c r="U6" s="625"/>
      <c r="V6" s="625"/>
      <c r="W6" s="625"/>
      <c r="X6" s="625"/>
      <c r="Y6" s="625"/>
      <c r="Z6" s="625"/>
      <c r="AA6" s="625"/>
    </row>
    <row r="7" spans="1:30" s="16" customFormat="1" ht="15">
      <c r="A7" s="7" t="s">
        <v>556</v>
      </c>
      <c r="C7" s="14"/>
      <c r="D7" s="14"/>
      <c r="E7" s="14"/>
      <c r="F7" s="14"/>
      <c r="G7" s="13"/>
      <c r="H7" s="644">
        <v>1050000</v>
      </c>
      <c r="I7" s="644"/>
      <c r="J7" s="18"/>
      <c r="K7" s="76"/>
      <c r="L7" s="17"/>
      <c r="M7" s="18"/>
      <c r="N7" s="47" t="s">
        <v>1195</v>
      </c>
      <c r="O7" s="13"/>
      <c r="P7" s="645" t="s">
        <v>834</v>
      </c>
      <c r="Q7" s="645"/>
      <c r="R7" s="645"/>
      <c r="S7" s="645"/>
      <c r="T7" s="645"/>
      <c r="U7" s="645"/>
      <c r="V7" s="25"/>
      <c r="W7" s="17"/>
      <c r="X7" s="17"/>
      <c r="Y7" s="40" t="s">
        <v>1181</v>
      </c>
      <c r="Z7" s="18"/>
      <c r="AA7" s="101"/>
      <c r="AB7" s="158"/>
      <c r="AC7" s="158"/>
    </row>
    <row r="8" spans="1:30" ht="10.5" customHeight="1">
      <c r="A8" s="1"/>
      <c r="B8" s="7"/>
      <c r="C8" s="7"/>
      <c r="D8" s="7"/>
      <c r="E8" s="7"/>
      <c r="F8" s="7"/>
      <c r="G8" s="230"/>
      <c r="H8" s="231"/>
      <c r="I8" s="1"/>
      <c r="J8" s="1"/>
      <c r="K8" s="78"/>
      <c r="L8" s="3"/>
      <c r="M8" s="1"/>
      <c r="N8" s="3"/>
      <c r="O8" s="3"/>
      <c r="P8" s="1"/>
      <c r="Q8" s="1"/>
      <c r="R8" s="1"/>
      <c r="S8" s="3"/>
      <c r="T8" s="138"/>
      <c r="U8" s="3"/>
      <c r="V8" s="26"/>
      <c r="W8" s="3"/>
      <c r="X8" s="3"/>
      <c r="Y8" s="30"/>
      <c r="Z8" s="1"/>
    </row>
    <row r="9" spans="1:30" s="117" customFormat="1" ht="63">
      <c r="A9" s="31" t="s">
        <v>853</v>
      </c>
      <c r="B9" s="634" t="s">
        <v>854</v>
      </c>
      <c r="C9" s="634"/>
      <c r="D9" s="31"/>
      <c r="E9" s="93" t="s">
        <v>51</v>
      </c>
      <c r="F9" s="93" t="s">
        <v>50</v>
      </c>
      <c r="G9" s="45" t="s">
        <v>1137</v>
      </c>
      <c r="H9" s="228" t="s">
        <v>1138</v>
      </c>
      <c r="I9" s="45" t="s">
        <v>1139</v>
      </c>
      <c r="J9" s="45" t="s">
        <v>1140</v>
      </c>
      <c r="K9" s="83" t="s">
        <v>855</v>
      </c>
      <c r="L9" s="31" t="s">
        <v>1141</v>
      </c>
      <c r="M9" s="31" t="s">
        <v>860</v>
      </c>
      <c r="N9" s="31" t="s">
        <v>1186</v>
      </c>
      <c r="O9" s="31" t="s">
        <v>48</v>
      </c>
      <c r="P9" s="31" t="s">
        <v>861</v>
      </c>
      <c r="Q9" s="31" t="s">
        <v>857</v>
      </c>
      <c r="R9" s="31" t="s">
        <v>1182</v>
      </c>
      <c r="S9" s="31" t="s">
        <v>1187</v>
      </c>
      <c r="T9" s="139" t="s">
        <v>1247</v>
      </c>
      <c r="U9" s="98" t="s">
        <v>1188</v>
      </c>
      <c r="V9" s="95" t="s">
        <v>1184</v>
      </c>
      <c r="W9" s="31" t="s">
        <v>1189</v>
      </c>
      <c r="X9" s="31" t="s">
        <v>1190</v>
      </c>
      <c r="Y9" s="31" t="s">
        <v>1100</v>
      </c>
      <c r="Z9" s="632" t="s">
        <v>40</v>
      </c>
      <c r="AA9" s="633"/>
      <c r="AB9" s="159"/>
      <c r="AC9" s="159"/>
    </row>
    <row r="10" spans="1:30" s="113" customFormat="1" ht="15" customHeight="1">
      <c r="A10" s="32" t="s">
        <v>1110</v>
      </c>
      <c r="B10" s="630" t="s">
        <v>1111</v>
      </c>
      <c r="C10" s="630"/>
      <c r="D10" s="32"/>
      <c r="E10" s="32"/>
      <c r="F10" s="32"/>
      <c r="G10" s="32" t="s">
        <v>1112</v>
      </c>
      <c r="H10" s="32" t="s">
        <v>1113</v>
      </c>
      <c r="I10" s="32" t="s">
        <v>1114</v>
      </c>
      <c r="J10" s="32" t="s">
        <v>1115</v>
      </c>
      <c r="K10" s="77" t="s">
        <v>1112</v>
      </c>
      <c r="L10" s="32" t="s">
        <v>1117</v>
      </c>
      <c r="M10" s="32" t="s">
        <v>1113</v>
      </c>
      <c r="N10" s="32" t="s">
        <v>1114</v>
      </c>
      <c r="O10" s="32" t="s">
        <v>1120</v>
      </c>
      <c r="P10" s="32" t="s">
        <v>1115</v>
      </c>
      <c r="Q10" s="32" t="s">
        <v>1116</v>
      </c>
      <c r="R10" s="32" t="s">
        <v>1123</v>
      </c>
      <c r="S10" s="32" t="s">
        <v>1117</v>
      </c>
      <c r="T10" s="140" t="s">
        <v>1125</v>
      </c>
      <c r="U10" s="32" t="s">
        <v>1118</v>
      </c>
      <c r="V10" s="52" t="s">
        <v>1127</v>
      </c>
      <c r="W10" s="32">
        <v>10</v>
      </c>
      <c r="X10" s="32">
        <v>11</v>
      </c>
      <c r="Y10" s="32">
        <v>12</v>
      </c>
      <c r="Z10" s="630">
        <v>13</v>
      </c>
      <c r="AA10" s="630"/>
      <c r="AB10" s="160"/>
      <c r="AC10" s="160"/>
    </row>
    <row r="11" spans="1:30" s="114" customFormat="1" ht="48">
      <c r="A11" s="33" t="s">
        <v>1110</v>
      </c>
      <c r="B11" s="37" t="s">
        <v>720</v>
      </c>
      <c r="C11" s="155" t="s">
        <v>721</v>
      </c>
      <c r="D11" s="155" t="s">
        <v>722</v>
      </c>
      <c r="E11" s="80" t="s">
        <v>723</v>
      </c>
      <c r="F11" s="173" t="s">
        <v>724</v>
      </c>
      <c r="G11" s="10">
        <v>6.44</v>
      </c>
      <c r="H11" s="163"/>
      <c r="I11" s="86">
        <f t="shared" ref="I11:I74" si="0">G11+(G11*H11)</f>
        <v>6.44</v>
      </c>
      <c r="J11" s="86">
        <v>0.9</v>
      </c>
      <c r="K11" s="87">
        <f>I11+J11</f>
        <v>7.3400000000000007</v>
      </c>
      <c r="L11" s="34">
        <f t="shared" ref="L11:L74" si="1">K11*$H$7</f>
        <v>7707000.0000000009</v>
      </c>
      <c r="M11" s="191" t="s">
        <v>858</v>
      </c>
      <c r="N11" s="34">
        <f>IF(M11="A",L11*0.5,IF(M11="B",L11*0.5*0.75,IF(M11="C",L11*0.5*0.75*0.75,0)))</f>
        <v>3853500.0000000005</v>
      </c>
      <c r="O11" s="34">
        <f>IF(M11="A",1050000,IF(M11="B",735000,IF(M11="C",514500,0)))</f>
        <v>1050000</v>
      </c>
      <c r="P11" s="10">
        <v>21</v>
      </c>
      <c r="Q11" s="305">
        <v>26</v>
      </c>
      <c r="R11" s="164">
        <f>IF(N11&gt;O11,N11,O11)</f>
        <v>3853500.0000000005</v>
      </c>
      <c r="S11" s="34">
        <f>IF(Q11&gt;=P11,R11,R11/P11*Q11)</f>
        <v>3853500.0000000005</v>
      </c>
      <c r="T11" s="108"/>
      <c r="U11" s="34">
        <f>T11*$H$7*0.5</f>
        <v>0</v>
      </c>
      <c r="V11" s="79"/>
      <c r="W11" s="34">
        <f t="shared" ref="W11:W74" si="2">V11*$H$7*0.5</f>
        <v>0</v>
      </c>
      <c r="X11" s="34">
        <f>(K11*0.01*$H$7)+(T11*1%*$H$7)+(V11*1%*$H$7)</f>
        <v>77070</v>
      </c>
      <c r="Y11" s="51">
        <f>(S11+U11+W11+X11)</f>
        <v>3930570.0000000005</v>
      </c>
      <c r="Z11" s="204" t="str">
        <f>A11</f>
        <v>01</v>
      </c>
      <c r="AA11" s="256" t="s">
        <v>836</v>
      </c>
      <c r="AB11" s="161"/>
      <c r="AC11" s="161"/>
    </row>
    <row r="12" spans="1:30" s="114" customFormat="1" ht="22.5" customHeight="1">
      <c r="A12" s="33" t="s">
        <v>1111</v>
      </c>
      <c r="B12" s="37" t="s">
        <v>888</v>
      </c>
      <c r="C12" s="155" t="s">
        <v>889</v>
      </c>
      <c r="D12" s="155"/>
      <c r="E12" s="80" t="s">
        <v>262</v>
      </c>
      <c r="F12" s="80" t="s">
        <v>1252</v>
      </c>
      <c r="G12" s="10">
        <v>6.04</v>
      </c>
      <c r="H12" s="163"/>
      <c r="I12" s="86">
        <f t="shared" si="0"/>
        <v>6.04</v>
      </c>
      <c r="J12" s="86">
        <v>0.7</v>
      </c>
      <c r="K12" s="87">
        <f>I12+J12</f>
        <v>6.74</v>
      </c>
      <c r="L12" s="34">
        <f t="shared" si="1"/>
        <v>7077000</v>
      </c>
      <c r="M12" s="191" t="s">
        <v>858</v>
      </c>
      <c r="N12" s="34">
        <f>IF(M12="A",L12*0.5,IF(M12="B",L12*0.5*0.75,IF(M12="C",L12*0.5*0.75*0.75,0)))</f>
        <v>3538500</v>
      </c>
      <c r="O12" s="34">
        <f t="shared" ref="O12:O75" si="3">IF(M12="A",1050000,IF(M12="B",735000,IF(M12="C",514500,0)))</f>
        <v>1050000</v>
      </c>
      <c r="P12" s="10">
        <v>21</v>
      </c>
      <c r="Q12" s="304">
        <v>26</v>
      </c>
      <c r="R12" s="164">
        <f t="shared" ref="R12:R75" si="4">IF(N12&gt;O12,N12,O12)</f>
        <v>3538500</v>
      </c>
      <c r="S12" s="34">
        <f t="shared" ref="S12:S75" si="5">IF(Q12&gt;=P12,R12,R12/P12*Q12)</f>
        <v>3538500</v>
      </c>
      <c r="T12" s="108"/>
      <c r="U12" s="34">
        <f>T12*$H$7*0.5</f>
        <v>0</v>
      </c>
      <c r="V12" s="79"/>
      <c r="W12" s="34">
        <f t="shared" si="2"/>
        <v>0</v>
      </c>
      <c r="X12" s="34">
        <f t="shared" ref="X12:X54" si="6">(K12*0.01*$H$7)+(T12*1%*$H$7)+(V12*1%*$H$7)</f>
        <v>70770</v>
      </c>
      <c r="Y12" s="51">
        <f t="shared" ref="Y12:Y75" si="7">(S12+U12+W12+X12)</f>
        <v>3609270</v>
      </c>
      <c r="Z12" s="11" t="str">
        <f t="shared" ref="Z12:Z75" si="8">A12</f>
        <v>02</v>
      </c>
      <c r="AA12" s="118" t="s">
        <v>837</v>
      </c>
      <c r="AB12" s="161"/>
      <c r="AC12" s="161"/>
    </row>
    <row r="13" spans="1:30" s="114" customFormat="1" ht="24" customHeight="1">
      <c r="A13" s="33" t="s">
        <v>1112</v>
      </c>
      <c r="B13" s="37" t="s">
        <v>890</v>
      </c>
      <c r="C13" s="155" t="s">
        <v>891</v>
      </c>
      <c r="D13" s="155"/>
      <c r="E13" s="94" t="s">
        <v>52</v>
      </c>
      <c r="F13" s="90" t="s">
        <v>1253</v>
      </c>
      <c r="G13" s="10">
        <v>4.9800000000000004</v>
      </c>
      <c r="H13" s="163">
        <v>0.09</v>
      </c>
      <c r="I13" s="86">
        <f t="shared" si="0"/>
        <v>5.4282000000000004</v>
      </c>
      <c r="J13" s="86">
        <v>0.7</v>
      </c>
      <c r="K13" s="87">
        <f t="shared" ref="K13:K76" si="9">I13+J13</f>
        <v>6.1282000000000005</v>
      </c>
      <c r="L13" s="34">
        <f t="shared" si="1"/>
        <v>6434610.0000000009</v>
      </c>
      <c r="M13" s="191" t="s">
        <v>858</v>
      </c>
      <c r="N13" s="34">
        <f t="shared" ref="N13:N76" si="10">IF(M13="A",L13*0.5,IF(M13="B",L13*0.5*0.75,IF(M13="C",L13*0.5*0.75*0.75,0)))</f>
        <v>3217305.0000000005</v>
      </c>
      <c r="O13" s="34">
        <f t="shared" si="3"/>
        <v>1050000</v>
      </c>
      <c r="P13" s="10">
        <v>21</v>
      </c>
      <c r="Q13" s="67">
        <v>26</v>
      </c>
      <c r="R13" s="164">
        <f t="shared" si="4"/>
        <v>3217305.0000000005</v>
      </c>
      <c r="S13" s="34">
        <f t="shared" si="5"/>
        <v>3217305.0000000005</v>
      </c>
      <c r="T13" s="108"/>
      <c r="U13" s="34">
        <f t="shared" ref="U13:U76" si="11">T13*$H$7*0.5</f>
        <v>0</v>
      </c>
      <c r="V13" s="79"/>
      <c r="W13" s="34">
        <f t="shared" si="2"/>
        <v>0</v>
      </c>
      <c r="X13" s="34">
        <f t="shared" si="6"/>
        <v>64346.100000000013</v>
      </c>
      <c r="Y13" s="51">
        <f t="shared" si="7"/>
        <v>3281651.1000000006</v>
      </c>
      <c r="Z13" s="11" t="str">
        <f t="shared" si="8"/>
        <v>03</v>
      </c>
      <c r="AA13" s="118"/>
      <c r="AB13" s="639" t="s">
        <v>775</v>
      </c>
      <c r="AC13" s="640"/>
      <c r="AD13" s="640"/>
    </row>
    <row r="14" spans="1:30" s="114" customFormat="1" ht="22.5" customHeight="1">
      <c r="A14" s="33" t="s">
        <v>1113</v>
      </c>
      <c r="B14" s="37" t="s">
        <v>892</v>
      </c>
      <c r="C14" s="155" t="s">
        <v>893</v>
      </c>
      <c r="D14" s="155"/>
      <c r="E14" s="94" t="s">
        <v>53</v>
      </c>
      <c r="F14" s="90" t="s">
        <v>1254</v>
      </c>
      <c r="G14" s="10">
        <v>4.9800000000000004</v>
      </c>
      <c r="H14" s="163"/>
      <c r="I14" s="86">
        <f t="shared" si="0"/>
        <v>4.9800000000000004</v>
      </c>
      <c r="J14" s="166">
        <v>0.7</v>
      </c>
      <c r="K14" s="87">
        <f t="shared" si="9"/>
        <v>5.6800000000000006</v>
      </c>
      <c r="L14" s="34">
        <f t="shared" si="1"/>
        <v>5964000.0000000009</v>
      </c>
      <c r="M14" s="191" t="s">
        <v>858</v>
      </c>
      <c r="N14" s="34">
        <f t="shared" si="10"/>
        <v>2982000.0000000005</v>
      </c>
      <c r="O14" s="34">
        <f t="shared" si="3"/>
        <v>1050000</v>
      </c>
      <c r="P14" s="10">
        <v>21</v>
      </c>
      <c r="Q14" s="67">
        <v>26</v>
      </c>
      <c r="R14" s="164">
        <f t="shared" si="4"/>
        <v>2982000.0000000005</v>
      </c>
      <c r="S14" s="34">
        <f t="shared" si="5"/>
        <v>2982000.0000000005</v>
      </c>
      <c r="T14" s="108"/>
      <c r="U14" s="34">
        <f t="shared" si="11"/>
        <v>0</v>
      </c>
      <c r="V14" s="79"/>
      <c r="W14" s="34">
        <f t="shared" si="2"/>
        <v>0</v>
      </c>
      <c r="X14" s="34">
        <f t="shared" si="6"/>
        <v>59640.000000000007</v>
      </c>
      <c r="Y14" s="51">
        <f t="shared" si="7"/>
        <v>3041640.0000000005</v>
      </c>
      <c r="Z14" s="11" t="str">
        <f t="shared" si="8"/>
        <v>04</v>
      </c>
      <c r="AA14" s="118"/>
      <c r="AB14" s="161" t="s">
        <v>727</v>
      </c>
      <c r="AC14" s="161"/>
    </row>
    <row r="15" spans="1:30" s="114" customFormat="1" ht="22.5" customHeight="1">
      <c r="A15" s="33" t="s">
        <v>1114</v>
      </c>
      <c r="B15" s="37" t="s">
        <v>894</v>
      </c>
      <c r="C15" s="155" t="s">
        <v>867</v>
      </c>
      <c r="D15" s="155" t="s">
        <v>527</v>
      </c>
      <c r="E15" s="67" t="s">
        <v>54</v>
      </c>
      <c r="F15" s="80" t="s">
        <v>1255</v>
      </c>
      <c r="G15" s="10">
        <v>3.99</v>
      </c>
      <c r="H15" s="163"/>
      <c r="I15" s="86">
        <f t="shared" si="0"/>
        <v>3.99</v>
      </c>
      <c r="J15" s="86">
        <v>0.45</v>
      </c>
      <c r="K15" s="87">
        <f t="shared" si="9"/>
        <v>4.4400000000000004</v>
      </c>
      <c r="L15" s="34">
        <f t="shared" si="1"/>
        <v>4662000</v>
      </c>
      <c r="M15" s="191" t="s">
        <v>858</v>
      </c>
      <c r="N15" s="34">
        <f t="shared" si="10"/>
        <v>2331000</v>
      </c>
      <c r="O15" s="34">
        <f t="shared" si="3"/>
        <v>1050000</v>
      </c>
      <c r="P15" s="10">
        <v>21</v>
      </c>
      <c r="Q15" s="67">
        <v>26</v>
      </c>
      <c r="R15" s="164">
        <f t="shared" si="4"/>
        <v>2331000</v>
      </c>
      <c r="S15" s="34">
        <f t="shared" si="5"/>
        <v>2331000</v>
      </c>
      <c r="T15" s="108"/>
      <c r="U15" s="34">
        <f t="shared" si="11"/>
        <v>0</v>
      </c>
      <c r="V15" s="79"/>
      <c r="W15" s="34">
        <f t="shared" si="2"/>
        <v>0</v>
      </c>
      <c r="X15" s="34">
        <f t="shared" si="6"/>
        <v>46620</v>
      </c>
      <c r="Y15" s="51">
        <f t="shared" si="7"/>
        <v>2377620</v>
      </c>
      <c r="Z15" s="11" t="str">
        <f t="shared" si="8"/>
        <v>05</v>
      </c>
      <c r="AA15" s="118"/>
      <c r="AB15" s="161"/>
      <c r="AC15" s="161"/>
    </row>
    <row r="16" spans="1:30" s="114" customFormat="1" ht="21" customHeight="1">
      <c r="A16" s="33" t="s">
        <v>1115</v>
      </c>
      <c r="B16" s="37" t="s">
        <v>1193</v>
      </c>
      <c r="C16" s="155" t="s">
        <v>885</v>
      </c>
      <c r="D16" s="155"/>
      <c r="E16" s="67" t="s">
        <v>55</v>
      </c>
      <c r="F16" s="80" t="s">
        <v>1256</v>
      </c>
      <c r="G16" s="10">
        <v>3.48</v>
      </c>
      <c r="H16" s="163">
        <v>0.06</v>
      </c>
      <c r="I16" s="86">
        <f t="shared" si="0"/>
        <v>3.6888000000000001</v>
      </c>
      <c r="J16" s="86">
        <v>0</v>
      </c>
      <c r="K16" s="87">
        <f t="shared" si="9"/>
        <v>3.6888000000000001</v>
      </c>
      <c r="L16" s="34">
        <f t="shared" si="1"/>
        <v>3873240</v>
      </c>
      <c r="M16" s="191" t="s">
        <v>858</v>
      </c>
      <c r="N16" s="34">
        <f t="shared" si="10"/>
        <v>1936620</v>
      </c>
      <c r="O16" s="34">
        <f t="shared" si="3"/>
        <v>1050000</v>
      </c>
      <c r="P16" s="10">
        <v>21</v>
      </c>
      <c r="Q16" s="67">
        <v>30</v>
      </c>
      <c r="R16" s="164">
        <f t="shared" si="4"/>
        <v>1936620</v>
      </c>
      <c r="S16" s="34">
        <f t="shared" si="5"/>
        <v>1936620</v>
      </c>
      <c r="T16" s="108"/>
      <c r="U16" s="34">
        <f t="shared" si="11"/>
        <v>0</v>
      </c>
      <c r="V16" s="79"/>
      <c r="W16" s="34">
        <f t="shared" si="2"/>
        <v>0</v>
      </c>
      <c r="X16" s="34">
        <f t="shared" si="6"/>
        <v>38732.400000000001</v>
      </c>
      <c r="Y16" s="51">
        <f t="shared" si="7"/>
        <v>1975352.4</v>
      </c>
      <c r="Z16" s="11" t="str">
        <f t="shared" si="8"/>
        <v>06</v>
      </c>
      <c r="AA16" s="132"/>
      <c r="AB16" s="161"/>
      <c r="AC16" s="161"/>
    </row>
    <row r="17" spans="1:29" s="114" customFormat="1" ht="19.5" customHeight="1">
      <c r="A17" s="33" t="s">
        <v>1116</v>
      </c>
      <c r="B17" s="37" t="s">
        <v>897</v>
      </c>
      <c r="C17" s="155" t="s">
        <v>898</v>
      </c>
      <c r="D17" s="155"/>
      <c r="E17" s="67" t="s">
        <v>56</v>
      </c>
      <c r="F17" s="80" t="s">
        <v>1257</v>
      </c>
      <c r="G17" s="10">
        <v>3.48</v>
      </c>
      <c r="H17" s="163">
        <v>0.06</v>
      </c>
      <c r="I17" s="86">
        <f t="shared" si="0"/>
        <v>3.6888000000000001</v>
      </c>
      <c r="J17" s="86">
        <v>0.25</v>
      </c>
      <c r="K17" s="87">
        <f t="shared" si="9"/>
        <v>3.9388000000000001</v>
      </c>
      <c r="L17" s="34">
        <f t="shared" si="1"/>
        <v>4135740</v>
      </c>
      <c r="M17" s="191" t="s">
        <v>858</v>
      </c>
      <c r="N17" s="34">
        <f t="shared" si="10"/>
        <v>2067870</v>
      </c>
      <c r="O17" s="34">
        <f t="shared" si="3"/>
        <v>1050000</v>
      </c>
      <c r="P17" s="10">
        <v>21</v>
      </c>
      <c r="Q17" s="67">
        <v>26</v>
      </c>
      <c r="R17" s="164">
        <f t="shared" si="4"/>
        <v>2067870</v>
      </c>
      <c r="S17" s="34">
        <f t="shared" si="5"/>
        <v>2067870</v>
      </c>
      <c r="T17" s="108"/>
      <c r="U17" s="34">
        <f t="shared" si="11"/>
        <v>0</v>
      </c>
      <c r="V17" s="79"/>
      <c r="W17" s="34">
        <f t="shared" si="2"/>
        <v>0</v>
      </c>
      <c r="X17" s="34">
        <f t="shared" si="6"/>
        <v>41357.4</v>
      </c>
      <c r="Y17" s="51">
        <f t="shared" si="7"/>
        <v>2109227.4</v>
      </c>
      <c r="Z17" s="11" t="str">
        <f t="shared" si="8"/>
        <v>07</v>
      </c>
      <c r="AA17" s="132"/>
      <c r="AB17" s="161"/>
      <c r="AC17" s="161"/>
    </row>
    <row r="18" spans="1:29" s="114" customFormat="1" ht="24">
      <c r="A18" s="33" t="s">
        <v>1117</v>
      </c>
      <c r="B18" s="37" t="s">
        <v>901</v>
      </c>
      <c r="C18" s="155" t="s">
        <v>871</v>
      </c>
      <c r="D18" s="155"/>
      <c r="E18" s="67" t="s">
        <v>58</v>
      </c>
      <c r="F18" s="80" t="s">
        <v>1259</v>
      </c>
      <c r="G18" s="10">
        <v>4.03</v>
      </c>
      <c r="H18" s="163">
        <v>0.1</v>
      </c>
      <c r="I18" s="86">
        <f t="shared" si="0"/>
        <v>4.4329999999999998</v>
      </c>
      <c r="J18" s="86">
        <v>0</v>
      </c>
      <c r="K18" s="87">
        <f t="shared" si="9"/>
        <v>4.4329999999999998</v>
      </c>
      <c r="L18" s="34">
        <f t="shared" si="1"/>
        <v>4654650</v>
      </c>
      <c r="M18" s="191" t="s">
        <v>858</v>
      </c>
      <c r="N18" s="34">
        <f t="shared" si="10"/>
        <v>2327325</v>
      </c>
      <c r="O18" s="34">
        <f t="shared" si="3"/>
        <v>1050000</v>
      </c>
      <c r="P18" s="10">
        <v>21</v>
      </c>
      <c r="Q18" s="67">
        <v>26</v>
      </c>
      <c r="R18" s="164">
        <f t="shared" si="4"/>
        <v>2327325</v>
      </c>
      <c r="S18" s="34">
        <f t="shared" si="5"/>
        <v>2327325</v>
      </c>
      <c r="T18" s="108"/>
      <c r="U18" s="34">
        <f t="shared" si="11"/>
        <v>0</v>
      </c>
      <c r="V18" s="79"/>
      <c r="W18" s="34">
        <f t="shared" si="2"/>
        <v>0</v>
      </c>
      <c r="X18" s="34">
        <f t="shared" si="6"/>
        <v>46546.5</v>
      </c>
      <c r="Y18" s="51">
        <f t="shared" si="7"/>
        <v>2373871.5</v>
      </c>
      <c r="Z18" s="11" t="str">
        <f t="shared" si="8"/>
        <v>08</v>
      </c>
      <c r="AA18" s="132" t="s">
        <v>838</v>
      </c>
      <c r="AB18" s="161"/>
      <c r="AC18" s="161"/>
    </row>
    <row r="19" spans="1:29" s="114" customFormat="1" ht="20.25" customHeight="1">
      <c r="A19" s="33" t="s">
        <v>1118</v>
      </c>
      <c r="B19" s="37" t="s">
        <v>902</v>
      </c>
      <c r="C19" s="155" t="s">
        <v>903</v>
      </c>
      <c r="D19" s="155"/>
      <c r="E19" s="67" t="s">
        <v>59</v>
      </c>
      <c r="F19" s="80" t="s">
        <v>1260</v>
      </c>
      <c r="G19" s="10">
        <v>3.99</v>
      </c>
      <c r="H19" s="163"/>
      <c r="I19" s="86">
        <f t="shared" si="0"/>
        <v>3.99</v>
      </c>
      <c r="J19" s="86">
        <v>0.35</v>
      </c>
      <c r="K19" s="87">
        <f t="shared" si="9"/>
        <v>4.34</v>
      </c>
      <c r="L19" s="34">
        <f t="shared" si="1"/>
        <v>4557000</v>
      </c>
      <c r="M19" s="191" t="s">
        <v>858</v>
      </c>
      <c r="N19" s="34">
        <f t="shared" si="10"/>
        <v>2278500</v>
      </c>
      <c r="O19" s="34">
        <f t="shared" si="3"/>
        <v>1050000</v>
      </c>
      <c r="P19" s="10">
        <v>21</v>
      </c>
      <c r="Q19" s="67">
        <v>26</v>
      </c>
      <c r="R19" s="164">
        <f t="shared" si="4"/>
        <v>2278500</v>
      </c>
      <c r="S19" s="34">
        <f t="shared" si="5"/>
        <v>2278500</v>
      </c>
      <c r="T19" s="108"/>
      <c r="U19" s="34">
        <f t="shared" si="11"/>
        <v>0</v>
      </c>
      <c r="V19" s="79"/>
      <c r="W19" s="34">
        <f t="shared" si="2"/>
        <v>0</v>
      </c>
      <c r="X19" s="34">
        <f t="shared" si="6"/>
        <v>45570</v>
      </c>
      <c r="Y19" s="51">
        <f t="shared" si="7"/>
        <v>2324070</v>
      </c>
      <c r="Z19" s="11" t="str">
        <f t="shared" si="8"/>
        <v>09</v>
      </c>
      <c r="AA19" s="118"/>
      <c r="AB19" s="161"/>
      <c r="AC19" s="161"/>
    </row>
    <row r="20" spans="1:29" s="114" customFormat="1" ht="26.25" customHeight="1">
      <c r="A20" s="33" t="s">
        <v>1119</v>
      </c>
      <c r="B20" s="37" t="s">
        <v>888</v>
      </c>
      <c r="C20" s="155" t="s">
        <v>555</v>
      </c>
      <c r="D20" s="155"/>
      <c r="E20" s="67" t="s">
        <v>61</v>
      </c>
      <c r="F20" s="80" t="s">
        <v>1262</v>
      </c>
      <c r="G20" s="10">
        <v>2.06</v>
      </c>
      <c r="H20" s="163"/>
      <c r="I20" s="86">
        <f t="shared" si="0"/>
        <v>2.06</v>
      </c>
      <c r="J20" s="86">
        <v>0</v>
      </c>
      <c r="K20" s="87">
        <f t="shared" si="9"/>
        <v>2.06</v>
      </c>
      <c r="L20" s="34">
        <f t="shared" si="1"/>
        <v>2163000</v>
      </c>
      <c r="M20" s="191" t="s">
        <v>858</v>
      </c>
      <c r="N20" s="34">
        <f t="shared" si="10"/>
        <v>1081500</v>
      </c>
      <c r="O20" s="34">
        <f t="shared" si="3"/>
        <v>1050000</v>
      </c>
      <c r="P20" s="10">
        <v>21</v>
      </c>
      <c r="Q20" s="304">
        <v>19</v>
      </c>
      <c r="R20" s="164">
        <f t="shared" si="4"/>
        <v>1081500</v>
      </c>
      <c r="S20" s="34">
        <f t="shared" si="5"/>
        <v>978500</v>
      </c>
      <c r="T20" s="108"/>
      <c r="U20" s="34">
        <f t="shared" si="11"/>
        <v>0</v>
      </c>
      <c r="V20" s="79"/>
      <c r="W20" s="34">
        <f t="shared" si="2"/>
        <v>0</v>
      </c>
      <c r="X20" s="34">
        <f t="shared" si="6"/>
        <v>21630</v>
      </c>
      <c r="Y20" s="51">
        <f t="shared" si="7"/>
        <v>1000130</v>
      </c>
      <c r="Z20" s="11" t="str">
        <f t="shared" si="8"/>
        <v>10</v>
      </c>
      <c r="AA20" s="118" t="s">
        <v>808</v>
      </c>
      <c r="AB20" s="161"/>
      <c r="AC20" s="161"/>
    </row>
    <row r="21" spans="1:29" s="114" customFormat="1" ht="27" customHeight="1">
      <c r="A21" s="33" t="s">
        <v>1120</v>
      </c>
      <c r="B21" s="37" t="s">
        <v>906</v>
      </c>
      <c r="C21" s="155" t="s">
        <v>883</v>
      </c>
      <c r="D21" s="155"/>
      <c r="E21" s="67" t="s">
        <v>62</v>
      </c>
      <c r="F21" s="80" t="s">
        <v>1263</v>
      </c>
      <c r="G21" s="10">
        <v>2.67</v>
      </c>
      <c r="H21" s="163"/>
      <c r="I21" s="86">
        <f t="shared" si="0"/>
        <v>2.67</v>
      </c>
      <c r="J21" s="86">
        <v>0</v>
      </c>
      <c r="K21" s="87">
        <f t="shared" si="9"/>
        <v>2.67</v>
      </c>
      <c r="L21" s="34">
        <f t="shared" si="1"/>
        <v>2803500</v>
      </c>
      <c r="M21" s="191" t="s">
        <v>858</v>
      </c>
      <c r="N21" s="34">
        <f t="shared" si="10"/>
        <v>1401750</v>
      </c>
      <c r="O21" s="34">
        <f t="shared" si="3"/>
        <v>1050000</v>
      </c>
      <c r="P21" s="10">
        <v>21</v>
      </c>
      <c r="Q21" s="67">
        <v>26</v>
      </c>
      <c r="R21" s="164">
        <f t="shared" si="4"/>
        <v>1401750</v>
      </c>
      <c r="S21" s="34">
        <f t="shared" si="5"/>
        <v>1401750</v>
      </c>
      <c r="T21" s="108"/>
      <c r="U21" s="34">
        <f t="shared" si="11"/>
        <v>0</v>
      </c>
      <c r="V21" s="79"/>
      <c r="W21" s="34">
        <f t="shared" si="2"/>
        <v>0</v>
      </c>
      <c r="X21" s="34">
        <f t="shared" si="6"/>
        <v>28035</v>
      </c>
      <c r="Y21" s="51">
        <f t="shared" si="7"/>
        <v>1429785</v>
      </c>
      <c r="Z21" s="11" t="str">
        <f t="shared" si="8"/>
        <v>11</v>
      </c>
      <c r="AA21" s="118"/>
      <c r="AB21" s="161"/>
      <c r="AC21" s="161"/>
    </row>
    <row r="22" spans="1:29" s="114" customFormat="1" ht="15.75">
      <c r="A22" s="33" t="s">
        <v>1121</v>
      </c>
      <c r="B22" s="37" t="s">
        <v>1167</v>
      </c>
      <c r="C22" s="155" t="s">
        <v>996</v>
      </c>
      <c r="D22" s="155"/>
      <c r="E22" s="67" t="s">
        <v>63</v>
      </c>
      <c r="F22" s="80" t="s">
        <v>1264</v>
      </c>
      <c r="G22" s="10">
        <v>2.2599999999999998</v>
      </c>
      <c r="H22" s="163"/>
      <c r="I22" s="86">
        <f t="shared" si="0"/>
        <v>2.2599999999999998</v>
      </c>
      <c r="J22" s="86">
        <v>0</v>
      </c>
      <c r="K22" s="87">
        <f t="shared" si="9"/>
        <v>2.2599999999999998</v>
      </c>
      <c r="L22" s="34">
        <f t="shared" si="1"/>
        <v>2373000</v>
      </c>
      <c r="M22" s="191" t="s">
        <v>858</v>
      </c>
      <c r="N22" s="34">
        <f t="shared" si="10"/>
        <v>1186500</v>
      </c>
      <c r="O22" s="34">
        <f t="shared" si="3"/>
        <v>1050000</v>
      </c>
      <c r="P22" s="10">
        <v>21</v>
      </c>
      <c r="Q22" s="67">
        <v>25</v>
      </c>
      <c r="R22" s="164">
        <f t="shared" si="4"/>
        <v>1186500</v>
      </c>
      <c r="S22" s="34">
        <f t="shared" si="5"/>
        <v>1186500</v>
      </c>
      <c r="T22" s="108"/>
      <c r="U22" s="34">
        <f t="shared" si="11"/>
        <v>0</v>
      </c>
      <c r="V22" s="79"/>
      <c r="W22" s="34">
        <f t="shared" si="2"/>
        <v>0</v>
      </c>
      <c r="X22" s="34">
        <f t="shared" si="6"/>
        <v>23730</v>
      </c>
      <c r="Y22" s="51">
        <f t="shared" si="7"/>
        <v>1210230</v>
      </c>
      <c r="Z22" s="11" t="str">
        <f t="shared" si="8"/>
        <v>12</v>
      </c>
      <c r="AA22" s="132" t="s">
        <v>798</v>
      </c>
      <c r="AB22" s="161"/>
      <c r="AC22" s="161"/>
    </row>
    <row r="23" spans="1:29" s="114" customFormat="1" ht="25.5" customHeight="1">
      <c r="A23" s="33" t="s">
        <v>1122</v>
      </c>
      <c r="B23" s="237" t="s">
        <v>1168</v>
      </c>
      <c r="C23" s="275" t="s">
        <v>1169</v>
      </c>
      <c r="D23" s="275"/>
      <c r="E23" s="239" t="s">
        <v>64</v>
      </c>
      <c r="F23" s="240" t="s">
        <v>1265</v>
      </c>
      <c r="G23" s="241">
        <v>2.04</v>
      </c>
      <c r="H23" s="242"/>
      <c r="I23" s="243">
        <f t="shared" si="0"/>
        <v>2.04</v>
      </c>
      <c r="J23" s="243">
        <v>0</v>
      </c>
      <c r="K23" s="244">
        <f t="shared" si="9"/>
        <v>2.04</v>
      </c>
      <c r="L23" s="245">
        <f t="shared" si="1"/>
        <v>2142000</v>
      </c>
      <c r="M23" s="191" t="s">
        <v>785</v>
      </c>
      <c r="N23" s="292">
        <f t="shared" si="10"/>
        <v>0</v>
      </c>
      <c r="O23" s="245">
        <f t="shared" si="3"/>
        <v>0</v>
      </c>
      <c r="P23" s="291">
        <v>21</v>
      </c>
      <c r="Q23" s="239">
        <v>0</v>
      </c>
      <c r="R23" s="246">
        <f t="shared" si="4"/>
        <v>0</v>
      </c>
      <c r="S23" s="245">
        <f t="shared" si="5"/>
        <v>0</v>
      </c>
      <c r="T23" s="247"/>
      <c r="U23" s="245">
        <f t="shared" si="11"/>
        <v>0</v>
      </c>
      <c r="V23" s="249"/>
      <c r="W23" s="245">
        <f t="shared" si="2"/>
        <v>0</v>
      </c>
      <c r="X23" s="245">
        <v>0</v>
      </c>
      <c r="Y23" s="250">
        <f t="shared" si="7"/>
        <v>0</v>
      </c>
      <c r="Z23" s="251" t="str">
        <f t="shared" si="8"/>
        <v>13</v>
      </c>
      <c r="AA23" s="260"/>
      <c r="AB23" s="161"/>
      <c r="AC23" s="161"/>
    </row>
    <row r="24" spans="1:29" s="114" customFormat="1" ht="22.5" customHeight="1">
      <c r="A24" s="33" t="s">
        <v>1123</v>
      </c>
      <c r="B24" s="37" t="s">
        <v>1054</v>
      </c>
      <c r="C24" s="155" t="s">
        <v>1172</v>
      </c>
      <c r="D24" s="155"/>
      <c r="E24" s="67" t="s">
        <v>66</v>
      </c>
      <c r="F24" s="80" t="s">
        <v>1267</v>
      </c>
      <c r="G24" s="10">
        <v>2.0099999999999998</v>
      </c>
      <c r="H24" s="163"/>
      <c r="I24" s="86">
        <f t="shared" si="0"/>
        <v>2.0099999999999998</v>
      </c>
      <c r="J24" s="86">
        <v>0</v>
      </c>
      <c r="K24" s="87">
        <f t="shared" si="9"/>
        <v>2.0099999999999998</v>
      </c>
      <c r="L24" s="34">
        <f t="shared" si="1"/>
        <v>2110500</v>
      </c>
      <c r="M24" s="191" t="s">
        <v>858</v>
      </c>
      <c r="N24" s="34">
        <f t="shared" si="10"/>
        <v>1055250</v>
      </c>
      <c r="O24" s="34">
        <f t="shared" si="3"/>
        <v>1050000</v>
      </c>
      <c r="P24" s="10">
        <v>21</v>
      </c>
      <c r="Q24" s="67">
        <v>25</v>
      </c>
      <c r="R24" s="164">
        <f t="shared" si="4"/>
        <v>1055250</v>
      </c>
      <c r="S24" s="34">
        <f t="shared" si="5"/>
        <v>1055250</v>
      </c>
      <c r="T24" s="108"/>
      <c r="U24" s="34">
        <f t="shared" si="11"/>
        <v>0</v>
      </c>
      <c r="V24" s="79"/>
      <c r="W24" s="34">
        <f t="shared" si="2"/>
        <v>0</v>
      </c>
      <c r="X24" s="34">
        <f t="shared" si="6"/>
        <v>21105</v>
      </c>
      <c r="Y24" s="51">
        <f t="shared" si="7"/>
        <v>1076355</v>
      </c>
      <c r="Z24" s="11" t="str">
        <f t="shared" si="8"/>
        <v>14</v>
      </c>
      <c r="AA24" s="118"/>
      <c r="AB24" s="161"/>
      <c r="AC24" s="161"/>
    </row>
    <row r="25" spans="1:29" s="114" customFormat="1" ht="21" customHeight="1">
      <c r="A25" s="33" t="s">
        <v>1124</v>
      </c>
      <c r="B25" s="37" t="s">
        <v>1173</v>
      </c>
      <c r="C25" s="155" t="s">
        <v>1035</v>
      </c>
      <c r="D25" s="155"/>
      <c r="E25" s="67" t="s">
        <v>67</v>
      </c>
      <c r="F25" s="80" t="s">
        <v>1268</v>
      </c>
      <c r="G25" s="10">
        <v>2.2599999999999998</v>
      </c>
      <c r="H25" s="163"/>
      <c r="I25" s="86">
        <f t="shared" si="0"/>
        <v>2.2599999999999998</v>
      </c>
      <c r="J25" s="86">
        <v>0</v>
      </c>
      <c r="K25" s="87">
        <f t="shared" si="9"/>
        <v>2.2599999999999998</v>
      </c>
      <c r="L25" s="34">
        <f t="shared" si="1"/>
        <v>2373000</v>
      </c>
      <c r="M25" s="191" t="s">
        <v>858</v>
      </c>
      <c r="N25" s="34">
        <f t="shared" si="10"/>
        <v>1186500</v>
      </c>
      <c r="O25" s="34">
        <f t="shared" si="3"/>
        <v>1050000</v>
      </c>
      <c r="P25" s="10">
        <v>21</v>
      </c>
      <c r="Q25" s="67">
        <v>26</v>
      </c>
      <c r="R25" s="164">
        <f t="shared" si="4"/>
        <v>1186500</v>
      </c>
      <c r="S25" s="34">
        <f t="shared" si="5"/>
        <v>1186500</v>
      </c>
      <c r="T25" s="108"/>
      <c r="U25" s="34">
        <f t="shared" si="11"/>
        <v>0</v>
      </c>
      <c r="V25" s="79"/>
      <c r="W25" s="34">
        <f t="shared" si="2"/>
        <v>0</v>
      </c>
      <c r="X25" s="34">
        <f t="shared" si="6"/>
        <v>23730</v>
      </c>
      <c r="Y25" s="51">
        <f t="shared" si="7"/>
        <v>1210230</v>
      </c>
      <c r="Z25" s="11" t="str">
        <f t="shared" si="8"/>
        <v>15</v>
      </c>
      <c r="AA25" s="118"/>
      <c r="AB25" s="161"/>
      <c r="AC25" s="161"/>
    </row>
    <row r="26" spans="1:29" s="114" customFormat="1" ht="21" customHeight="1">
      <c r="A26" s="33" t="s">
        <v>1125</v>
      </c>
      <c r="B26" s="37" t="s">
        <v>263</v>
      </c>
      <c r="C26" s="155" t="s">
        <v>1087</v>
      </c>
      <c r="D26" s="155"/>
      <c r="E26" s="67" t="s">
        <v>311</v>
      </c>
      <c r="F26" s="107" t="s">
        <v>367</v>
      </c>
      <c r="G26" s="10">
        <v>2.2599999999999998</v>
      </c>
      <c r="H26" s="163"/>
      <c r="I26" s="86">
        <f t="shared" si="0"/>
        <v>2.2599999999999998</v>
      </c>
      <c r="J26" s="86">
        <v>0</v>
      </c>
      <c r="K26" s="87">
        <f t="shared" si="9"/>
        <v>2.2599999999999998</v>
      </c>
      <c r="L26" s="34">
        <f t="shared" si="1"/>
        <v>2373000</v>
      </c>
      <c r="M26" s="191" t="s">
        <v>858</v>
      </c>
      <c r="N26" s="34">
        <f t="shared" si="10"/>
        <v>1186500</v>
      </c>
      <c r="O26" s="34">
        <f t="shared" si="3"/>
        <v>1050000</v>
      </c>
      <c r="P26" s="10">
        <v>21</v>
      </c>
      <c r="Q26" s="67">
        <v>24</v>
      </c>
      <c r="R26" s="164">
        <f t="shared" si="4"/>
        <v>1186500</v>
      </c>
      <c r="S26" s="34">
        <f t="shared" si="5"/>
        <v>1186500</v>
      </c>
      <c r="T26" s="108"/>
      <c r="U26" s="34">
        <f t="shared" si="11"/>
        <v>0</v>
      </c>
      <c r="V26" s="79"/>
      <c r="W26" s="34">
        <f t="shared" si="2"/>
        <v>0</v>
      </c>
      <c r="X26" s="34">
        <f t="shared" si="6"/>
        <v>23730</v>
      </c>
      <c r="Y26" s="51">
        <f t="shared" si="7"/>
        <v>1210230</v>
      </c>
      <c r="Z26" s="11" t="str">
        <f t="shared" si="8"/>
        <v>16</v>
      </c>
      <c r="AA26" s="133" t="s">
        <v>798</v>
      </c>
      <c r="AB26" s="161"/>
      <c r="AC26" s="161"/>
    </row>
    <row r="27" spans="1:29" s="114" customFormat="1" ht="23.25" customHeight="1">
      <c r="A27" s="33" t="s">
        <v>1126</v>
      </c>
      <c r="B27" s="37" t="s">
        <v>899</v>
      </c>
      <c r="C27" s="155" t="s">
        <v>900</v>
      </c>
      <c r="D27" s="155" t="s">
        <v>528</v>
      </c>
      <c r="E27" s="67" t="s">
        <v>57</v>
      </c>
      <c r="F27" s="80" t="s">
        <v>1258</v>
      </c>
      <c r="G27" s="88">
        <v>3.33</v>
      </c>
      <c r="H27" s="167"/>
      <c r="I27" s="86">
        <f t="shared" si="0"/>
        <v>3.33</v>
      </c>
      <c r="J27" s="86">
        <v>0.45</v>
      </c>
      <c r="K27" s="87">
        <f t="shared" si="9"/>
        <v>3.7800000000000002</v>
      </c>
      <c r="L27" s="34">
        <f t="shared" si="1"/>
        <v>3969000.0000000005</v>
      </c>
      <c r="M27" s="191" t="s">
        <v>858</v>
      </c>
      <c r="N27" s="34">
        <f t="shared" si="10"/>
        <v>1984500.0000000002</v>
      </c>
      <c r="O27" s="34">
        <f t="shared" si="3"/>
        <v>1050000</v>
      </c>
      <c r="P27" s="10">
        <v>21</v>
      </c>
      <c r="Q27" s="67">
        <v>24</v>
      </c>
      <c r="R27" s="164">
        <f t="shared" si="4"/>
        <v>1984500.0000000002</v>
      </c>
      <c r="S27" s="34">
        <f t="shared" si="5"/>
        <v>1984500.0000000002</v>
      </c>
      <c r="T27" s="108"/>
      <c r="U27" s="34">
        <f t="shared" si="11"/>
        <v>0</v>
      </c>
      <c r="V27" s="79"/>
      <c r="W27" s="34">
        <f t="shared" si="2"/>
        <v>0</v>
      </c>
      <c r="X27" s="34">
        <f t="shared" si="6"/>
        <v>39690</v>
      </c>
      <c r="Y27" s="51">
        <f>(S27+U27+W27+X27)</f>
        <v>2024190.0000000002</v>
      </c>
      <c r="Z27" s="11" t="str">
        <f t="shared" si="8"/>
        <v>17</v>
      </c>
      <c r="AA27" s="118"/>
      <c r="AB27" s="161">
        <v>1230390</v>
      </c>
      <c r="AC27" s="161"/>
    </row>
    <row r="28" spans="1:29" s="114" customFormat="1" ht="22.5" customHeight="1">
      <c r="A28" s="33" t="s">
        <v>1127</v>
      </c>
      <c r="B28" s="37" t="s">
        <v>264</v>
      </c>
      <c r="C28" s="155" t="s">
        <v>885</v>
      </c>
      <c r="D28" s="155"/>
      <c r="E28" s="67" t="s">
        <v>312</v>
      </c>
      <c r="F28" s="107">
        <v>1603205247426</v>
      </c>
      <c r="G28" s="10">
        <v>2.46</v>
      </c>
      <c r="H28" s="163"/>
      <c r="I28" s="86">
        <f t="shared" si="0"/>
        <v>2.46</v>
      </c>
      <c r="J28" s="86">
        <v>0</v>
      </c>
      <c r="K28" s="87">
        <f t="shared" si="9"/>
        <v>2.46</v>
      </c>
      <c r="L28" s="34">
        <f t="shared" si="1"/>
        <v>2583000</v>
      </c>
      <c r="M28" s="191" t="s">
        <v>858</v>
      </c>
      <c r="N28" s="34">
        <f t="shared" si="10"/>
        <v>1291500</v>
      </c>
      <c r="O28" s="34">
        <f t="shared" si="3"/>
        <v>1050000</v>
      </c>
      <c r="P28" s="10">
        <v>21</v>
      </c>
      <c r="Q28" s="67">
        <v>24</v>
      </c>
      <c r="R28" s="164">
        <f t="shared" si="4"/>
        <v>1291500</v>
      </c>
      <c r="S28" s="34">
        <f t="shared" si="5"/>
        <v>1291500</v>
      </c>
      <c r="T28" s="108"/>
      <c r="U28" s="34">
        <f t="shared" si="11"/>
        <v>0</v>
      </c>
      <c r="V28" s="79"/>
      <c r="W28" s="34">
        <f t="shared" si="2"/>
        <v>0</v>
      </c>
      <c r="X28" s="34">
        <f t="shared" si="6"/>
        <v>25830</v>
      </c>
      <c r="Y28" s="51">
        <f t="shared" si="7"/>
        <v>1317330</v>
      </c>
      <c r="Z28" s="11" t="str">
        <f t="shared" si="8"/>
        <v>18</v>
      </c>
      <c r="AA28" s="132"/>
      <c r="AB28" s="161"/>
      <c r="AC28" s="161"/>
    </row>
    <row r="29" spans="1:29" s="114" customFormat="1" ht="22.5" customHeight="1">
      <c r="A29" s="33" t="s">
        <v>1131</v>
      </c>
      <c r="B29" s="37" t="s">
        <v>907</v>
      </c>
      <c r="C29" s="155" t="s">
        <v>880</v>
      </c>
      <c r="D29" s="155" t="s">
        <v>529</v>
      </c>
      <c r="E29" s="94" t="s">
        <v>68</v>
      </c>
      <c r="F29" s="80" t="s">
        <v>1269</v>
      </c>
      <c r="G29" s="10">
        <v>4.32</v>
      </c>
      <c r="H29" s="163"/>
      <c r="I29" s="86">
        <f t="shared" si="0"/>
        <v>4.32</v>
      </c>
      <c r="J29" s="86">
        <v>0.55000000000000004</v>
      </c>
      <c r="K29" s="87">
        <f t="shared" si="9"/>
        <v>4.87</v>
      </c>
      <c r="L29" s="34">
        <f t="shared" si="1"/>
        <v>5113500</v>
      </c>
      <c r="M29" s="191" t="s">
        <v>858</v>
      </c>
      <c r="N29" s="34">
        <f t="shared" si="10"/>
        <v>2556750</v>
      </c>
      <c r="O29" s="34">
        <f t="shared" si="3"/>
        <v>1050000</v>
      </c>
      <c r="P29" s="10">
        <v>21</v>
      </c>
      <c r="Q29" s="67">
        <v>26</v>
      </c>
      <c r="R29" s="164">
        <f t="shared" si="4"/>
        <v>2556750</v>
      </c>
      <c r="S29" s="34">
        <f t="shared" si="5"/>
        <v>2556750</v>
      </c>
      <c r="T29" s="108"/>
      <c r="U29" s="34">
        <f t="shared" si="11"/>
        <v>0</v>
      </c>
      <c r="V29" s="79"/>
      <c r="W29" s="34">
        <f t="shared" si="2"/>
        <v>0</v>
      </c>
      <c r="X29" s="34">
        <f t="shared" si="6"/>
        <v>51135</v>
      </c>
      <c r="Y29" s="51">
        <f t="shared" si="7"/>
        <v>2607885</v>
      </c>
      <c r="Z29" s="11" t="str">
        <f t="shared" si="8"/>
        <v>19</v>
      </c>
      <c r="AA29" s="132"/>
      <c r="AB29" s="161" t="s">
        <v>727</v>
      </c>
      <c r="AC29" s="161"/>
    </row>
    <row r="30" spans="1:29" s="114" customFormat="1" ht="20.25" customHeight="1">
      <c r="A30" s="33" t="s">
        <v>1132</v>
      </c>
      <c r="B30" s="37" t="s">
        <v>908</v>
      </c>
      <c r="C30" s="155" t="s">
        <v>909</v>
      </c>
      <c r="D30" s="155"/>
      <c r="E30" s="67" t="s">
        <v>69</v>
      </c>
      <c r="F30" s="80" t="s">
        <v>1270</v>
      </c>
      <c r="G30" s="10">
        <v>3.33</v>
      </c>
      <c r="H30" s="163">
        <v>0.19</v>
      </c>
      <c r="I30" s="86">
        <f>G30+(G30*H30)</f>
        <v>3.9626999999999999</v>
      </c>
      <c r="J30" s="86">
        <v>0</v>
      </c>
      <c r="K30" s="87">
        <f t="shared" si="9"/>
        <v>3.9626999999999999</v>
      </c>
      <c r="L30" s="34">
        <f t="shared" si="1"/>
        <v>4160835</v>
      </c>
      <c r="M30" s="191" t="s">
        <v>858</v>
      </c>
      <c r="N30" s="34">
        <f t="shared" si="10"/>
        <v>2080417.5</v>
      </c>
      <c r="O30" s="34">
        <f t="shared" si="3"/>
        <v>1050000</v>
      </c>
      <c r="P30" s="10">
        <v>21</v>
      </c>
      <c r="Q30" s="67">
        <v>25</v>
      </c>
      <c r="R30" s="164">
        <f t="shared" si="4"/>
        <v>2080417.5</v>
      </c>
      <c r="S30" s="34">
        <f t="shared" si="5"/>
        <v>2080417.5</v>
      </c>
      <c r="T30" s="108"/>
      <c r="U30" s="34">
        <f t="shared" si="11"/>
        <v>0</v>
      </c>
      <c r="V30" s="79"/>
      <c r="W30" s="34">
        <f t="shared" si="2"/>
        <v>0</v>
      </c>
      <c r="X30" s="34">
        <f t="shared" si="6"/>
        <v>41608.350000000006</v>
      </c>
      <c r="Y30" s="51">
        <f t="shared" si="7"/>
        <v>2122025.85</v>
      </c>
      <c r="Z30" s="11" t="str">
        <f t="shared" si="8"/>
        <v>20</v>
      </c>
      <c r="AA30" s="118"/>
      <c r="AB30" s="353" t="s">
        <v>830</v>
      </c>
      <c r="AC30" s="161"/>
    </row>
    <row r="31" spans="1:29" s="114" customFormat="1" ht="27.75" customHeight="1">
      <c r="A31" s="33" t="s">
        <v>1133</v>
      </c>
      <c r="B31" s="37" t="s">
        <v>911</v>
      </c>
      <c r="C31" s="155" t="s">
        <v>912</v>
      </c>
      <c r="D31" s="155"/>
      <c r="E31" s="67" t="s">
        <v>70</v>
      </c>
      <c r="F31" s="80" t="s">
        <v>1271</v>
      </c>
      <c r="G31" s="191">
        <v>3</v>
      </c>
      <c r="H31" s="163"/>
      <c r="I31" s="86">
        <f t="shared" si="0"/>
        <v>3</v>
      </c>
      <c r="J31" s="86">
        <v>0.35</v>
      </c>
      <c r="K31" s="87">
        <f t="shared" si="9"/>
        <v>3.35</v>
      </c>
      <c r="L31" s="34">
        <f t="shared" si="1"/>
        <v>3517500</v>
      </c>
      <c r="M31" s="191" t="s">
        <v>858</v>
      </c>
      <c r="N31" s="34">
        <f t="shared" si="10"/>
        <v>1758750</v>
      </c>
      <c r="O31" s="34">
        <f t="shared" si="3"/>
        <v>1050000</v>
      </c>
      <c r="P31" s="10">
        <v>21</v>
      </c>
      <c r="Q31" s="67">
        <v>24</v>
      </c>
      <c r="R31" s="164">
        <f t="shared" si="4"/>
        <v>1758750</v>
      </c>
      <c r="S31" s="34">
        <f t="shared" si="5"/>
        <v>1758750</v>
      </c>
      <c r="T31" s="108"/>
      <c r="U31" s="34">
        <f t="shared" si="11"/>
        <v>0</v>
      </c>
      <c r="V31" s="79"/>
      <c r="W31" s="34">
        <f t="shared" si="2"/>
        <v>0</v>
      </c>
      <c r="X31" s="34">
        <f t="shared" si="6"/>
        <v>35175</v>
      </c>
      <c r="Y31" s="51">
        <f t="shared" si="7"/>
        <v>1793925</v>
      </c>
      <c r="Z31" s="11" t="str">
        <f t="shared" si="8"/>
        <v>21</v>
      </c>
      <c r="AA31" s="118"/>
      <c r="AB31" s="161"/>
      <c r="AC31" s="161"/>
    </row>
    <row r="32" spans="1:29" s="114" customFormat="1" ht="41.25" customHeight="1">
      <c r="A32" s="33" t="s">
        <v>1142</v>
      </c>
      <c r="B32" s="37" t="s">
        <v>913</v>
      </c>
      <c r="C32" s="155" t="s">
        <v>883</v>
      </c>
      <c r="D32" s="155"/>
      <c r="E32" s="94" t="s">
        <v>71</v>
      </c>
      <c r="F32" s="80" t="s">
        <v>1272</v>
      </c>
      <c r="G32" s="10">
        <v>3.99</v>
      </c>
      <c r="H32" s="163"/>
      <c r="I32" s="86">
        <f t="shared" si="0"/>
        <v>3.99</v>
      </c>
      <c r="J32" s="86">
        <v>0.35</v>
      </c>
      <c r="K32" s="87">
        <f t="shared" si="9"/>
        <v>4.34</v>
      </c>
      <c r="L32" s="34">
        <f t="shared" si="1"/>
        <v>4557000</v>
      </c>
      <c r="M32" s="191" t="s">
        <v>858</v>
      </c>
      <c r="N32" s="34">
        <f t="shared" si="10"/>
        <v>2278500</v>
      </c>
      <c r="O32" s="34">
        <f t="shared" si="3"/>
        <v>1050000</v>
      </c>
      <c r="P32" s="10">
        <v>21</v>
      </c>
      <c r="Q32" s="67">
        <v>24</v>
      </c>
      <c r="R32" s="164">
        <f t="shared" si="4"/>
        <v>2278500</v>
      </c>
      <c r="S32" s="34">
        <f t="shared" si="5"/>
        <v>2278500</v>
      </c>
      <c r="T32" s="108"/>
      <c r="U32" s="34">
        <f t="shared" si="11"/>
        <v>0</v>
      </c>
      <c r="V32" s="79"/>
      <c r="W32" s="34">
        <f t="shared" si="2"/>
        <v>0</v>
      </c>
      <c r="X32" s="34">
        <f t="shared" si="6"/>
        <v>45570</v>
      </c>
      <c r="Y32" s="51">
        <f t="shared" si="7"/>
        <v>2324070</v>
      </c>
      <c r="Z32" s="11" t="str">
        <f t="shared" si="8"/>
        <v>22</v>
      </c>
      <c r="AA32" s="118"/>
      <c r="AB32" s="161"/>
      <c r="AC32" s="161"/>
    </row>
    <row r="33" spans="1:30" s="114" customFormat="1" ht="15.75">
      <c r="A33" s="33" t="s">
        <v>1143</v>
      </c>
      <c r="B33" s="37" t="s">
        <v>265</v>
      </c>
      <c r="C33" s="155" t="s">
        <v>912</v>
      </c>
      <c r="D33" s="155"/>
      <c r="E33" s="67" t="s">
        <v>316</v>
      </c>
      <c r="F33" s="80" t="s">
        <v>368</v>
      </c>
      <c r="G33" s="10">
        <v>2.67</v>
      </c>
      <c r="H33" s="163"/>
      <c r="I33" s="86">
        <f t="shared" si="0"/>
        <v>2.67</v>
      </c>
      <c r="J33" s="86">
        <v>0</v>
      </c>
      <c r="K33" s="87">
        <f t="shared" si="9"/>
        <v>2.67</v>
      </c>
      <c r="L33" s="34">
        <f t="shared" si="1"/>
        <v>2803500</v>
      </c>
      <c r="M33" s="191" t="s">
        <v>858</v>
      </c>
      <c r="N33" s="34">
        <f t="shared" si="10"/>
        <v>1401750</v>
      </c>
      <c r="O33" s="34">
        <f t="shared" si="3"/>
        <v>1050000</v>
      </c>
      <c r="P33" s="10">
        <v>21</v>
      </c>
      <c r="Q33" s="67">
        <v>24</v>
      </c>
      <c r="R33" s="164">
        <f t="shared" si="4"/>
        <v>1401750</v>
      </c>
      <c r="S33" s="34">
        <f t="shared" si="5"/>
        <v>1401750</v>
      </c>
      <c r="T33" s="108"/>
      <c r="U33" s="34">
        <f t="shared" si="11"/>
        <v>0</v>
      </c>
      <c r="V33" s="79"/>
      <c r="W33" s="34">
        <f t="shared" si="2"/>
        <v>0</v>
      </c>
      <c r="X33" s="34">
        <f t="shared" si="6"/>
        <v>28035</v>
      </c>
      <c r="Y33" s="51">
        <f t="shared" si="7"/>
        <v>1429785</v>
      </c>
      <c r="Z33" s="11" t="str">
        <f t="shared" si="8"/>
        <v>23</v>
      </c>
      <c r="AA33" s="118"/>
      <c r="AB33" s="161"/>
      <c r="AC33" s="161"/>
    </row>
    <row r="34" spans="1:30" s="114" customFormat="1" ht="30" customHeight="1">
      <c r="A34" s="33" t="s">
        <v>1144</v>
      </c>
      <c r="B34" s="37" t="s">
        <v>493</v>
      </c>
      <c r="C34" s="155" t="s">
        <v>494</v>
      </c>
      <c r="D34" s="155"/>
      <c r="E34" s="168" t="s">
        <v>495</v>
      </c>
      <c r="F34" s="107">
        <v>1603205178873</v>
      </c>
      <c r="G34" s="10">
        <v>2.2599999999999998</v>
      </c>
      <c r="H34" s="163"/>
      <c r="I34" s="86">
        <f t="shared" si="0"/>
        <v>2.2599999999999998</v>
      </c>
      <c r="J34" s="86"/>
      <c r="K34" s="87">
        <f t="shared" si="9"/>
        <v>2.2599999999999998</v>
      </c>
      <c r="L34" s="34">
        <f t="shared" si="1"/>
        <v>2373000</v>
      </c>
      <c r="M34" s="191" t="s">
        <v>858</v>
      </c>
      <c r="N34" s="34">
        <f t="shared" si="10"/>
        <v>1186500</v>
      </c>
      <c r="O34" s="34">
        <f t="shared" si="3"/>
        <v>1050000</v>
      </c>
      <c r="P34" s="10">
        <v>21</v>
      </c>
      <c r="Q34" s="67">
        <v>24</v>
      </c>
      <c r="R34" s="164">
        <f t="shared" si="4"/>
        <v>1186500</v>
      </c>
      <c r="S34" s="34">
        <f t="shared" si="5"/>
        <v>1186500</v>
      </c>
      <c r="T34" s="108"/>
      <c r="U34" s="34">
        <f t="shared" si="11"/>
        <v>0</v>
      </c>
      <c r="V34" s="79"/>
      <c r="W34" s="34">
        <f t="shared" si="2"/>
        <v>0</v>
      </c>
      <c r="X34" s="34">
        <f t="shared" si="6"/>
        <v>23730</v>
      </c>
      <c r="Y34" s="51">
        <f t="shared" si="7"/>
        <v>1210230</v>
      </c>
      <c r="Z34" s="11" t="str">
        <f t="shared" si="8"/>
        <v>24</v>
      </c>
      <c r="AA34" s="118"/>
      <c r="AB34" s="161"/>
      <c r="AC34" s="161"/>
    </row>
    <row r="35" spans="1:30" s="114" customFormat="1" ht="39.75" customHeight="1">
      <c r="A35" s="33" t="s">
        <v>1145</v>
      </c>
      <c r="B35" s="37" t="s">
        <v>914</v>
      </c>
      <c r="C35" s="155" t="s">
        <v>882</v>
      </c>
      <c r="D35" s="155" t="s">
        <v>530</v>
      </c>
      <c r="E35" s="67" t="s">
        <v>72</v>
      </c>
      <c r="F35" s="80" t="s">
        <v>1273</v>
      </c>
      <c r="G35" s="191">
        <v>4.9800000000000004</v>
      </c>
      <c r="H35" s="163"/>
      <c r="I35" s="86">
        <f t="shared" si="0"/>
        <v>4.9800000000000004</v>
      </c>
      <c r="J35" s="86">
        <v>0.45</v>
      </c>
      <c r="K35" s="87">
        <f t="shared" si="9"/>
        <v>5.4300000000000006</v>
      </c>
      <c r="L35" s="34">
        <f t="shared" si="1"/>
        <v>5701500.0000000009</v>
      </c>
      <c r="M35" s="191" t="s">
        <v>858</v>
      </c>
      <c r="N35" s="34">
        <f t="shared" si="10"/>
        <v>2850750.0000000005</v>
      </c>
      <c r="O35" s="34">
        <f t="shared" si="3"/>
        <v>1050000</v>
      </c>
      <c r="P35" s="10">
        <v>21</v>
      </c>
      <c r="Q35" s="67">
        <v>22</v>
      </c>
      <c r="R35" s="164">
        <f t="shared" si="4"/>
        <v>2850750.0000000005</v>
      </c>
      <c r="S35" s="34">
        <f t="shared" si="5"/>
        <v>2850750.0000000005</v>
      </c>
      <c r="T35" s="108"/>
      <c r="U35" s="34">
        <f t="shared" si="11"/>
        <v>0</v>
      </c>
      <c r="V35" s="79"/>
      <c r="W35" s="34">
        <f t="shared" si="2"/>
        <v>0</v>
      </c>
      <c r="X35" s="34">
        <f t="shared" si="6"/>
        <v>57015.000000000007</v>
      </c>
      <c r="Y35" s="51">
        <f t="shared" si="7"/>
        <v>2907765.0000000005</v>
      </c>
      <c r="Z35" s="11" t="str">
        <f t="shared" si="8"/>
        <v>25</v>
      </c>
      <c r="AA35" s="118" t="s">
        <v>799</v>
      </c>
      <c r="AB35" s="161"/>
      <c r="AC35" s="161"/>
    </row>
    <row r="36" spans="1:30" s="114" customFormat="1" ht="24" customHeight="1">
      <c r="A36" s="33" t="s">
        <v>1146</v>
      </c>
      <c r="B36" s="37" t="s">
        <v>869</v>
      </c>
      <c r="C36" s="155" t="s">
        <v>915</v>
      </c>
      <c r="D36" s="155"/>
      <c r="E36" s="67" t="s">
        <v>73</v>
      </c>
      <c r="F36" s="80" t="s">
        <v>1274</v>
      </c>
      <c r="G36" s="10">
        <v>3.99</v>
      </c>
      <c r="H36" s="163"/>
      <c r="I36" s="86">
        <f t="shared" si="0"/>
        <v>3.99</v>
      </c>
      <c r="J36" s="86">
        <v>0.35</v>
      </c>
      <c r="K36" s="87">
        <f t="shared" si="9"/>
        <v>4.34</v>
      </c>
      <c r="L36" s="34">
        <f t="shared" si="1"/>
        <v>4557000</v>
      </c>
      <c r="M36" s="191" t="s">
        <v>858</v>
      </c>
      <c r="N36" s="34">
        <f t="shared" si="10"/>
        <v>2278500</v>
      </c>
      <c r="O36" s="34">
        <f t="shared" si="3"/>
        <v>1050000</v>
      </c>
      <c r="P36" s="10">
        <v>21</v>
      </c>
      <c r="Q36" s="67">
        <v>21</v>
      </c>
      <c r="R36" s="164">
        <f t="shared" si="4"/>
        <v>2278500</v>
      </c>
      <c r="S36" s="34">
        <f t="shared" si="5"/>
        <v>2278500</v>
      </c>
      <c r="T36" s="108"/>
      <c r="U36" s="34">
        <f t="shared" si="11"/>
        <v>0</v>
      </c>
      <c r="V36" s="79"/>
      <c r="W36" s="34">
        <f t="shared" si="2"/>
        <v>0</v>
      </c>
      <c r="X36" s="34">
        <f t="shared" si="6"/>
        <v>45570</v>
      </c>
      <c r="Y36" s="51">
        <f t="shared" si="7"/>
        <v>2324070</v>
      </c>
      <c r="Z36" s="11" t="str">
        <f t="shared" si="8"/>
        <v>26</v>
      </c>
      <c r="AA36" s="118"/>
      <c r="AB36" s="161"/>
      <c r="AC36" s="161"/>
    </row>
    <row r="37" spans="1:30" s="114" customFormat="1" ht="26.25" customHeight="1">
      <c r="A37" s="33" t="s">
        <v>1147</v>
      </c>
      <c r="B37" s="37" t="s">
        <v>916</v>
      </c>
      <c r="C37" s="155" t="s">
        <v>917</v>
      </c>
      <c r="D37" s="155"/>
      <c r="E37" s="67" t="s">
        <v>74</v>
      </c>
      <c r="F37" s="80" t="s">
        <v>1275</v>
      </c>
      <c r="G37" s="10">
        <v>2.19</v>
      </c>
      <c r="H37" s="163"/>
      <c r="I37" s="86">
        <f t="shared" si="0"/>
        <v>2.19</v>
      </c>
      <c r="J37" s="86">
        <v>0</v>
      </c>
      <c r="K37" s="87">
        <f t="shared" si="9"/>
        <v>2.19</v>
      </c>
      <c r="L37" s="34">
        <f t="shared" si="1"/>
        <v>2299500</v>
      </c>
      <c r="M37" s="191" t="s">
        <v>858</v>
      </c>
      <c r="N37" s="34">
        <f t="shared" si="10"/>
        <v>1149750</v>
      </c>
      <c r="O37" s="34">
        <f t="shared" si="3"/>
        <v>1050000</v>
      </c>
      <c r="P37" s="10">
        <v>21</v>
      </c>
      <c r="Q37" s="67">
        <v>20</v>
      </c>
      <c r="R37" s="164">
        <f t="shared" si="4"/>
        <v>1149750</v>
      </c>
      <c r="S37" s="34">
        <f t="shared" si="5"/>
        <v>1095000</v>
      </c>
      <c r="T37" s="108"/>
      <c r="U37" s="34">
        <f t="shared" si="11"/>
        <v>0</v>
      </c>
      <c r="V37" s="79"/>
      <c r="W37" s="34">
        <f t="shared" si="2"/>
        <v>0</v>
      </c>
      <c r="X37" s="34">
        <f t="shared" si="6"/>
        <v>22995</v>
      </c>
      <c r="Y37" s="51">
        <f t="shared" si="7"/>
        <v>1117995</v>
      </c>
      <c r="Z37" s="11" t="str">
        <f t="shared" si="8"/>
        <v>27</v>
      </c>
      <c r="AA37" s="118" t="s">
        <v>783</v>
      </c>
      <c r="AB37" s="161"/>
      <c r="AC37" s="161"/>
      <c r="AD37" s="114">
        <f>AD39-15343948</f>
        <v>-15343948</v>
      </c>
    </row>
    <row r="38" spans="1:30" s="114" customFormat="1" ht="25.5" customHeight="1">
      <c r="A38" s="33" t="s">
        <v>1148</v>
      </c>
      <c r="B38" s="37" t="s">
        <v>1093</v>
      </c>
      <c r="C38" s="155" t="s">
        <v>1094</v>
      </c>
      <c r="D38" s="155"/>
      <c r="E38" s="67" t="s">
        <v>229</v>
      </c>
      <c r="F38" s="80" t="s">
        <v>8</v>
      </c>
      <c r="G38" s="10">
        <v>2.2599999999999998</v>
      </c>
      <c r="H38" s="163"/>
      <c r="I38" s="86">
        <f>G38+(G38*H38)</f>
        <v>2.2599999999999998</v>
      </c>
      <c r="J38" s="86">
        <v>0</v>
      </c>
      <c r="K38" s="87">
        <f>I38+J38</f>
        <v>2.2599999999999998</v>
      </c>
      <c r="L38" s="34">
        <f>K38*$H$7</f>
        <v>2373000</v>
      </c>
      <c r="M38" s="191" t="s">
        <v>858</v>
      </c>
      <c r="N38" s="34">
        <f t="shared" si="10"/>
        <v>1186500</v>
      </c>
      <c r="O38" s="34">
        <f>IF(M38="A",1050000,IF(M38="B",735000,IF(M38="C",514500,0)))</f>
        <v>1050000</v>
      </c>
      <c r="P38" s="10">
        <v>21</v>
      </c>
      <c r="Q38" s="67">
        <v>20</v>
      </c>
      <c r="R38" s="164">
        <f>IF(N38&gt;O38,N38,O38)</f>
        <v>1186500</v>
      </c>
      <c r="S38" s="34">
        <f>IF(Q38&gt;=P38,R38,R38/P38*Q38)</f>
        <v>1130000</v>
      </c>
      <c r="T38" s="108"/>
      <c r="U38" s="34">
        <f>T38*$H$7*0.5</f>
        <v>0</v>
      </c>
      <c r="V38" s="79"/>
      <c r="W38" s="34">
        <f>V38*$H$7*0.5</f>
        <v>0</v>
      </c>
      <c r="X38" s="34">
        <f>(K38*0.01*$H$7)+(T38*1%*$H$7)+(V38*1%*$H$7)</f>
        <v>23730</v>
      </c>
      <c r="Y38" s="51">
        <f>(S38+U38+W38+X38)</f>
        <v>1153730</v>
      </c>
      <c r="Z38" s="11" t="str">
        <f t="shared" si="8"/>
        <v>28</v>
      </c>
      <c r="AA38" s="301" t="s">
        <v>783</v>
      </c>
      <c r="AB38" s="161"/>
      <c r="AC38" s="161"/>
    </row>
    <row r="39" spans="1:30" s="114" customFormat="1" ht="23.25" customHeight="1">
      <c r="A39" s="33" t="s">
        <v>1149</v>
      </c>
      <c r="B39" s="37" t="s">
        <v>862</v>
      </c>
      <c r="C39" s="155" t="s">
        <v>918</v>
      </c>
      <c r="D39" s="155"/>
      <c r="E39" s="10" t="s">
        <v>75</v>
      </c>
      <c r="F39" s="90" t="s">
        <v>1276</v>
      </c>
      <c r="G39" s="10">
        <v>4.9800000000000004</v>
      </c>
      <c r="H39" s="229">
        <v>0.06</v>
      </c>
      <c r="I39" s="86">
        <f t="shared" si="0"/>
        <v>5.2788000000000004</v>
      </c>
      <c r="J39" s="86">
        <v>0.45</v>
      </c>
      <c r="K39" s="87">
        <f t="shared" si="9"/>
        <v>5.7288000000000006</v>
      </c>
      <c r="L39" s="34">
        <f t="shared" si="1"/>
        <v>6015240.0000000009</v>
      </c>
      <c r="M39" s="191" t="s">
        <v>858</v>
      </c>
      <c r="N39" s="34">
        <f t="shared" si="10"/>
        <v>3007620.0000000005</v>
      </c>
      <c r="O39" s="34">
        <f t="shared" si="3"/>
        <v>1050000</v>
      </c>
      <c r="P39" s="10">
        <v>21</v>
      </c>
      <c r="Q39" s="67">
        <v>23</v>
      </c>
      <c r="R39" s="164">
        <f t="shared" si="4"/>
        <v>3007620.0000000005</v>
      </c>
      <c r="S39" s="34">
        <f t="shared" si="5"/>
        <v>3007620.0000000005</v>
      </c>
      <c r="T39" s="108"/>
      <c r="U39" s="34">
        <f t="shared" si="11"/>
        <v>0</v>
      </c>
      <c r="V39" s="79"/>
      <c r="W39" s="34">
        <f t="shared" si="2"/>
        <v>0</v>
      </c>
      <c r="X39" s="34">
        <f t="shared" si="6"/>
        <v>60152.400000000009</v>
      </c>
      <c r="Y39" s="51">
        <f t="shared" si="7"/>
        <v>3067772.4000000004</v>
      </c>
      <c r="Z39" s="11" t="str">
        <f t="shared" si="8"/>
        <v>29</v>
      </c>
      <c r="AA39" s="301" t="s">
        <v>780</v>
      </c>
      <c r="AB39" s="161"/>
      <c r="AC39" s="161"/>
      <c r="AD39" s="114">
        <f>SUM(AC29:AC39)</f>
        <v>0</v>
      </c>
    </row>
    <row r="40" spans="1:30" s="114" customFormat="1" ht="27" customHeight="1">
      <c r="A40" s="33" t="s">
        <v>1150</v>
      </c>
      <c r="B40" s="37" t="s">
        <v>933</v>
      </c>
      <c r="C40" s="155" t="s">
        <v>918</v>
      </c>
      <c r="D40" s="155" t="s">
        <v>531</v>
      </c>
      <c r="E40" s="67" t="s">
        <v>76</v>
      </c>
      <c r="F40" s="90" t="s">
        <v>1277</v>
      </c>
      <c r="G40" s="10">
        <v>4.9800000000000004</v>
      </c>
      <c r="H40" s="229">
        <v>0.05</v>
      </c>
      <c r="I40" s="86">
        <f t="shared" si="0"/>
        <v>5.2290000000000001</v>
      </c>
      <c r="J40" s="86">
        <v>0.45</v>
      </c>
      <c r="K40" s="87">
        <f t="shared" si="9"/>
        <v>5.6790000000000003</v>
      </c>
      <c r="L40" s="34">
        <f t="shared" si="1"/>
        <v>5962950</v>
      </c>
      <c r="M40" s="191" t="s">
        <v>858</v>
      </c>
      <c r="N40" s="34">
        <f t="shared" si="10"/>
        <v>2981475</v>
      </c>
      <c r="O40" s="34">
        <f t="shared" si="3"/>
        <v>1050000</v>
      </c>
      <c r="P40" s="10">
        <v>21</v>
      </c>
      <c r="Q40" s="67">
        <v>26</v>
      </c>
      <c r="R40" s="164">
        <f t="shared" si="4"/>
        <v>2981475</v>
      </c>
      <c r="S40" s="34">
        <f t="shared" si="5"/>
        <v>2981475</v>
      </c>
      <c r="T40" s="108"/>
      <c r="U40" s="34">
        <f t="shared" si="11"/>
        <v>0</v>
      </c>
      <c r="V40" s="79"/>
      <c r="W40" s="34">
        <f t="shared" si="2"/>
        <v>0</v>
      </c>
      <c r="X40" s="34">
        <f t="shared" si="6"/>
        <v>59629.500000000007</v>
      </c>
      <c r="Y40" s="51">
        <f t="shared" si="7"/>
        <v>3041104.5</v>
      </c>
      <c r="Z40" s="11" t="str">
        <f t="shared" si="8"/>
        <v>30</v>
      </c>
      <c r="AA40" s="118"/>
      <c r="AB40" s="161"/>
      <c r="AC40" s="161"/>
    </row>
    <row r="41" spans="1:30" s="114" customFormat="1" ht="25.5" customHeight="1">
      <c r="A41" s="33" t="s">
        <v>1151</v>
      </c>
      <c r="B41" s="37" t="s">
        <v>997</v>
      </c>
      <c r="C41" s="155" t="s">
        <v>1026</v>
      </c>
      <c r="D41" s="155"/>
      <c r="E41" s="67" t="s">
        <v>160</v>
      </c>
      <c r="F41" s="80" t="s">
        <v>1361</v>
      </c>
      <c r="G41" s="10">
        <v>3</v>
      </c>
      <c r="H41" s="163"/>
      <c r="I41" s="86">
        <f t="shared" si="0"/>
        <v>3</v>
      </c>
      <c r="J41" s="86">
        <v>0.35</v>
      </c>
      <c r="K41" s="87">
        <f t="shared" si="9"/>
        <v>3.35</v>
      </c>
      <c r="L41" s="34">
        <f t="shared" si="1"/>
        <v>3517500</v>
      </c>
      <c r="M41" s="191" t="s">
        <v>858</v>
      </c>
      <c r="N41" s="34">
        <f t="shared" si="10"/>
        <v>1758750</v>
      </c>
      <c r="O41" s="34">
        <f t="shared" si="3"/>
        <v>1050000</v>
      </c>
      <c r="P41" s="10">
        <v>21</v>
      </c>
      <c r="Q41" s="67">
        <v>25</v>
      </c>
      <c r="R41" s="164">
        <f t="shared" si="4"/>
        <v>1758750</v>
      </c>
      <c r="S41" s="34">
        <f t="shared" si="5"/>
        <v>1758750</v>
      </c>
      <c r="T41" s="108"/>
      <c r="U41" s="34">
        <f t="shared" si="11"/>
        <v>0</v>
      </c>
      <c r="V41" s="79"/>
      <c r="W41" s="34">
        <f t="shared" si="2"/>
        <v>0</v>
      </c>
      <c r="X41" s="34">
        <f t="shared" si="6"/>
        <v>35175</v>
      </c>
      <c r="Y41" s="51">
        <f t="shared" si="7"/>
        <v>1793925</v>
      </c>
      <c r="Z41" s="11" t="str">
        <f t="shared" si="8"/>
        <v>31</v>
      </c>
      <c r="AA41" s="118"/>
      <c r="AB41" s="161"/>
      <c r="AC41" s="161"/>
    </row>
    <row r="42" spans="1:30" s="114" customFormat="1" ht="21" customHeight="1">
      <c r="A42" s="33" t="s">
        <v>1152</v>
      </c>
      <c r="B42" s="37" t="s">
        <v>911</v>
      </c>
      <c r="C42" s="155" t="s">
        <v>885</v>
      </c>
      <c r="D42" s="155"/>
      <c r="E42" s="67" t="s">
        <v>315</v>
      </c>
      <c r="F42" s="107">
        <v>1603205189653</v>
      </c>
      <c r="G42" s="10">
        <v>2.67</v>
      </c>
      <c r="H42" s="163"/>
      <c r="I42" s="86">
        <f t="shared" si="0"/>
        <v>2.67</v>
      </c>
      <c r="J42" s="86">
        <v>0</v>
      </c>
      <c r="K42" s="87">
        <f t="shared" si="9"/>
        <v>2.67</v>
      </c>
      <c r="L42" s="34">
        <f t="shared" si="1"/>
        <v>2803500</v>
      </c>
      <c r="M42" s="191" t="s">
        <v>858</v>
      </c>
      <c r="N42" s="34">
        <f t="shared" si="10"/>
        <v>1401750</v>
      </c>
      <c r="O42" s="34">
        <f t="shared" si="3"/>
        <v>1050000</v>
      </c>
      <c r="P42" s="10">
        <v>21</v>
      </c>
      <c r="Q42" s="67">
        <v>24</v>
      </c>
      <c r="R42" s="164">
        <f t="shared" si="4"/>
        <v>1401750</v>
      </c>
      <c r="S42" s="34">
        <f t="shared" si="5"/>
        <v>1401750</v>
      </c>
      <c r="T42" s="108"/>
      <c r="U42" s="34">
        <f t="shared" si="11"/>
        <v>0</v>
      </c>
      <c r="V42" s="79"/>
      <c r="W42" s="34">
        <f t="shared" si="2"/>
        <v>0</v>
      </c>
      <c r="X42" s="34">
        <f t="shared" si="6"/>
        <v>28035</v>
      </c>
      <c r="Y42" s="51">
        <f t="shared" si="7"/>
        <v>1429785</v>
      </c>
      <c r="Z42" s="11" t="str">
        <f t="shared" si="8"/>
        <v>32</v>
      </c>
      <c r="AA42" s="118"/>
      <c r="AB42" s="161"/>
      <c r="AC42" s="161"/>
    </row>
    <row r="43" spans="1:30" s="114" customFormat="1" ht="25.5">
      <c r="A43" s="33" t="s">
        <v>1153</v>
      </c>
      <c r="B43" s="37" t="s">
        <v>1059</v>
      </c>
      <c r="C43" s="155" t="s">
        <v>1060</v>
      </c>
      <c r="D43" s="38"/>
      <c r="E43" s="67" t="s">
        <v>198</v>
      </c>
      <c r="F43" s="80" t="s">
        <v>1398</v>
      </c>
      <c r="G43" s="10">
        <v>4.9800000000000004</v>
      </c>
      <c r="H43" s="229">
        <v>0.05</v>
      </c>
      <c r="I43" s="86">
        <f>G43+(G43*H43)</f>
        <v>5.2290000000000001</v>
      </c>
      <c r="J43" s="86">
        <v>0.35</v>
      </c>
      <c r="K43" s="87">
        <f>I43+J43</f>
        <v>5.5789999999999997</v>
      </c>
      <c r="L43" s="34">
        <f>K43*$H$7</f>
        <v>5857950</v>
      </c>
      <c r="M43" s="191" t="s">
        <v>858</v>
      </c>
      <c r="N43" s="34">
        <f t="shared" si="10"/>
        <v>2928975</v>
      </c>
      <c r="O43" s="34">
        <f>IF(M43="A",1050000,IF(M43="B",735000,IF(M43="C",514500,0)))</f>
        <v>1050000</v>
      </c>
      <c r="P43" s="10">
        <v>21</v>
      </c>
      <c r="Q43" s="67">
        <v>26</v>
      </c>
      <c r="R43" s="164">
        <f>IF(N43&gt;O43,N43,O43)</f>
        <v>2928975</v>
      </c>
      <c r="S43" s="34">
        <f>IF(Q43&gt;=P43,R43,R43/P43*Q43)</f>
        <v>2928975</v>
      </c>
      <c r="T43" s="108"/>
      <c r="U43" s="34">
        <f>T43*$H$7*0.5</f>
        <v>0</v>
      </c>
      <c r="V43" s="79"/>
      <c r="W43" s="34">
        <f>V43*$H$7*0.5</f>
        <v>0</v>
      </c>
      <c r="X43" s="34">
        <f>(K43*0.01*$H$7)+(T43*1%*$H$7)+(V43*1%*$H$7)</f>
        <v>58579.5</v>
      </c>
      <c r="Y43" s="51">
        <f>(S43+U43+W43+X43)</f>
        <v>2987554.5</v>
      </c>
      <c r="Z43" s="11" t="str">
        <f>A43</f>
        <v>33</v>
      </c>
      <c r="AA43" s="131"/>
      <c r="AB43" s="274" t="s">
        <v>790</v>
      </c>
      <c r="AC43" s="161"/>
    </row>
    <row r="44" spans="1:30" s="114" customFormat="1" ht="21" customHeight="1">
      <c r="A44" s="33" t="s">
        <v>1154</v>
      </c>
      <c r="B44" s="37" t="s">
        <v>869</v>
      </c>
      <c r="C44" s="155" t="s">
        <v>1105</v>
      </c>
      <c r="D44" s="155" t="s">
        <v>1213</v>
      </c>
      <c r="E44" s="67" t="s">
        <v>77</v>
      </c>
      <c r="F44" s="80" t="s">
        <v>1278</v>
      </c>
      <c r="G44" s="10">
        <v>3.33</v>
      </c>
      <c r="H44" s="50"/>
      <c r="I44" s="86">
        <f t="shared" si="0"/>
        <v>3.33</v>
      </c>
      <c r="J44" s="50"/>
      <c r="K44" s="87">
        <f t="shared" si="9"/>
        <v>3.33</v>
      </c>
      <c r="L44" s="34">
        <f t="shared" si="1"/>
        <v>3496500</v>
      </c>
      <c r="M44" s="191" t="s">
        <v>858</v>
      </c>
      <c r="N44" s="34">
        <f t="shared" si="10"/>
        <v>1748250</v>
      </c>
      <c r="O44" s="34">
        <f t="shared" si="3"/>
        <v>1050000</v>
      </c>
      <c r="P44" s="10">
        <v>21</v>
      </c>
      <c r="Q44" s="10">
        <v>21</v>
      </c>
      <c r="R44" s="164">
        <f t="shared" si="4"/>
        <v>1748250</v>
      </c>
      <c r="S44" s="34">
        <f t="shared" si="5"/>
        <v>1748250</v>
      </c>
      <c r="T44" s="108"/>
      <c r="U44" s="34">
        <f t="shared" si="11"/>
        <v>0</v>
      </c>
      <c r="V44" s="79"/>
      <c r="W44" s="34">
        <f t="shared" si="2"/>
        <v>0</v>
      </c>
      <c r="X44" s="34">
        <f t="shared" si="6"/>
        <v>34965</v>
      </c>
      <c r="Y44" s="51">
        <f t="shared" si="7"/>
        <v>1783215</v>
      </c>
      <c r="Z44" s="11" t="str">
        <f t="shared" si="8"/>
        <v>34</v>
      </c>
      <c r="AA44" s="255" t="s">
        <v>798</v>
      </c>
      <c r="AB44" s="161"/>
      <c r="AC44" s="161"/>
    </row>
    <row r="45" spans="1:30" s="114" customFormat="1" ht="19.5" customHeight="1">
      <c r="A45" s="33" t="s">
        <v>1155</v>
      </c>
      <c r="B45" s="37" t="s">
        <v>919</v>
      </c>
      <c r="C45" s="155" t="s">
        <v>920</v>
      </c>
      <c r="D45" s="155" t="s">
        <v>532</v>
      </c>
      <c r="E45" s="67" t="s">
        <v>78</v>
      </c>
      <c r="F45" s="90" t="s">
        <v>1279</v>
      </c>
      <c r="G45" s="10">
        <v>4.74</v>
      </c>
      <c r="H45" s="163"/>
      <c r="I45" s="86">
        <f t="shared" si="0"/>
        <v>4.74</v>
      </c>
      <c r="J45" s="86">
        <v>0.45</v>
      </c>
      <c r="K45" s="87">
        <f t="shared" si="9"/>
        <v>5.19</v>
      </c>
      <c r="L45" s="34">
        <f t="shared" si="1"/>
        <v>5449500</v>
      </c>
      <c r="M45" s="191" t="s">
        <v>858</v>
      </c>
      <c r="N45" s="34">
        <f t="shared" si="10"/>
        <v>2724750</v>
      </c>
      <c r="O45" s="34">
        <f t="shared" si="3"/>
        <v>1050000</v>
      </c>
      <c r="P45" s="10">
        <v>21</v>
      </c>
      <c r="Q45" s="67">
        <v>26</v>
      </c>
      <c r="R45" s="164">
        <f t="shared" si="4"/>
        <v>2724750</v>
      </c>
      <c r="S45" s="34">
        <f t="shared" si="5"/>
        <v>2724750</v>
      </c>
      <c r="T45" s="108"/>
      <c r="U45" s="34">
        <f t="shared" si="11"/>
        <v>0</v>
      </c>
      <c r="V45" s="79"/>
      <c r="W45" s="34">
        <f t="shared" si="2"/>
        <v>0</v>
      </c>
      <c r="X45" s="34">
        <f t="shared" si="6"/>
        <v>54495</v>
      </c>
      <c r="Y45" s="51">
        <f t="shared" si="7"/>
        <v>2779245</v>
      </c>
      <c r="Z45" s="11" t="str">
        <f t="shared" si="8"/>
        <v>35</v>
      </c>
      <c r="AA45" s="118"/>
      <c r="AB45" s="161"/>
      <c r="AC45" s="161"/>
    </row>
    <row r="46" spans="1:30" s="114" customFormat="1" ht="21.75" customHeight="1">
      <c r="A46" s="33" t="s">
        <v>1156</v>
      </c>
      <c r="B46" s="37" t="s">
        <v>1174</v>
      </c>
      <c r="C46" s="155" t="s">
        <v>967</v>
      </c>
      <c r="D46" s="155"/>
      <c r="E46" s="67" t="s">
        <v>79</v>
      </c>
      <c r="F46" s="80" t="s">
        <v>1280</v>
      </c>
      <c r="G46" s="10">
        <v>2.67</v>
      </c>
      <c r="H46" s="163"/>
      <c r="I46" s="86">
        <f t="shared" si="0"/>
        <v>2.67</v>
      </c>
      <c r="J46" s="86">
        <v>0</v>
      </c>
      <c r="K46" s="87">
        <f t="shared" si="9"/>
        <v>2.67</v>
      </c>
      <c r="L46" s="34">
        <f t="shared" si="1"/>
        <v>2803500</v>
      </c>
      <c r="M46" s="191" t="s">
        <v>858</v>
      </c>
      <c r="N46" s="34">
        <f t="shared" si="10"/>
        <v>1401750</v>
      </c>
      <c r="O46" s="34">
        <f t="shared" si="3"/>
        <v>1050000</v>
      </c>
      <c r="P46" s="10">
        <v>21</v>
      </c>
      <c r="Q46" s="67">
        <v>19</v>
      </c>
      <c r="R46" s="164">
        <f t="shared" si="4"/>
        <v>1401750</v>
      </c>
      <c r="S46" s="34">
        <f t="shared" si="5"/>
        <v>1268250</v>
      </c>
      <c r="T46" s="108"/>
      <c r="U46" s="34">
        <f t="shared" si="11"/>
        <v>0</v>
      </c>
      <c r="V46" s="79"/>
      <c r="W46" s="34">
        <f t="shared" si="2"/>
        <v>0</v>
      </c>
      <c r="X46" s="34">
        <f t="shared" si="6"/>
        <v>28035</v>
      </c>
      <c r="Y46" s="51">
        <f t="shared" si="7"/>
        <v>1296285</v>
      </c>
      <c r="Z46" s="11" t="str">
        <f t="shared" si="8"/>
        <v>36</v>
      </c>
      <c r="AA46" s="302" t="s">
        <v>780</v>
      </c>
      <c r="AB46" s="161"/>
      <c r="AC46" s="161"/>
    </row>
    <row r="47" spans="1:30" s="114" customFormat="1" ht="24.75" customHeight="1">
      <c r="A47" s="33" t="s">
        <v>1157</v>
      </c>
      <c r="B47" s="37" t="s">
        <v>862</v>
      </c>
      <c r="C47" s="155" t="s">
        <v>921</v>
      </c>
      <c r="D47" s="155" t="s">
        <v>533</v>
      </c>
      <c r="E47" s="67" t="s">
        <v>80</v>
      </c>
      <c r="F47" s="80" t="s">
        <v>1281</v>
      </c>
      <c r="G47" s="10">
        <v>4.9800000000000004</v>
      </c>
      <c r="H47" s="163"/>
      <c r="I47" s="86">
        <f t="shared" si="0"/>
        <v>4.9800000000000004</v>
      </c>
      <c r="J47" s="86">
        <v>0.45</v>
      </c>
      <c r="K47" s="87">
        <f t="shared" si="9"/>
        <v>5.4300000000000006</v>
      </c>
      <c r="L47" s="34">
        <f t="shared" si="1"/>
        <v>5701500.0000000009</v>
      </c>
      <c r="M47" s="191" t="s">
        <v>858</v>
      </c>
      <c r="N47" s="34">
        <f t="shared" si="10"/>
        <v>2850750.0000000005</v>
      </c>
      <c r="O47" s="34">
        <f t="shared" si="3"/>
        <v>1050000</v>
      </c>
      <c r="P47" s="10">
        <v>21</v>
      </c>
      <c r="Q47" s="304">
        <v>24</v>
      </c>
      <c r="R47" s="164">
        <f t="shared" si="4"/>
        <v>2850750.0000000005</v>
      </c>
      <c r="S47" s="34">
        <f t="shared" si="5"/>
        <v>2850750.0000000005</v>
      </c>
      <c r="T47" s="108"/>
      <c r="U47" s="34">
        <f t="shared" si="11"/>
        <v>0</v>
      </c>
      <c r="V47" s="79"/>
      <c r="W47" s="34">
        <f t="shared" si="2"/>
        <v>0</v>
      </c>
      <c r="X47" s="34">
        <f t="shared" si="6"/>
        <v>57015.000000000007</v>
      </c>
      <c r="Y47" s="51">
        <f t="shared" si="7"/>
        <v>2907765.0000000005</v>
      </c>
      <c r="Z47" s="11" t="str">
        <f t="shared" si="8"/>
        <v>37</v>
      </c>
      <c r="AA47" s="301" t="s">
        <v>809</v>
      </c>
      <c r="AB47" s="161"/>
      <c r="AC47" s="161"/>
    </row>
    <row r="48" spans="1:30" s="114" customFormat="1" ht="22.5" customHeight="1">
      <c r="A48" s="33" t="s">
        <v>1158</v>
      </c>
      <c r="B48" s="37" t="s">
        <v>922</v>
      </c>
      <c r="C48" s="155" t="s">
        <v>923</v>
      </c>
      <c r="D48" s="155"/>
      <c r="E48" s="67" t="s">
        <v>81</v>
      </c>
      <c r="F48" s="90" t="s">
        <v>1282</v>
      </c>
      <c r="G48" s="10">
        <v>4.6500000000000004</v>
      </c>
      <c r="H48" s="163"/>
      <c r="I48" s="86">
        <f t="shared" si="0"/>
        <v>4.6500000000000004</v>
      </c>
      <c r="J48" s="86">
        <v>0.35</v>
      </c>
      <c r="K48" s="87">
        <f t="shared" si="9"/>
        <v>5</v>
      </c>
      <c r="L48" s="34">
        <f t="shared" si="1"/>
        <v>5250000</v>
      </c>
      <c r="M48" s="191" t="s">
        <v>858</v>
      </c>
      <c r="N48" s="34">
        <f t="shared" si="10"/>
        <v>2625000</v>
      </c>
      <c r="O48" s="34">
        <f t="shared" si="3"/>
        <v>1050000</v>
      </c>
      <c r="P48" s="10">
        <v>21</v>
      </c>
      <c r="Q48" s="67">
        <v>24</v>
      </c>
      <c r="R48" s="164">
        <f t="shared" si="4"/>
        <v>2625000</v>
      </c>
      <c r="S48" s="34">
        <f t="shared" si="5"/>
        <v>2625000</v>
      </c>
      <c r="T48" s="108"/>
      <c r="U48" s="34">
        <f t="shared" si="11"/>
        <v>0</v>
      </c>
      <c r="V48" s="79"/>
      <c r="W48" s="34">
        <f t="shared" si="2"/>
        <v>0</v>
      </c>
      <c r="X48" s="34">
        <f t="shared" si="6"/>
        <v>52500</v>
      </c>
      <c r="Y48" s="51">
        <f t="shared" si="7"/>
        <v>2677500</v>
      </c>
      <c r="Z48" s="11" t="str">
        <f t="shared" si="8"/>
        <v>38</v>
      </c>
      <c r="AA48" s="301"/>
      <c r="AB48" s="161"/>
      <c r="AC48" s="161"/>
    </row>
    <row r="49" spans="1:29" s="114" customFormat="1" ht="36">
      <c r="A49" s="33" t="s">
        <v>1159</v>
      </c>
      <c r="B49" s="37" t="s">
        <v>924</v>
      </c>
      <c r="C49" s="155" t="s">
        <v>925</v>
      </c>
      <c r="D49" s="155"/>
      <c r="E49" s="67" t="s">
        <v>82</v>
      </c>
      <c r="F49" s="80" t="s">
        <v>1283</v>
      </c>
      <c r="G49" s="10">
        <v>3.99</v>
      </c>
      <c r="H49" s="163"/>
      <c r="I49" s="86">
        <f t="shared" si="0"/>
        <v>3.99</v>
      </c>
      <c r="J49" s="86">
        <v>0.35</v>
      </c>
      <c r="K49" s="87">
        <f t="shared" si="9"/>
        <v>4.34</v>
      </c>
      <c r="L49" s="34">
        <f t="shared" si="1"/>
        <v>4557000</v>
      </c>
      <c r="M49" s="191" t="s">
        <v>858</v>
      </c>
      <c r="N49" s="34">
        <f t="shared" si="10"/>
        <v>2278500</v>
      </c>
      <c r="O49" s="34">
        <f t="shared" si="3"/>
        <v>1050000</v>
      </c>
      <c r="P49" s="10">
        <v>21</v>
      </c>
      <c r="Q49" s="304">
        <v>23</v>
      </c>
      <c r="R49" s="164">
        <f t="shared" si="4"/>
        <v>2278500</v>
      </c>
      <c r="S49" s="34">
        <f t="shared" si="5"/>
        <v>2278500</v>
      </c>
      <c r="T49" s="108"/>
      <c r="U49" s="34">
        <f t="shared" si="11"/>
        <v>0</v>
      </c>
      <c r="V49" s="79"/>
      <c r="W49" s="34">
        <f t="shared" si="2"/>
        <v>0</v>
      </c>
      <c r="X49" s="34">
        <f t="shared" si="6"/>
        <v>45570</v>
      </c>
      <c r="Y49" s="51">
        <f t="shared" si="7"/>
        <v>2324070</v>
      </c>
      <c r="Z49" s="11" t="str">
        <f t="shared" si="8"/>
        <v>39</v>
      </c>
      <c r="AA49" s="301" t="s">
        <v>839</v>
      </c>
      <c r="AB49" s="161"/>
      <c r="AC49" s="161"/>
    </row>
    <row r="50" spans="1:29" s="114" customFormat="1" ht="21" customHeight="1">
      <c r="A50" s="33" t="s">
        <v>1160</v>
      </c>
      <c r="B50" s="37" t="s">
        <v>926</v>
      </c>
      <c r="C50" s="155" t="s">
        <v>927</v>
      </c>
      <c r="D50" s="155"/>
      <c r="E50" s="67" t="s">
        <v>83</v>
      </c>
      <c r="F50" s="80" t="s">
        <v>1284</v>
      </c>
      <c r="G50" s="10">
        <v>4.9800000000000004</v>
      </c>
      <c r="H50" s="229">
        <v>0.09</v>
      </c>
      <c r="I50" s="86">
        <f t="shared" si="0"/>
        <v>5.4282000000000004</v>
      </c>
      <c r="J50" s="86">
        <v>0</v>
      </c>
      <c r="K50" s="87">
        <f t="shared" si="9"/>
        <v>5.4282000000000004</v>
      </c>
      <c r="L50" s="34">
        <f t="shared" si="1"/>
        <v>5699610</v>
      </c>
      <c r="M50" s="191" t="s">
        <v>858</v>
      </c>
      <c r="N50" s="34">
        <f t="shared" si="10"/>
        <v>2849805</v>
      </c>
      <c r="O50" s="34">
        <f t="shared" si="3"/>
        <v>1050000</v>
      </c>
      <c r="P50" s="10">
        <v>21</v>
      </c>
      <c r="Q50" s="67">
        <v>26</v>
      </c>
      <c r="R50" s="164">
        <f t="shared" si="4"/>
        <v>2849805</v>
      </c>
      <c r="S50" s="34">
        <f t="shared" si="5"/>
        <v>2849805</v>
      </c>
      <c r="T50" s="108"/>
      <c r="U50" s="34">
        <f t="shared" si="11"/>
        <v>0</v>
      </c>
      <c r="V50" s="79"/>
      <c r="W50" s="34">
        <f t="shared" si="2"/>
        <v>0</v>
      </c>
      <c r="X50" s="34">
        <f t="shared" si="6"/>
        <v>56996.100000000006</v>
      </c>
      <c r="Y50" s="51">
        <f t="shared" si="7"/>
        <v>2906801.1</v>
      </c>
      <c r="Z50" s="11" t="str">
        <f t="shared" si="8"/>
        <v>40</v>
      </c>
      <c r="AA50" s="118"/>
      <c r="AB50" s="161"/>
      <c r="AC50" s="161"/>
    </row>
    <row r="51" spans="1:29" s="114" customFormat="1" ht="23.25" customHeight="1">
      <c r="A51" s="33" t="s">
        <v>1161</v>
      </c>
      <c r="B51" s="37" t="s">
        <v>928</v>
      </c>
      <c r="C51" s="155" t="s">
        <v>929</v>
      </c>
      <c r="D51" s="155"/>
      <c r="E51" s="67" t="s">
        <v>84</v>
      </c>
      <c r="F51" s="80" t="s">
        <v>1285</v>
      </c>
      <c r="G51" s="10">
        <v>3.33</v>
      </c>
      <c r="H51" s="163"/>
      <c r="I51" s="86">
        <f t="shared" si="0"/>
        <v>3.33</v>
      </c>
      <c r="J51" s="86">
        <v>0</v>
      </c>
      <c r="K51" s="87">
        <f t="shared" si="9"/>
        <v>3.33</v>
      </c>
      <c r="L51" s="34">
        <f t="shared" si="1"/>
        <v>3496500</v>
      </c>
      <c r="M51" s="191" t="s">
        <v>858</v>
      </c>
      <c r="N51" s="34">
        <f t="shared" si="10"/>
        <v>1748250</v>
      </c>
      <c r="O51" s="34">
        <f t="shared" si="3"/>
        <v>1050000</v>
      </c>
      <c r="P51" s="10">
        <v>21</v>
      </c>
      <c r="Q51" s="67">
        <v>24</v>
      </c>
      <c r="R51" s="164">
        <f t="shared" si="4"/>
        <v>1748250</v>
      </c>
      <c r="S51" s="34">
        <f t="shared" si="5"/>
        <v>1748250</v>
      </c>
      <c r="T51" s="108"/>
      <c r="U51" s="34">
        <f t="shared" si="11"/>
        <v>0</v>
      </c>
      <c r="V51" s="79"/>
      <c r="W51" s="34">
        <f t="shared" si="2"/>
        <v>0</v>
      </c>
      <c r="X51" s="34">
        <f t="shared" si="6"/>
        <v>34965</v>
      </c>
      <c r="Y51" s="51">
        <f t="shared" si="7"/>
        <v>1783215</v>
      </c>
      <c r="Z51" s="11" t="str">
        <f t="shared" si="8"/>
        <v>41</v>
      </c>
      <c r="AA51" s="132"/>
      <c r="AB51" s="161" t="s">
        <v>727</v>
      </c>
      <c r="AC51" s="161"/>
    </row>
    <row r="52" spans="1:29" s="114" customFormat="1" ht="21.75" customHeight="1">
      <c r="A52" s="33" t="s">
        <v>1162</v>
      </c>
      <c r="B52" s="37" t="s">
        <v>890</v>
      </c>
      <c r="C52" s="155" t="s">
        <v>868</v>
      </c>
      <c r="D52" s="155"/>
      <c r="E52" s="67" t="s">
        <v>85</v>
      </c>
      <c r="F52" s="80" t="s">
        <v>1286</v>
      </c>
      <c r="G52" s="10">
        <v>4.6500000000000004</v>
      </c>
      <c r="H52" s="163"/>
      <c r="I52" s="86">
        <f t="shared" si="0"/>
        <v>4.6500000000000004</v>
      </c>
      <c r="J52" s="86">
        <v>0</v>
      </c>
      <c r="K52" s="87">
        <f t="shared" si="9"/>
        <v>4.6500000000000004</v>
      </c>
      <c r="L52" s="34">
        <f t="shared" si="1"/>
        <v>4882500</v>
      </c>
      <c r="M52" s="191" t="s">
        <v>858</v>
      </c>
      <c r="N52" s="34">
        <f t="shared" si="10"/>
        <v>2441250</v>
      </c>
      <c r="O52" s="34">
        <f t="shared" si="3"/>
        <v>1050000</v>
      </c>
      <c r="P52" s="10">
        <v>21</v>
      </c>
      <c r="Q52" s="67">
        <v>21</v>
      </c>
      <c r="R52" s="164">
        <f t="shared" si="4"/>
        <v>2441250</v>
      </c>
      <c r="S52" s="34">
        <f t="shared" si="5"/>
        <v>2441250</v>
      </c>
      <c r="T52" s="108"/>
      <c r="U52" s="34">
        <f t="shared" si="11"/>
        <v>0</v>
      </c>
      <c r="V52" s="79"/>
      <c r="W52" s="34">
        <f t="shared" si="2"/>
        <v>0</v>
      </c>
      <c r="X52" s="34">
        <f t="shared" si="6"/>
        <v>48825.000000000007</v>
      </c>
      <c r="Y52" s="51">
        <f t="shared" si="7"/>
        <v>2490075</v>
      </c>
      <c r="Z52" s="11" t="str">
        <f t="shared" si="8"/>
        <v>42</v>
      </c>
      <c r="AA52" s="132"/>
      <c r="AB52" s="161"/>
      <c r="AC52" s="161"/>
    </row>
    <row r="53" spans="1:29" s="114" customFormat="1" ht="27.75" customHeight="1">
      <c r="A53" s="33" t="s">
        <v>1163</v>
      </c>
      <c r="B53" s="37" t="s">
        <v>930</v>
      </c>
      <c r="C53" s="155" t="s">
        <v>917</v>
      </c>
      <c r="D53" s="155"/>
      <c r="E53" s="67" t="s">
        <v>86</v>
      </c>
      <c r="F53" s="80" t="s">
        <v>1287</v>
      </c>
      <c r="G53" s="10">
        <v>2.67</v>
      </c>
      <c r="H53" s="163"/>
      <c r="I53" s="86">
        <f t="shared" si="0"/>
        <v>2.67</v>
      </c>
      <c r="J53" s="86"/>
      <c r="K53" s="87">
        <f t="shared" si="9"/>
        <v>2.67</v>
      </c>
      <c r="L53" s="34">
        <f t="shared" si="1"/>
        <v>2803500</v>
      </c>
      <c r="M53" s="191" t="s">
        <v>858</v>
      </c>
      <c r="N53" s="34">
        <f t="shared" si="10"/>
        <v>1401750</v>
      </c>
      <c r="O53" s="34">
        <f t="shared" si="3"/>
        <v>1050000</v>
      </c>
      <c r="P53" s="10">
        <v>21</v>
      </c>
      <c r="Q53" s="67">
        <v>12</v>
      </c>
      <c r="R53" s="164">
        <f t="shared" si="4"/>
        <v>1401750</v>
      </c>
      <c r="S53" s="34">
        <f t="shared" si="5"/>
        <v>801000</v>
      </c>
      <c r="T53" s="108"/>
      <c r="U53" s="34">
        <f t="shared" si="11"/>
        <v>0</v>
      </c>
      <c r="V53" s="79"/>
      <c r="W53" s="34">
        <f t="shared" si="2"/>
        <v>0</v>
      </c>
      <c r="X53" s="34">
        <f t="shared" si="6"/>
        <v>28035</v>
      </c>
      <c r="Y53" s="51">
        <f t="shared" si="7"/>
        <v>829035</v>
      </c>
      <c r="Z53" s="11" t="str">
        <f t="shared" si="8"/>
        <v>43</v>
      </c>
      <c r="AA53" s="118" t="s">
        <v>800</v>
      </c>
      <c r="AB53" s="641"/>
      <c r="AC53" s="642"/>
    </row>
    <row r="54" spans="1:29" s="114" customFormat="1" ht="21" customHeight="1">
      <c r="A54" s="33" t="s">
        <v>1164</v>
      </c>
      <c r="B54" s="37" t="s">
        <v>268</v>
      </c>
      <c r="C54" s="155" t="s">
        <v>266</v>
      </c>
      <c r="D54" s="155"/>
      <c r="E54" s="67" t="s">
        <v>317</v>
      </c>
      <c r="F54" s="107">
        <v>1603205185719</v>
      </c>
      <c r="G54" s="10">
        <v>2.46</v>
      </c>
      <c r="H54" s="163"/>
      <c r="I54" s="86">
        <f t="shared" si="0"/>
        <v>2.46</v>
      </c>
      <c r="J54" s="86">
        <v>0</v>
      </c>
      <c r="K54" s="87">
        <f t="shared" si="9"/>
        <v>2.46</v>
      </c>
      <c r="L54" s="34">
        <f t="shared" si="1"/>
        <v>2583000</v>
      </c>
      <c r="M54" s="191" t="s">
        <v>858</v>
      </c>
      <c r="N54" s="34">
        <f t="shared" si="10"/>
        <v>1291500</v>
      </c>
      <c r="O54" s="34">
        <f t="shared" si="3"/>
        <v>1050000</v>
      </c>
      <c r="P54" s="10">
        <v>21</v>
      </c>
      <c r="Q54" s="67">
        <v>24</v>
      </c>
      <c r="R54" s="164">
        <f t="shared" si="4"/>
        <v>1291500</v>
      </c>
      <c r="S54" s="34">
        <f t="shared" si="5"/>
        <v>1291500</v>
      </c>
      <c r="T54" s="108"/>
      <c r="U54" s="34">
        <f t="shared" si="11"/>
        <v>0</v>
      </c>
      <c r="V54" s="79"/>
      <c r="W54" s="34">
        <f t="shared" si="2"/>
        <v>0</v>
      </c>
      <c r="X54" s="34">
        <f t="shared" si="6"/>
        <v>25830</v>
      </c>
      <c r="Y54" s="51">
        <f t="shared" si="7"/>
        <v>1317330</v>
      </c>
      <c r="Z54" s="11" t="str">
        <f t="shared" si="8"/>
        <v>44</v>
      </c>
      <c r="AA54" s="132"/>
      <c r="AB54" s="161"/>
      <c r="AC54" s="161"/>
    </row>
    <row r="55" spans="1:29" s="114" customFormat="1" ht="20.25" customHeight="1">
      <c r="A55" s="33" t="s">
        <v>1165</v>
      </c>
      <c r="B55" s="237" t="s">
        <v>269</v>
      </c>
      <c r="C55" s="275" t="s">
        <v>267</v>
      </c>
      <c r="D55" s="275"/>
      <c r="E55" s="239" t="s">
        <v>318</v>
      </c>
      <c r="F55" s="276" t="s">
        <v>369</v>
      </c>
      <c r="G55" s="241">
        <v>2.06</v>
      </c>
      <c r="H55" s="242"/>
      <c r="I55" s="243">
        <f t="shared" si="0"/>
        <v>2.06</v>
      </c>
      <c r="J55" s="243">
        <v>0</v>
      </c>
      <c r="K55" s="244">
        <f t="shared" si="9"/>
        <v>2.06</v>
      </c>
      <c r="L55" s="245">
        <f t="shared" si="1"/>
        <v>2163000</v>
      </c>
      <c r="M55" s="191" t="s">
        <v>785</v>
      </c>
      <c r="N55" s="292">
        <f t="shared" si="10"/>
        <v>0</v>
      </c>
      <c r="O55" s="245">
        <f t="shared" si="3"/>
        <v>0</v>
      </c>
      <c r="P55" s="291">
        <v>21</v>
      </c>
      <c r="Q55" s="239"/>
      <c r="R55" s="246">
        <f t="shared" si="4"/>
        <v>0</v>
      </c>
      <c r="S55" s="245">
        <f t="shared" si="5"/>
        <v>0</v>
      </c>
      <c r="T55" s="247"/>
      <c r="U55" s="245">
        <f t="shared" si="11"/>
        <v>0</v>
      </c>
      <c r="V55" s="249"/>
      <c r="W55" s="245">
        <f t="shared" si="2"/>
        <v>0</v>
      </c>
      <c r="X55" s="245">
        <v>0</v>
      </c>
      <c r="Y55" s="250">
        <f t="shared" si="7"/>
        <v>0</v>
      </c>
      <c r="Z55" s="251" t="str">
        <f t="shared" si="8"/>
        <v>45</v>
      </c>
      <c r="AA55" s="259"/>
      <c r="AB55" s="161"/>
      <c r="AC55" s="161"/>
    </row>
    <row r="56" spans="1:29" s="114" customFormat="1" ht="21.75" customHeight="1">
      <c r="A56" s="33" t="s">
        <v>1166</v>
      </c>
      <c r="B56" s="37" t="s">
        <v>988</v>
      </c>
      <c r="C56" s="155" t="s">
        <v>1103</v>
      </c>
      <c r="D56" s="155"/>
      <c r="E56" s="67" t="s">
        <v>341</v>
      </c>
      <c r="F56" s="107">
        <v>1603205182394</v>
      </c>
      <c r="G56" s="10">
        <v>2.46</v>
      </c>
      <c r="H56" s="163"/>
      <c r="I56" s="86">
        <f t="shared" si="0"/>
        <v>2.46</v>
      </c>
      <c r="J56" s="86"/>
      <c r="K56" s="87">
        <f t="shared" si="9"/>
        <v>2.46</v>
      </c>
      <c r="L56" s="34">
        <f t="shared" si="1"/>
        <v>2583000</v>
      </c>
      <c r="M56" s="191" t="s">
        <v>858</v>
      </c>
      <c r="N56" s="34">
        <f t="shared" si="10"/>
        <v>1291500</v>
      </c>
      <c r="O56" s="34">
        <f t="shared" si="3"/>
        <v>1050000</v>
      </c>
      <c r="P56" s="10">
        <v>21</v>
      </c>
      <c r="Q56" s="67">
        <v>25</v>
      </c>
      <c r="R56" s="164">
        <f t="shared" si="4"/>
        <v>1291500</v>
      </c>
      <c r="S56" s="34">
        <f t="shared" si="5"/>
        <v>1291500</v>
      </c>
      <c r="T56" s="108"/>
      <c r="U56" s="34">
        <f t="shared" si="11"/>
        <v>0</v>
      </c>
      <c r="V56" s="79"/>
      <c r="W56" s="34">
        <f t="shared" si="2"/>
        <v>0</v>
      </c>
      <c r="X56" s="34">
        <f t="shared" ref="X56:X119" si="12">(K56*0.01*$H$7)+(T56*1%*$H$7)+(V56*1%*$H$7)</f>
        <v>25830</v>
      </c>
      <c r="Y56" s="51">
        <f t="shared" si="7"/>
        <v>1317330</v>
      </c>
      <c r="Z56" s="11" t="str">
        <f t="shared" si="8"/>
        <v>46</v>
      </c>
      <c r="AA56" s="301"/>
      <c r="AB56" s="161"/>
      <c r="AC56" s="161"/>
    </row>
    <row r="57" spans="1:29" s="114" customFormat="1" ht="21" customHeight="1">
      <c r="A57" s="33" t="s">
        <v>409</v>
      </c>
      <c r="B57" s="37" t="s">
        <v>931</v>
      </c>
      <c r="C57" s="155" t="s">
        <v>932</v>
      </c>
      <c r="D57" s="155" t="s">
        <v>534</v>
      </c>
      <c r="E57" s="67" t="s">
        <v>87</v>
      </c>
      <c r="F57" s="80" t="s">
        <v>1289</v>
      </c>
      <c r="G57" s="10">
        <v>4.8899999999999997</v>
      </c>
      <c r="H57" s="163"/>
      <c r="I57" s="86">
        <f t="shared" si="0"/>
        <v>4.8899999999999997</v>
      </c>
      <c r="J57" s="86">
        <v>0.45</v>
      </c>
      <c r="K57" s="87">
        <f t="shared" si="9"/>
        <v>5.34</v>
      </c>
      <c r="L57" s="34">
        <f t="shared" si="1"/>
        <v>5607000</v>
      </c>
      <c r="M57" s="191" t="s">
        <v>858</v>
      </c>
      <c r="N57" s="34">
        <f t="shared" si="10"/>
        <v>2803500</v>
      </c>
      <c r="O57" s="34">
        <f t="shared" si="3"/>
        <v>1050000</v>
      </c>
      <c r="P57" s="10">
        <v>21</v>
      </c>
      <c r="Q57" s="67">
        <v>26</v>
      </c>
      <c r="R57" s="164">
        <f t="shared" si="4"/>
        <v>2803500</v>
      </c>
      <c r="S57" s="34">
        <f t="shared" si="5"/>
        <v>2803500</v>
      </c>
      <c r="T57" s="108"/>
      <c r="U57" s="34">
        <f t="shared" si="11"/>
        <v>0</v>
      </c>
      <c r="V57" s="79"/>
      <c r="W57" s="34">
        <f t="shared" si="2"/>
        <v>0</v>
      </c>
      <c r="X57" s="34">
        <f t="shared" si="12"/>
        <v>56070</v>
      </c>
      <c r="Y57" s="51">
        <f t="shared" si="7"/>
        <v>2859570</v>
      </c>
      <c r="Z57" s="11" t="str">
        <f t="shared" si="8"/>
        <v>47</v>
      </c>
      <c r="AA57" s="301"/>
      <c r="AB57" s="161"/>
      <c r="AC57" s="161"/>
    </row>
    <row r="58" spans="1:29" s="114" customFormat="1" ht="21.75" customHeight="1">
      <c r="A58" s="33" t="s">
        <v>410</v>
      </c>
      <c r="B58" s="37" t="s">
        <v>934</v>
      </c>
      <c r="C58" s="155" t="s">
        <v>856</v>
      </c>
      <c r="D58" s="155"/>
      <c r="E58" s="67" t="s">
        <v>88</v>
      </c>
      <c r="F58" s="80" t="s">
        <v>1290</v>
      </c>
      <c r="G58" s="10">
        <v>3.26</v>
      </c>
      <c r="H58" s="163"/>
      <c r="I58" s="86">
        <f t="shared" si="0"/>
        <v>3.26</v>
      </c>
      <c r="J58" s="86">
        <v>0</v>
      </c>
      <c r="K58" s="87">
        <f t="shared" si="9"/>
        <v>3.26</v>
      </c>
      <c r="L58" s="34">
        <f t="shared" si="1"/>
        <v>3423000</v>
      </c>
      <c r="M58" s="191" t="s">
        <v>858</v>
      </c>
      <c r="N58" s="34">
        <f t="shared" si="10"/>
        <v>1711500</v>
      </c>
      <c r="O58" s="34">
        <f t="shared" si="3"/>
        <v>1050000</v>
      </c>
      <c r="P58" s="10">
        <v>21</v>
      </c>
      <c r="Q58" s="67">
        <v>24</v>
      </c>
      <c r="R58" s="164">
        <f t="shared" si="4"/>
        <v>1711500</v>
      </c>
      <c r="S58" s="34">
        <f t="shared" si="5"/>
        <v>1711500</v>
      </c>
      <c r="T58" s="108"/>
      <c r="U58" s="34">
        <f t="shared" si="11"/>
        <v>0</v>
      </c>
      <c r="V58" s="79"/>
      <c r="W58" s="34">
        <f t="shared" si="2"/>
        <v>0</v>
      </c>
      <c r="X58" s="34">
        <f t="shared" si="12"/>
        <v>34230</v>
      </c>
      <c r="Y58" s="51">
        <f t="shared" si="7"/>
        <v>1745730</v>
      </c>
      <c r="Z58" s="11" t="str">
        <f t="shared" si="8"/>
        <v>48</v>
      </c>
      <c r="AA58" s="301"/>
      <c r="AB58" s="161"/>
      <c r="AC58" s="161"/>
    </row>
    <row r="59" spans="1:29" s="114" customFormat="1" ht="24" customHeight="1">
      <c r="A59" s="33" t="s">
        <v>411</v>
      </c>
      <c r="B59" s="37" t="s">
        <v>937</v>
      </c>
      <c r="C59" s="155" t="s">
        <v>871</v>
      </c>
      <c r="D59" s="155"/>
      <c r="E59" s="67" t="s">
        <v>89</v>
      </c>
      <c r="F59" s="80" t="s">
        <v>1291</v>
      </c>
      <c r="G59" s="10">
        <v>4.58</v>
      </c>
      <c r="H59" s="163"/>
      <c r="I59" s="86">
        <f t="shared" si="0"/>
        <v>4.58</v>
      </c>
      <c r="J59" s="86">
        <v>0</v>
      </c>
      <c r="K59" s="87">
        <f t="shared" si="9"/>
        <v>4.58</v>
      </c>
      <c r="L59" s="34">
        <f t="shared" si="1"/>
        <v>4809000</v>
      </c>
      <c r="M59" s="191" t="s">
        <v>858</v>
      </c>
      <c r="N59" s="34">
        <f t="shared" si="10"/>
        <v>2404500</v>
      </c>
      <c r="O59" s="34">
        <f t="shared" si="3"/>
        <v>1050000</v>
      </c>
      <c r="P59" s="10">
        <v>21</v>
      </c>
      <c r="Q59" s="67">
        <v>20</v>
      </c>
      <c r="R59" s="164">
        <f t="shared" si="4"/>
        <v>2404500</v>
      </c>
      <c r="S59" s="34">
        <f t="shared" si="5"/>
        <v>2290000</v>
      </c>
      <c r="T59" s="108"/>
      <c r="U59" s="34">
        <f t="shared" si="11"/>
        <v>0</v>
      </c>
      <c r="V59" s="79"/>
      <c r="W59" s="34">
        <f t="shared" si="2"/>
        <v>0</v>
      </c>
      <c r="X59" s="34">
        <f t="shared" si="12"/>
        <v>48090</v>
      </c>
      <c r="Y59" s="51">
        <f t="shared" si="7"/>
        <v>2338090</v>
      </c>
      <c r="Z59" s="11" t="str">
        <f t="shared" si="8"/>
        <v>49</v>
      </c>
      <c r="AA59" s="301" t="s">
        <v>810</v>
      </c>
      <c r="AB59" s="161" t="s">
        <v>727</v>
      </c>
      <c r="AC59" s="161"/>
    </row>
    <row r="60" spans="1:29" s="114" customFormat="1" ht="18.75" customHeight="1">
      <c r="A60" s="33" t="s">
        <v>412</v>
      </c>
      <c r="B60" s="37" t="s">
        <v>938</v>
      </c>
      <c r="C60" s="155" t="s">
        <v>939</v>
      </c>
      <c r="D60" s="155"/>
      <c r="E60" s="67" t="s">
        <v>90</v>
      </c>
      <c r="F60" s="80" t="s">
        <v>1292</v>
      </c>
      <c r="G60" s="10">
        <v>3.99</v>
      </c>
      <c r="H60" s="163"/>
      <c r="I60" s="86">
        <f t="shared" si="0"/>
        <v>3.99</v>
      </c>
      <c r="J60" s="86">
        <v>0.35</v>
      </c>
      <c r="K60" s="87">
        <f t="shared" si="9"/>
        <v>4.34</v>
      </c>
      <c r="L60" s="34">
        <f t="shared" si="1"/>
        <v>4557000</v>
      </c>
      <c r="M60" s="191" t="s">
        <v>858</v>
      </c>
      <c r="N60" s="34">
        <f t="shared" si="10"/>
        <v>2278500</v>
      </c>
      <c r="O60" s="34">
        <f t="shared" si="3"/>
        <v>1050000</v>
      </c>
      <c r="P60" s="10">
        <v>21</v>
      </c>
      <c r="Q60" s="67">
        <v>24</v>
      </c>
      <c r="R60" s="164">
        <f t="shared" si="4"/>
        <v>2278500</v>
      </c>
      <c r="S60" s="34">
        <f t="shared" si="5"/>
        <v>2278500</v>
      </c>
      <c r="T60" s="108"/>
      <c r="U60" s="34">
        <f t="shared" si="11"/>
        <v>0</v>
      </c>
      <c r="V60" s="79"/>
      <c r="W60" s="34">
        <f t="shared" si="2"/>
        <v>0</v>
      </c>
      <c r="X60" s="34">
        <f t="shared" si="12"/>
        <v>45570</v>
      </c>
      <c r="Y60" s="51">
        <f t="shared" si="7"/>
        <v>2324070</v>
      </c>
      <c r="Z60" s="11" t="str">
        <f t="shared" si="8"/>
        <v>50</v>
      </c>
      <c r="AA60" s="301"/>
      <c r="AB60" s="161"/>
      <c r="AC60" s="161"/>
    </row>
    <row r="61" spans="1:29" s="114" customFormat="1" ht="21" customHeight="1">
      <c r="A61" s="33" t="s">
        <v>413</v>
      </c>
      <c r="B61" s="37" t="s">
        <v>940</v>
      </c>
      <c r="C61" s="155" t="s">
        <v>880</v>
      </c>
      <c r="D61" s="155"/>
      <c r="E61" s="67" t="s">
        <v>91</v>
      </c>
      <c r="F61" s="80" t="s">
        <v>1293</v>
      </c>
      <c r="G61" s="10">
        <v>3.66</v>
      </c>
      <c r="H61" s="163"/>
      <c r="I61" s="86">
        <f t="shared" si="0"/>
        <v>3.66</v>
      </c>
      <c r="J61" s="86">
        <v>0</v>
      </c>
      <c r="K61" s="87">
        <f t="shared" si="9"/>
        <v>3.66</v>
      </c>
      <c r="L61" s="34">
        <f t="shared" si="1"/>
        <v>3843000</v>
      </c>
      <c r="M61" s="191" t="s">
        <v>858</v>
      </c>
      <c r="N61" s="34">
        <f t="shared" si="10"/>
        <v>1921500</v>
      </c>
      <c r="O61" s="34">
        <f t="shared" si="3"/>
        <v>1050000</v>
      </c>
      <c r="P61" s="10">
        <v>21</v>
      </c>
      <c r="Q61" s="67">
        <v>22</v>
      </c>
      <c r="R61" s="164">
        <f t="shared" si="4"/>
        <v>1921500</v>
      </c>
      <c r="S61" s="34">
        <f t="shared" si="5"/>
        <v>1921500</v>
      </c>
      <c r="T61" s="108"/>
      <c r="U61" s="34">
        <f t="shared" si="11"/>
        <v>0</v>
      </c>
      <c r="V61" s="79"/>
      <c r="W61" s="34">
        <f t="shared" si="2"/>
        <v>0</v>
      </c>
      <c r="X61" s="34">
        <f t="shared" si="12"/>
        <v>38430</v>
      </c>
      <c r="Y61" s="51">
        <f t="shared" si="7"/>
        <v>1959930</v>
      </c>
      <c r="Z61" s="11" t="str">
        <f t="shared" si="8"/>
        <v>51</v>
      </c>
      <c r="AA61" s="118"/>
      <c r="AB61" s="161"/>
      <c r="AC61" s="161"/>
    </row>
    <row r="62" spans="1:29" s="114" customFormat="1" ht="17.25" customHeight="1">
      <c r="A62" s="33" t="s">
        <v>414</v>
      </c>
      <c r="B62" s="37" t="s">
        <v>943</v>
      </c>
      <c r="C62" s="155" t="s">
        <v>944</v>
      </c>
      <c r="D62" s="155"/>
      <c r="E62" s="67" t="s">
        <v>92</v>
      </c>
      <c r="F62" s="80" t="s">
        <v>1294</v>
      </c>
      <c r="G62" s="10">
        <v>1.89</v>
      </c>
      <c r="H62" s="163"/>
      <c r="I62" s="86">
        <f t="shared" si="0"/>
        <v>1.89</v>
      </c>
      <c r="J62" s="86">
        <v>0</v>
      </c>
      <c r="K62" s="87">
        <f t="shared" si="9"/>
        <v>1.89</v>
      </c>
      <c r="L62" s="34">
        <f t="shared" si="1"/>
        <v>1984500</v>
      </c>
      <c r="M62" s="191" t="s">
        <v>858</v>
      </c>
      <c r="N62" s="34">
        <f t="shared" si="10"/>
        <v>992250</v>
      </c>
      <c r="O62" s="34">
        <f t="shared" si="3"/>
        <v>1050000</v>
      </c>
      <c r="P62" s="10">
        <v>21</v>
      </c>
      <c r="Q62" s="67">
        <v>21</v>
      </c>
      <c r="R62" s="164">
        <f t="shared" si="4"/>
        <v>1050000</v>
      </c>
      <c r="S62" s="34">
        <f t="shared" si="5"/>
        <v>1050000</v>
      </c>
      <c r="T62" s="108"/>
      <c r="U62" s="34">
        <f t="shared" si="11"/>
        <v>0</v>
      </c>
      <c r="V62" s="79"/>
      <c r="W62" s="34">
        <f t="shared" si="2"/>
        <v>0</v>
      </c>
      <c r="X62" s="34">
        <f t="shared" si="12"/>
        <v>19845</v>
      </c>
      <c r="Y62" s="51">
        <f t="shared" si="7"/>
        <v>1069845</v>
      </c>
      <c r="Z62" s="11" t="str">
        <f t="shared" si="8"/>
        <v>52</v>
      </c>
      <c r="AA62" s="301"/>
      <c r="AB62" s="161"/>
      <c r="AC62" s="161"/>
    </row>
    <row r="63" spans="1:29" s="114" customFormat="1" ht="22.5" customHeight="1">
      <c r="A63" s="33" t="s">
        <v>415</v>
      </c>
      <c r="B63" s="37" t="s">
        <v>288</v>
      </c>
      <c r="C63" s="155" t="s">
        <v>962</v>
      </c>
      <c r="D63" s="155"/>
      <c r="E63" s="67" t="s">
        <v>559</v>
      </c>
      <c r="F63" s="173" t="s">
        <v>560</v>
      </c>
      <c r="G63" s="10">
        <v>3</v>
      </c>
      <c r="H63" s="163"/>
      <c r="I63" s="86">
        <f t="shared" si="0"/>
        <v>3</v>
      </c>
      <c r="J63" s="86">
        <v>0</v>
      </c>
      <c r="K63" s="87">
        <f t="shared" si="9"/>
        <v>3</v>
      </c>
      <c r="L63" s="34">
        <f t="shared" si="1"/>
        <v>3150000</v>
      </c>
      <c r="M63" s="191" t="s">
        <v>858</v>
      </c>
      <c r="N63" s="34">
        <f t="shared" si="10"/>
        <v>1575000</v>
      </c>
      <c r="O63" s="34">
        <f t="shared" si="3"/>
        <v>1050000</v>
      </c>
      <c r="P63" s="10">
        <v>21</v>
      </c>
      <c r="Q63" s="67">
        <v>21</v>
      </c>
      <c r="R63" s="164">
        <f t="shared" si="4"/>
        <v>1575000</v>
      </c>
      <c r="S63" s="34">
        <f t="shared" si="5"/>
        <v>1575000</v>
      </c>
      <c r="T63" s="108"/>
      <c r="U63" s="34">
        <f t="shared" si="11"/>
        <v>0</v>
      </c>
      <c r="V63" s="79"/>
      <c r="W63" s="34">
        <f t="shared" si="2"/>
        <v>0</v>
      </c>
      <c r="X63" s="34">
        <f t="shared" si="12"/>
        <v>31500</v>
      </c>
      <c r="Y63" s="51">
        <f t="shared" si="7"/>
        <v>1606500</v>
      </c>
      <c r="Z63" s="11" t="str">
        <f t="shared" si="8"/>
        <v>53</v>
      </c>
      <c r="AA63" s="118"/>
      <c r="AB63" s="161"/>
      <c r="AC63" s="161"/>
    </row>
    <row r="64" spans="1:29" s="114" customFormat="1" ht="20.25" customHeight="1">
      <c r="A64" s="33" t="s">
        <v>416</v>
      </c>
      <c r="B64" s="37" t="s">
        <v>1020</v>
      </c>
      <c r="C64" s="155" t="s">
        <v>1021</v>
      </c>
      <c r="D64" s="155" t="s">
        <v>535</v>
      </c>
      <c r="E64" s="67" t="s">
        <v>141</v>
      </c>
      <c r="F64" s="80" t="s">
        <v>1343</v>
      </c>
      <c r="G64" s="10">
        <v>2.67</v>
      </c>
      <c r="H64" s="163"/>
      <c r="I64" s="86">
        <f t="shared" si="0"/>
        <v>2.67</v>
      </c>
      <c r="J64" s="86">
        <v>0.45</v>
      </c>
      <c r="K64" s="87">
        <f t="shared" si="9"/>
        <v>3.12</v>
      </c>
      <c r="L64" s="34">
        <f t="shared" si="1"/>
        <v>3276000</v>
      </c>
      <c r="M64" s="191" t="s">
        <v>858</v>
      </c>
      <c r="N64" s="34">
        <f t="shared" si="10"/>
        <v>1638000</v>
      </c>
      <c r="O64" s="34">
        <f t="shared" si="3"/>
        <v>1050000</v>
      </c>
      <c r="P64" s="10">
        <v>21</v>
      </c>
      <c r="Q64" s="67">
        <v>26</v>
      </c>
      <c r="R64" s="164">
        <f t="shared" si="4"/>
        <v>1638000</v>
      </c>
      <c r="S64" s="34">
        <f t="shared" si="5"/>
        <v>1638000</v>
      </c>
      <c r="T64" s="108"/>
      <c r="U64" s="34">
        <f t="shared" si="11"/>
        <v>0</v>
      </c>
      <c r="V64" s="79"/>
      <c r="W64" s="34">
        <f t="shared" si="2"/>
        <v>0</v>
      </c>
      <c r="X64" s="34">
        <f t="shared" si="12"/>
        <v>32760.000000000004</v>
      </c>
      <c r="Y64" s="51">
        <f t="shared" si="7"/>
        <v>1670760</v>
      </c>
      <c r="Z64" s="11" t="str">
        <f t="shared" si="8"/>
        <v>54</v>
      </c>
      <c r="AA64" s="302" t="s">
        <v>777</v>
      </c>
      <c r="AB64" s="161"/>
      <c r="AC64" s="161"/>
    </row>
    <row r="65" spans="1:29" s="114" customFormat="1" ht="24" customHeight="1">
      <c r="A65" s="33" t="s">
        <v>417</v>
      </c>
      <c r="B65" s="37" t="s">
        <v>1227</v>
      </c>
      <c r="C65" s="155" t="s">
        <v>1207</v>
      </c>
      <c r="D65" s="155"/>
      <c r="E65" s="67" t="s">
        <v>144</v>
      </c>
      <c r="F65" s="80" t="s">
        <v>1346</v>
      </c>
      <c r="G65" s="10">
        <v>2.67</v>
      </c>
      <c r="H65" s="163"/>
      <c r="I65" s="86">
        <f t="shared" si="0"/>
        <v>2.67</v>
      </c>
      <c r="J65" s="86">
        <v>0.35</v>
      </c>
      <c r="K65" s="87">
        <f t="shared" si="9"/>
        <v>3.02</v>
      </c>
      <c r="L65" s="34">
        <f t="shared" si="1"/>
        <v>3171000</v>
      </c>
      <c r="M65" s="191" t="s">
        <v>858</v>
      </c>
      <c r="N65" s="34">
        <f t="shared" si="10"/>
        <v>1585500</v>
      </c>
      <c r="O65" s="34">
        <f t="shared" si="3"/>
        <v>1050000</v>
      </c>
      <c r="P65" s="10">
        <v>21</v>
      </c>
      <c r="Q65" s="67">
        <v>26</v>
      </c>
      <c r="R65" s="164">
        <f t="shared" si="4"/>
        <v>1585500</v>
      </c>
      <c r="S65" s="34">
        <f t="shared" si="5"/>
        <v>1585500</v>
      </c>
      <c r="T65" s="108"/>
      <c r="U65" s="34">
        <f t="shared" si="11"/>
        <v>0</v>
      </c>
      <c r="V65" s="79"/>
      <c r="W65" s="34">
        <f t="shared" si="2"/>
        <v>0</v>
      </c>
      <c r="X65" s="34">
        <f t="shared" si="12"/>
        <v>31710</v>
      </c>
      <c r="Y65" s="51">
        <f t="shared" si="7"/>
        <v>1617210</v>
      </c>
      <c r="Z65" s="11" t="str">
        <f t="shared" si="8"/>
        <v>55</v>
      </c>
      <c r="AA65" s="301" t="s">
        <v>801</v>
      </c>
      <c r="AB65" s="161"/>
      <c r="AC65" s="161"/>
    </row>
    <row r="66" spans="1:29" s="114" customFormat="1" ht="19.5" customHeight="1">
      <c r="A66" s="33" t="s">
        <v>418</v>
      </c>
      <c r="B66" s="37" t="s">
        <v>1177</v>
      </c>
      <c r="C66" s="155" t="s">
        <v>903</v>
      </c>
      <c r="D66" s="155"/>
      <c r="E66" s="67" t="s">
        <v>155</v>
      </c>
      <c r="F66" s="80" t="s">
        <v>1357</v>
      </c>
      <c r="G66" s="10">
        <v>2.34</v>
      </c>
      <c r="H66" s="163"/>
      <c r="I66" s="86">
        <f t="shared" si="0"/>
        <v>2.34</v>
      </c>
      <c r="J66" s="86">
        <v>0.25</v>
      </c>
      <c r="K66" s="87">
        <f t="shared" si="9"/>
        <v>2.59</v>
      </c>
      <c r="L66" s="34">
        <f t="shared" si="1"/>
        <v>2719500</v>
      </c>
      <c r="M66" s="191" t="s">
        <v>858</v>
      </c>
      <c r="N66" s="34">
        <f t="shared" si="10"/>
        <v>1359750</v>
      </c>
      <c r="O66" s="34">
        <f t="shared" si="3"/>
        <v>1050000</v>
      </c>
      <c r="P66" s="10">
        <v>21</v>
      </c>
      <c r="Q66" s="67">
        <v>26</v>
      </c>
      <c r="R66" s="164">
        <f t="shared" si="4"/>
        <v>1359750</v>
      </c>
      <c r="S66" s="34">
        <f t="shared" si="5"/>
        <v>1359750</v>
      </c>
      <c r="T66" s="108"/>
      <c r="U66" s="34">
        <f t="shared" si="11"/>
        <v>0</v>
      </c>
      <c r="V66" s="79"/>
      <c r="W66" s="34">
        <f t="shared" si="2"/>
        <v>0</v>
      </c>
      <c r="X66" s="34">
        <f t="shared" si="12"/>
        <v>27195</v>
      </c>
      <c r="Y66" s="51">
        <f t="shared" si="7"/>
        <v>1386945</v>
      </c>
      <c r="Z66" s="11" t="str">
        <f t="shared" si="8"/>
        <v>56</v>
      </c>
      <c r="AA66" s="301"/>
      <c r="AB66" s="161"/>
      <c r="AC66" s="161"/>
    </row>
    <row r="67" spans="1:29" s="114" customFormat="1" ht="24" customHeight="1">
      <c r="A67" s="33" t="s">
        <v>419</v>
      </c>
      <c r="B67" s="37" t="s">
        <v>284</v>
      </c>
      <c r="C67" s="155" t="s">
        <v>1087</v>
      </c>
      <c r="D67" s="155"/>
      <c r="E67" s="67" t="s">
        <v>331</v>
      </c>
      <c r="F67" s="107" t="s">
        <v>382</v>
      </c>
      <c r="G67" s="10">
        <v>2.2599999999999998</v>
      </c>
      <c r="H67" s="163"/>
      <c r="I67" s="86">
        <f t="shared" si="0"/>
        <v>2.2599999999999998</v>
      </c>
      <c r="J67" s="86">
        <v>0.25</v>
      </c>
      <c r="K67" s="87">
        <f t="shared" si="9"/>
        <v>2.5099999999999998</v>
      </c>
      <c r="L67" s="34">
        <f t="shared" si="1"/>
        <v>2635500</v>
      </c>
      <c r="M67" s="191" t="s">
        <v>858</v>
      </c>
      <c r="N67" s="34">
        <f t="shared" si="10"/>
        <v>1317750</v>
      </c>
      <c r="O67" s="34">
        <f t="shared" si="3"/>
        <v>1050000</v>
      </c>
      <c r="P67" s="10">
        <v>21</v>
      </c>
      <c r="Q67" s="67">
        <v>26</v>
      </c>
      <c r="R67" s="164">
        <f t="shared" si="4"/>
        <v>1317750</v>
      </c>
      <c r="S67" s="34">
        <f t="shared" si="5"/>
        <v>1317750</v>
      </c>
      <c r="T67" s="108"/>
      <c r="U67" s="34">
        <f t="shared" si="11"/>
        <v>0</v>
      </c>
      <c r="V67" s="79"/>
      <c r="W67" s="34">
        <f t="shared" si="2"/>
        <v>0</v>
      </c>
      <c r="X67" s="34">
        <f t="shared" si="12"/>
        <v>26354.999999999996</v>
      </c>
      <c r="Y67" s="51">
        <f t="shared" si="7"/>
        <v>1344105</v>
      </c>
      <c r="Z67" s="11" t="str">
        <f t="shared" si="8"/>
        <v>57</v>
      </c>
      <c r="AA67" s="132"/>
      <c r="AB67" s="161"/>
      <c r="AC67" s="161"/>
    </row>
    <row r="68" spans="1:29" s="114" customFormat="1" ht="20.25" customHeight="1">
      <c r="A68" s="33" t="s">
        <v>420</v>
      </c>
      <c r="B68" s="37" t="s">
        <v>286</v>
      </c>
      <c r="C68" s="155" t="s">
        <v>939</v>
      </c>
      <c r="D68" s="155"/>
      <c r="E68" s="67" t="s">
        <v>333</v>
      </c>
      <c r="F68" s="107" t="s">
        <v>384</v>
      </c>
      <c r="G68" s="10">
        <v>2.34</v>
      </c>
      <c r="H68" s="163"/>
      <c r="I68" s="86">
        <f t="shared" si="0"/>
        <v>2.34</v>
      </c>
      <c r="J68" s="86"/>
      <c r="K68" s="87">
        <f t="shared" si="9"/>
        <v>2.34</v>
      </c>
      <c r="L68" s="34">
        <f t="shared" si="1"/>
        <v>2457000</v>
      </c>
      <c r="M68" s="191" t="s">
        <v>858</v>
      </c>
      <c r="N68" s="34">
        <f t="shared" si="10"/>
        <v>1228500</v>
      </c>
      <c r="O68" s="34">
        <f t="shared" si="3"/>
        <v>1050000</v>
      </c>
      <c r="P68" s="10">
        <v>21</v>
      </c>
      <c r="Q68" s="67">
        <v>26</v>
      </c>
      <c r="R68" s="164">
        <f t="shared" si="4"/>
        <v>1228500</v>
      </c>
      <c r="S68" s="34">
        <f t="shared" si="5"/>
        <v>1228500</v>
      </c>
      <c r="T68" s="108"/>
      <c r="U68" s="34">
        <f t="shared" si="11"/>
        <v>0</v>
      </c>
      <c r="V68" s="79"/>
      <c r="W68" s="34">
        <f t="shared" si="2"/>
        <v>0</v>
      </c>
      <c r="X68" s="34">
        <f t="shared" si="12"/>
        <v>24570</v>
      </c>
      <c r="Y68" s="51">
        <f t="shared" si="7"/>
        <v>1253070</v>
      </c>
      <c r="Z68" s="11" t="str">
        <f t="shared" si="8"/>
        <v>58</v>
      </c>
      <c r="AA68" s="132"/>
      <c r="AB68" s="161"/>
      <c r="AC68" s="161"/>
    </row>
    <row r="69" spans="1:29" s="114" customFormat="1" ht="20.25" customHeight="1">
      <c r="A69" s="33" t="s">
        <v>421</v>
      </c>
      <c r="B69" s="37" t="s">
        <v>892</v>
      </c>
      <c r="C69" s="155" t="s">
        <v>956</v>
      </c>
      <c r="D69" s="155"/>
      <c r="E69" s="67" t="s">
        <v>335</v>
      </c>
      <c r="F69" s="107">
        <v>1603205251380</v>
      </c>
      <c r="G69" s="10">
        <v>2.06</v>
      </c>
      <c r="H69" s="163"/>
      <c r="I69" s="86">
        <f t="shared" si="0"/>
        <v>2.06</v>
      </c>
      <c r="J69" s="86">
        <v>0.25</v>
      </c>
      <c r="K69" s="87">
        <f t="shared" si="9"/>
        <v>2.31</v>
      </c>
      <c r="L69" s="34">
        <f t="shared" si="1"/>
        <v>2425500</v>
      </c>
      <c r="M69" s="191" t="s">
        <v>858</v>
      </c>
      <c r="N69" s="34">
        <f t="shared" si="10"/>
        <v>1212750</v>
      </c>
      <c r="O69" s="34">
        <f t="shared" si="3"/>
        <v>1050000</v>
      </c>
      <c r="P69" s="10">
        <v>21</v>
      </c>
      <c r="Q69" s="67">
        <v>26</v>
      </c>
      <c r="R69" s="164">
        <f t="shared" si="4"/>
        <v>1212750</v>
      </c>
      <c r="S69" s="34">
        <f t="shared" si="5"/>
        <v>1212750</v>
      </c>
      <c r="T69" s="108"/>
      <c r="U69" s="34">
        <f t="shared" si="11"/>
        <v>0</v>
      </c>
      <c r="V69" s="79"/>
      <c r="W69" s="34">
        <f t="shared" si="2"/>
        <v>0</v>
      </c>
      <c r="X69" s="34">
        <f t="shared" si="12"/>
        <v>24255.000000000004</v>
      </c>
      <c r="Y69" s="51">
        <f t="shared" si="7"/>
        <v>1237005</v>
      </c>
      <c r="Z69" s="11" t="str">
        <f t="shared" si="8"/>
        <v>59</v>
      </c>
      <c r="AA69" s="132"/>
      <c r="AB69" s="161" t="s">
        <v>727</v>
      </c>
      <c r="AC69" s="161"/>
    </row>
    <row r="70" spans="1:29" s="114" customFormat="1" ht="24" customHeight="1">
      <c r="A70" s="33" t="s">
        <v>422</v>
      </c>
      <c r="B70" s="37" t="s">
        <v>1221</v>
      </c>
      <c r="C70" s="155" t="s">
        <v>996</v>
      </c>
      <c r="D70" s="155"/>
      <c r="E70" s="67" t="s">
        <v>334</v>
      </c>
      <c r="F70" s="107" t="s">
        <v>385</v>
      </c>
      <c r="G70" s="10">
        <v>2.06</v>
      </c>
      <c r="H70" s="163"/>
      <c r="I70" s="86">
        <f t="shared" si="0"/>
        <v>2.06</v>
      </c>
      <c r="J70" s="86"/>
      <c r="K70" s="87">
        <f t="shared" si="9"/>
        <v>2.06</v>
      </c>
      <c r="L70" s="34">
        <f t="shared" si="1"/>
        <v>2163000</v>
      </c>
      <c r="M70" s="191" t="s">
        <v>858</v>
      </c>
      <c r="N70" s="34">
        <f t="shared" si="10"/>
        <v>1081500</v>
      </c>
      <c r="O70" s="34">
        <f t="shared" si="3"/>
        <v>1050000</v>
      </c>
      <c r="P70" s="10">
        <v>21</v>
      </c>
      <c r="Q70" s="67">
        <v>26</v>
      </c>
      <c r="R70" s="164">
        <f t="shared" si="4"/>
        <v>1081500</v>
      </c>
      <c r="S70" s="34">
        <f t="shared" si="5"/>
        <v>1081500</v>
      </c>
      <c r="T70" s="108"/>
      <c r="U70" s="34">
        <f t="shared" si="11"/>
        <v>0</v>
      </c>
      <c r="V70" s="79"/>
      <c r="W70" s="34">
        <f t="shared" si="2"/>
        <v>0</v>
      </c>
      <c r="X70" s="34">
        <f t="shared" si="12"/>
        <v>21630</v>
      </c>
      <c r="Y70" s="51">
        <f t="shared" si="7"/>
        <v>1103130</v>
      </c>
      <c r="Z70" s="11" t="str">
        <f t="shared" si="8"/>
        <v>60</v>
      </c>
      <c r="AA70" s="132"/>
      <c r="AB70" s="161"/>
      <c r="AC70" s="161"/>
    </row>
    <row r="71" spans="1:29" s="114" customFormat="1" ht="24" customHeight="1">
      <c r="A71" s="33" t="s">
        <v>423</v>
      </c>
      <c r="B71" s="37" t="s">
        <v>1025</v>
      </c>
      <c r="C71" s="155" t="s">
        <v>876</v>
      </c>
      <c r="D71" s="155" t="s">
        <v>536</v>
      </c>
      <c r="E71" s="67" t="s">
        <v>157</v>
      </c>
      <c r="F71" s="80" t="s">
        <v>1359</v>
      </c>
      <c r="G71" s="10">
        <v>4.9800000000000004</v>
      </c>
      <c r="H71" s="229">
        <v>7.0000000000000007E-2</v>
      </c>
      <c r="I71" s="86">
        <f t="shared" si="0"/>
        <v>5.3286000000000007</v>
      </c>
      <c r="J71" s="86">
        <v>0.45</v>
      </c>
      <c r="K71" s="87">
        <f t="shared" si="9"/>
        <v>5.7786000000000008</v>
      </c>
      <c r="L71" s="34">
        <f t="shared" si="1"/>
        <v>6067530.0000000009</v>
      </c>
      <c r="M71" s="191" t="s">
        <v>858</v>
      </c>
      <c r="N71" s="34">
        <f t="shared" si="10"/>
        <v>3033765.0000000005</v>
      </c>
      <c r="O71" s="34">
        <f t="shared" si="3"/>
        <v>1050000</v>
      </c>
      <c r="P71" s="10">
        <v>21</v>
      </c>
      <c r="Q71" s="10">
        <v>26</v>
      </c>
      <c r="R71" s="164">
        <f t="shared" si="4"/>
        <v>3033765.0000000005</v>
      </c>
      <c r="S71" s="34">
        <f t="shared" si="5"/>
        <v>3033765.0000000005</v>
      </c>
      <c r="T71" s="108"/>
      <c r="U71" s="34">
        <f t="shared" si="11"/>
        <v>0</v>
      </c>
      <c r="V71" s="79"/>
      <c r="W71" s="34">
        <f t="shared" si="2"/>
        <v>0</v>
      </c>
      <c r="X71" s="34">
        <f t="shared" si="12"/>
        <v>60675.30000000001</v>
      </c>
      <c r="Y71" s="51">
        <f t="shared" si="7"/>
        <v>3094440.3000000003</v>
      </c>
      <c r="Z71" s="11" t="str">
        <f t="shared" si="8"/>
        <v>61</v>
      </c>
      <c r="AA71" s="118"/>
      <c r="AB71" s="161"/>
      <c r="AC71" s="161"/>
    </row>
    <row r="72" spans="1:29" s="114" customFormat="1" ht="24">
      <c r="A72" s="33" t="s">
        <v>424</v>
      </c>
      <c r="B72" s="37" t="s">
        <v>1088</v>
      </c>
      <c r="C72" s="155" t="s">
        <v>1197</v>
      </c>
      <c r="D72" s="155"/>
      <c r="E72" s="67" t="s">
        <v>158</v>
      </c>
      <c r="F72" s="80" t="s">
        <v>1288</v>
      </c>
      <c r="G72" s="10">
        <v>3.66</v>
      </c>
      <c r="H72" s="50"/>
      <c r="I72" s="86">
        <f t="shared" si="0"/>
        <v>3.66</v>
      </c>
      <c r="J72" s="50"/>
      <c r="K72" s="87">
        <f t="shared" si="9"/>
        <v>3.66</v>
      </c>
      <c r="L72" s="34">
        <f t="shared" si="1"/>
        <v>3843000</v>
      </c>
      <c r="M72" s="191" t="s">
        <v>858</v>
      </c>
      <c r="N72" s="34">
        <f t="shared" si="10"/>
        <v>1921500</v>
      </c>
      <c r="O72" s="34">
        <f t="shared" si="3"/>
        <v>1050000</v>
      </c>
      <c r="P72" s="10">
        <v>21</v>
      </c>
      <c r="Q72" s="67">
        <v>19</v>
      </c>
      <c r="R72" s="164">
        <f t="shared" si="4"/>
        <v>1921500</v>
      </c>
      <c r="S72" s="34">
        <f t="shared" si="5"/>
        <v>1738500</v>
      </c>
      <c r="T72" s="79"/>
      <c r="U72" s="34">
        <f t="shared" si="11"/>
        <v>0</v>
      </c>
      <c r="V72" s="79"/>
      <c r="W72" s="34">
        <f t="shared" si="2"/>
        <v>0</v>
      </c>
      <c r="X72" s="34">
        <f t="shared" si="12"/>
        <v>38430</v>
      </c>
      <c r="Y72" s="51">
        <f t="shared" si="7"/>
        <v>1776930</v>
      </c>
      <c r="Z72" s="11" t="str">
        <f t="shared" si="8"/>
        <v>62</v>
      </c>
      <c r="AA72" s="301" t="s">
        <v>808</v>
      </c>
      <c r="AB72" s="161"/>
      <c r="AC72" s="161"/>
    </row>
    <row r="73" spans="1:29" s="114" customFormat="1" ht="24" customHeight="1">
      <c r="A73" s="33" t="s">
        <v>425</v>
      </c>
      <c r="B73" s="37" t="s">
        <v>291</v>
      </c>
      <c r="C73" s="155" t="s">
        <v>874</v>
      </c>
      <c r="D73" s="155"/>
      <c r="E73" s="67" t="s">
        <v>444</v>
      </c>
      <c r="F73" s="80" t="s">
        <v>443</v>
      </c>
      <c r="G73" s="10">
        <v>3</v>
      </c>
      <c r="H73" s="163"/>
      <c r="I73" s="86">
        <f t="shared" si="0"/>
        <v>3</v>
      </c>
      <c r="J73" s="86"/>
      <c r="K73" s="87">
        <f t="shared" si="9"/>
        <v>3</v>
      </c>
      <c r="L73" s="34">
        <f t="shared" si="1"/>
        <v>3150000</v>
      </c>
      <c r="M73" s="191" t="s">
        <v>858</v>
      </c>
      <c r="N73" s="34">
        <f t="shared" si="10"/>
        <v>1575000</v>
      </c>
      <c r="O73" s="34">
        <f t="shared" si="3"/>
        <v>1050000</v>
      </c>
      <c r="P73" s="10">
        <v>21</v>
      </c>
      <c r="Q73" s="67">
        <v>22</v>
      </c>
      <c r="R73" s="164">
        <f t="shared" si="4"/>
        <v>1575000</v>
      </c>
      <c r="S73" s="34">
        <f t="shared" si="5"/>
        <v>1575000</v>
      </c>
      <c r="T73" s="108"/>
      <c r="U73" s="34">
        <f t="shared" si="11"/>
        <v>0</v>
      </c>
      <c r="V73" s="79"/>
      <c r="W73" s="34">
        <f t="shared" si="2"/>
        <v>0</v>
      </c>
      <c r="X73" s="34">
        <f t="shared" si="12"/>
        <v>31500</v>
      </c>
      <c r="Y73" s="51">
        <f t="shared" si="7"/>
        <v>1606500</v>
      </c>
      <c r="Z73" s="11" t="str">
        <f t="shared" si="8"/>
        <v>63</v>
      </c>
      <c r="AA73" s="118"/>
      <c r="AB73" s="161"/>
      <c r="AC73" s="161"/>
    </row>
    <row r="74" spans="1:29" s="114" customFormat="1" ht="24" customHeight="1">
      <c r="A74" s="33" t="s">
        <v>426</v>
      </c>
      <c r="B74" s="37" t="s">
        <v>1044</v>
      </c>
      <c r="C74" s="155" t="s">
        <v>498</v>
      </c>
      <c r="D74" s="155"/>
      <c r="E74" s="67" t="s">
        <v>170</v>
      </c>
      <c r="F74" s="80" t="s">
        <v>1370</v>
      </c>
      <c r="G74" s="10">
        <v>4.58</v>
      </c>
      <c r="H74" s="163"/>
      <c r="I74" s="86">
        <f t="shared" si="0"/>
        <v>4.58</v>
      </c>
      <c r="J74" s="86">
        <v>0</v>
      </c>
      <c r="K74" s="87">
        <f t="shared" si="9"/>
        <v>4.58</v>
      </c>
      <c r="L74" s="34">
        <f t="shared" si="1"/>
        <v>4809000</v>
      </c>
      <c r="M74" s="191" t="s">
        <v>858</v>
      </c>
      <c r="N74" s="34">
        <f t="shared" si="10"/>
        <v>2404500</v>
      </c>
      <c r="O74" s="34">
        <f t="shared" si="3"/>
        <v>1050000</v>
      </c>
      <c r="P74" s="10">
        <v>21</v>
      </c>
      <c r="Q74" s="67">
        <v>22</v>
      </c>
      <c r="R74" s="164">
        <f t="shared" si="4"/>
        <v>2404500</v>
      </c>
      <c r="S74" s="34">
        <f t="shared" si="5"/>
        <v>2404500</v>
      </c>
      <c r="T74" s="108"/>
      <c r="U74" s="34">
        <f t="shared" si="11"/>
        <v>0</v>
      </c>
      <c r="V74" s="79"/>
      <c r="W74" s="34">
        <f t="shared" si="2"/>
        <v>0</v>
      </c>
      <c r="X74" s="34">
        <f t="shared" si="12"/>
        <v>48090</v>
      </c>
      <c r="Y74" s="51">
        <f t="shared" si="7"/>
        <v>2452590</v>
      </c>
      <c r="Z74" s="11" t="str">
        <f t="shared" si="8"/>
        <v>64</v>
      </c>
      <c r="AA74" s="118"/>
      <c r="AB74" s="161"/>
      <c r="AC74" s="161"/>
    </row>
    <row r="75" spans="1:29" s="114" customFormat="1" ht="24" customHeight="1">
      <c r="A75" s="33" t="s">
        <v>427</v>
      </c>
      <c r="B75" s="37" t="s">
        <v>1044</v>
      </c>
      <c r="C75" s="155" t="s">
        <v>499</v>
      </c>
      <c r="D75" s="155"/>
      <c r="E75" s="67" t="s">
        <v>496</v>
      </c>
      <c r="F75" s="80" t="s">
        <v>497</v>
      </c>
      <c r="G75" s="10">
        <v>4.9800000000000004</v>
      </c>
      <c r="H75" s="229">
        <v>0.09</v>
      </c>
      <c r="I75" s="86">
        <f t="shared" ref="I75:I138" si="13">G75+(G75*H75)</f>
        <v>5.4282000000000004</v>
      </c>
      <c r="J75" s="86"/>
      <c r="K75" s="87">
        <f t="shared" si="9"/>
        <v>5.4282000000000004</v>
      </c>
      <c r="L75" s="34">
        <f t="shared" ref="L75:L138" si="14">K75*$H$7</f>
        <v>5699610</v>
      </c>
      <c r="M75" s="191" t="s">
        <v>858</v>
      </c>
      <c r="N75" s="34">
        <f t="shared" si="10"/>
        <v>2849805</v>
      </c>
      <c r="O75" s="34">
        <f t="shared" si="3"/>
        <v>1050000</v>
      </c>
      <c r="P75" s="10">
        <v>21</v>
      </c>
      <c r="Q75" s="67">
        <v>22</v>
      </c>
      <c r="R75" s="164">
        <f t="shared" si="4"/>
        <v>2849805</v>
      </c>
      <c r="S75" s="34">
        <f t="shared" si="5"/>
        <v>2849805</v>
      </c>
      <c r="T75" s="108"/>
      <c r="U75" s="34">
        <f t="shared" si="11"/>
        <v>0</v>
      </c>
      <c r="V75" s="79"/>
      <c r="W75" s="34">
        <f t="shared" ref="W75:W138" si="15">V75*$H$7*0.5</f>
        <v>0</v>
      </c>
      <c r="X75" s="34">
        <f t="shared" si="12"/>
        <v>56996.100000000006</v>
      </c>
      <c r="Y75" s="51">
        <f t="shared" si="7"/>
        <v>2906801.1</v>
      </c>
      <c r="Z75" s="11" t="str">
        <f t="shared" si="8"/>
        <v>65</v>
      </c>
      <c r="AA75" s="118"/>
      <c r="AB75" s="161"/>
      <c r="AC75" s="161"/>
    </row>
    <row r="76" spans="1:29" s="114" customFormat="1" ht="21.75" customHeight="1">
      <c r="A76" s="33" t="s">
        <v>428</v>
      </c>
      <c r="B76" s="37" t="s">
        <v>1045</v>
      </c>
      <c r="C76" s="155" t="s">
        <v>865</v>
      </c>
      <c r="D76" s="155" t="s">
        <v>537</v>
      </c>
      <c r="E76" s="67" t="s">
        <v>180</v>
      </c>
      <c r="F76" s="90" t="s">
        <v>1380</v>
      </c>
      <c r="G76" s="10">
        <v>4.9800000000000004</v>
      </c>
      <c r="H76" s="163">
        <v>0.06</v>
      </c>
      <c r="I76" s="86">
        <f t="shared" si="13"/>
        <v>5.2788000000000004</v>
      </c>
      <c r="J76" s="86">
        <v>0.45</v>
      </c>
      <c r="K76" s="87">
        <f t="shared" si="9"/>
        <v>5.7288000000000006</v>
      </c>
      <c r="L76" s="34">
        <f t="shared" si="14"/>
        <v>6015240.0000000009</v>
      </c>
      <c r="M76" s="191" t="s">
        <v>858</v>
      </c>
      <c r="N76" s="34">
        <f t="shared" si="10"/>
        <v>3007620.0000000005</v>
      </c>
      <c r="O76" s="34">
        <f t="shared" ref="O76:O139" si="16">IF(M76="A",1050000,IF(M76="B",735000,IF(M76="C",514500,0)))</f>
        <v>1050000</v>
      </c>
      <c r="P76" s="10">
        <v>21</v>
      </c>
      <c r="Q76" s="67">
        <v>26</v>
      </c>
      <c r="R76" s="164">
        <f t="shared" ref="R76:R142" si="17">IF(N76&gt;O76,N76,O76)</f>
        <v>3007620.0000000005</v>
      </c>
      <c r="S76" s="34">
        <f t="shared" ref="S76:S139" si="18">IF(Q76&gt;=P76,R76,R76/P76*Q76)</f>
        <v>3007620.0000000005</v>
      </c>
      <c r="T76" s="108"/>
      <c r="U76" s="34">
        <f t="shared" si="11"/>
        <v>0</v>
      </c>
      <c r="V76" s="79"/>
      <c r="W76" s="34">
        <f t="shared" si="15"/>
        <v>0</v>
      </c>
      <c r="X76" s="34">
        <f t="shared" si="12"/>
        <v>60152.400000000009</v>
      </c>
      <c r="Y76" s="51">
        <f t="shared" ref="Y76:Y142" si="19">(S76+U76+W76+X76)</f>
        <v>3067772.4000000004</v>
      </c>
      <c r="Z76" s="11" t="str">
        <f t="shared" ref="Z76:Z139" si="20">A76</f>
        <v>66</v>
      </c>
      <c r="AA76" s="118"/>
      <c r="AB76" s="161" t="s">
        <v>727</v>
      </c>
      <c r="AC76" s="161"/>
    </row>
    <row r="77" spans="1:29" s="114" customFormat="1" ht="27" customHeight="1">
      <c r="A77" s="33" t="s">
        <v>429</v>
      </c>
      <c r="B77" s="284" t="s">
        <v>271</v>
      </c>
      <c r="C77" s="306" t="s">
        <v>270</v>
      </c>
      <c r="D77" s="306"/>
      <c r="E77" s="307" t="s">
        <v>319</v>
      </c>
      <c r="F77" s="287" t="s">
        <v>370</v>
      </c>
      <c r="G77" s="291">
        <v>2.34</v>
      </c>
      <c r="H77" s="308"/>
      <c r="I77" s="290">
        <f t="shared" si="13"/>
        <v>2.34</v>
      </c>
      <c r="J77" s="290"/>
      <c r="K77" s="309">
        <f t="shared" ref="K77:K140" si="21">I77+J77</f>
        <v>2.34</v>
      </c>
      <c r="L77" s="292">
        <f t="shared" si="14"/>
        <v>2457000</v>
      </c>
      <c r="M77" s="291"/>
      <c r="N77" s="292">
        <f t="shared" ref="N77:N140" si="22">IF(M77="A",L77*0.5,IF(M77="B",L77*0.5*0.75,IF(M77="C",L77*0.5*0.75*0.75,0)))</f>
        <v>0</v>
      </c>
      <c r="O77" s="292">
        <f t="shared" si="16"/>
        <v>0</v>
      </c>
      <c r="P77" s="291">
        <v>21</v>
      </c>
      <c r="Q77" s="307">
        <v>0</v>
      </c>
      <c r="R77" s="310">
        <f t="shared" si="17"/>
        <v>0</v>
      </c>
      <c r="S77" s="292">
        <f t="shared" si="18"/>
        <v>0</v>
      </c>
      <c r="T77" s="311"/>
      <c r="U77" s="292">
        <f t="shared" ref="U77:U140" si="23">T77*$H$7*0.5</f>
        <v>0</v>
      </c>
      <c r="V77" s="296"/>
      <c r="W77" s="292">
        <f t="shared" si="15"/>
        <v>0</v>
      </c>
      <c r="X77" s="292">
        <v>0</v>
      </c>
      <c r="Y77" s="312">
        <f t="shared" si="19"/>
        <v>0</v>
      </c>
      <c r="Z77" s="298" t="str">
        <f t="shared" si="20"/>
        <v>67</v>
      </c>
      <c r="AA77" s="313" t="s">
        <v>811</v>
      </c>
      <c r="AB77" s="161"/>
      <c r="AC77" s="161"/>
    </row>
    <row r="78" spans="1:29" s="114" customFormat="1" ht="29.25" customHeight="1">
      <c r="A78" s="33" t="s">
        <v>430</v>
      </c>
      <c r="B78" s="37" t="s">
        <v>945</v>
      </c>
      <c r="C78" s="38" t="s">
        <v>920</v>
      </c>
      <c r="D78" s="155" t="s">
        <v>538</v>
      </c>
      <c r="E78" s="67" t="s">
        <v>93</v>
      </c>
      <c r="F78" s="80" t="s">
        <v>1295</v>
      </c>
      <c r="G78" s="10">
        <v>4.32</v>
      </c>
      <c r="H78" s="163"/>
      <c r="I78" s="86">
        <f t="shared" si="13"/>
        <v>4.32</v>
      </c>
      <c r="J78" s="86">
        <v>0.45</v>
      </c>
      <c r="K78" s="87">
        <f t="shared" si="21"/>
        <v>4.7700000000000005</v>
      </c>
      <c r="L78" s="34">
        <f t="shared" si="14"/>
        <v>5008500.0000000009</v>
      </c>
      <c r="M78" s="191" t="s">
        <v>858</v>
      </c>
      <c r="N78" s="34">
        <f t="shared" si="22"/>
        <v>2504250.0000000005</v>
      </c>
      <c r="O78" s="34">
        <f t="shared" si="16"/>
        <v>1050000</v>
      </c>
      <c r="P78" s="10">
        <v>26</v>
      </c>
      <c r="Q78" s="67">
        <v>26</v>
      </c>
      <c r="R78" s="164">
        <f t="shared" si="17"/>
        <v>2504250.0000000005</v>
      </c>
      <c r="S78" s="34">
        <f t="shared" si="18"/>
        <v>2504250.0000000005</v>
      </c>
      <c r="T78" s="108"/>
      <c r="U78" s="34">
        <f t="shared" si="23"/>
        <v>0</v>
      </c>
      <c r="V78" s="79"/>
      <c r="W78" s="34">
        <f t="shared" si="15"/>
        <v>0</v>
      </c>
      <c r="X78" s="34">
        <f t="shared" si="12"/>
        <v>50085.000000000007</v>
      </c>
      <c r="Y78" s="51">
        <f t="shared" si="19"/>
        <v>2554335.0000000005</v>
      </c>
      <c r="Z78" s="11" t="str">
        <f t="shared" si="20"/>
        <v>68</v>
      </c>
      <c r="AA78" s="118"/>
      <c r="AB78" s="161"/>
      <c r="AC78" s="161"/>
    </row>
    <row r="79" spans="1:29" s="114" customFormat="1" ht="21.75" customHeight="1">
      <c r="A79" s="33" t="s">
        <v>431</v>
      </c>
      <c r="B79" s="37" t="s">
        <v>273</v>
      </c>
      <c r="C79" s="38" t="s">
        <v>272</v>
      </c>
      <c r="D79" s="155"/>
      <c r="E79" s="67" t="s">
        <v>320</v>
      </c>
      <c r="F79" s="80" t="s">
        <v>371</v>
      </c>
      <c r="G79" s="10">
        <v>2.34</v>
      </c>
      <c r="H79" s="163"/>
      <c r="I79" s="86">
        <f t="shared" si="13"/>
        <v>2.34</v>
      </c>
      <c r="J79" s="86"/>
      <c r="K79" s="87">
        <f t="shared" si="21"/>
        <v>2.34</v>
      </c>
      <c r="L79" s="34">
        <f t="shared" si="14"/>
        <v>2457000</v>
      </c>
      <c r="M79" s="191" t="s">
        <v>858</v>
      </c>
      <c r="N79" s="34">
        <f t="shared" si="22"/>
        <v>1228500</v>
      </c>
      <c r="O79" s="34">
        <f t="shared" si="16"/>
        <v>1050000</v>
      </c>
      <c r="P79" s="10">
        <v>26</v>
      </c>
      <c r="Q79" s="67">
        <v>26</v>
      </c>
      <c r="R79" s="164">
        <f t="shared" si="17"/>
        <v>1228500</v>
      </c>
      <c r="S79" s="34">
        <f t="shared" si="18"/>
        <v>1228500</v>
      </c>
      <c r="T79" s="108"/>
      <c r="U79" s="34">
        <f t="shared" si="23"/>
        <v>0</v>
      </c>
      <c r="V79" s="79"/>
      <c r="W79" s="34">
        <f t="shared" si="15"/>
        <v>0</v>
      </c>
      <c r="X79" s="34">
        <f t="shared" si="12"/>
        <v>24570</v>
      </c>
      <c r="Y79" s="51">
        <f t="shared" si="19"/>
        <v>1253070</v>
      </c>
      <c r="Z79" s="11" t="str">
        <f t="shared" si="20"/>
        <v>69</v>
      </c>
      <c r="AA79" s="132"/>
      <c r="AB79" s="161"/>
      <c r="AC79" s="161"/>
    </row>
    <row r="80" spans="1:29" s="114" customFormat="1" ht="21.75" customHeight="1">
      <c r="A80" s="33" t="s">
        <v>432</v>
      </c>
      <c r="B80" s="37" t="s">
        <v>274</v>
      </c>
      <c r="C80" s="38" t="s">
        <v>912</v>
      </c>
      <c r="D80" s="155"/>
      <c r="E80" s="67" t="s">
        <v>321</v>
      </c>
      <c r="F80" s="80" t="s">
        <v>372</v>
      </c>
      <c r="G80" s="10">
        <v>2.34</v>
      </c>
      <c r="H80" s="163"/>
      <c r="I80" s="86">
        <f t="shared" si="13"/>
        <v>2.34</v>
      </c>
      <c r="J80" s="86">
        <v>0.35</v>
      </c>
      <c r="K80" s="87">
        <f t="shared" si="21"/>
        <v>2.69</v>
      </c>
      <c r="L80" s="34">
        <f t="shared" si="14"/>
        <v>2824500</v>
      </c>
      <c r="M80" s="191" t="s">
        <v>858</v>
      </c>
      <c r="N80" s="34">
        <f t="shared" si="22"/>
        <v>1412250</v>
      </c>
      <c r="O80" s="34">
        <f t="shared" si="16"/>
        <v>1050000</v>
      </c>
      <c r="P80" s="10">
        <v>26</v>
      </c>
      <c r="Q80" s="67">
        <v>26</v>
      </c>
      <c r="R80" s="164">
        <f t="shared" si="17"/>
        <v>1412250</v>
      </c>
      <c r="S80" s="34">
        <f t="shared" si="18"/>
        <v>1412250</v>
      </c>
      <c r="T80" s="108"/>
      <c r="U80" s="34">
        <f t="shared" si="23"/>
        <v>0</v>
      </c>
      <c r="V80" s="79"/>
      <c r="W80" s="34">
        <f t="shared" si="15"/>
        <v>0</v>
      </c>
      <c r="X80" s="34">
        <f t="shared" si="12"/>
        <v>28245</v>
      </c>
      <c r="Y80" s="51">
        <f t="shared" si="19"/>
        <v>1440495</v>
      </c>
      <c r="Z80" s="11" t="str">
        <f t="shared" si="20"/>
        <v>70</v>
      </c>
      <c r="AA80" s="132"/>
      <c r="AB80" s="161"/>
      <c r="AC80" s="161"/>
    </row>
    <row r="81" spans="1:29" s="114" customFormat="1" ht="21.75" customHeight="1">
      <c r="A81" s="33" t="s">
        <v>433</v>
      </c>
      <c r="B81" s="37" t="s">
        <v>938</v>
      </c>
      <c r="C81" s="38" t="s">
        <v>733</v>
      </c>
      <c r="D81" s="155"/>
      <c r="E81" s="67" t="s">
        <v>734</v>
      </c>
      <c r="F81" s="199" t="s">
        <v>735</v>
      </c>
      <c r="G81" s="10">
        <f>2.34*85%</f>
        <v>1.9889999999999999</v>
      </c>
      <c r="H81" s="163"/>
      <c r="I81" s="86">
        <f t="shared" si="13"/>
        <v>1.9889999999999999</v>
      </c>
      <c r="J81" s="86"/>
      <c r="K81" s="87">
        <f t="shared" si="21"/>
        <v>1.9889999999999999</v>
      </c>
      <c r="L81" s="34">
        <f t="shared" si="14"/>
        <v>2088449.9999999998</v>
      </c>
      <c r="M81" s="191" t="s">
        <v>858</v>
      </c>
      <c r="N81" s="34">
        <f t="shared" si="22"/>
        <v>1044224.9999999999</v>
      </c>
      <c r="O81" s="34">
        <f t="shared" si="16"/>
        <v>1050000</v>
      </c>
      <c r="P81" s="10">
        <v>26</v>
      </c>
      <c r="Q81" s="252">
        <v>26</v>
      </c>
      <c r="R81" s="164">
        <f t="shared" si="17"/>
        <v>1050000</v>
      </c>
      <c r="S81" s="34">
        <f t="shared" si="18"/>
        <v>1050000</v>
      </c>
      <c r="T81" s="108"/>
      <c r="U81" s="34">
        <f t="shared" si="23"/>
        <v>0</v>
      </c>
      <c r="V81" s="79"/>
      <c r="W81" s="34">
        <f t="shared" si="15"/>
        <v>0</v>
      </c>
      <c r="X81" s="34">
        <f t="shared" si="12"/>
        <v>20884.499999999996</v>
      </c>
      <c r="Y81" s="51">
        <f t="shared" si="19"/>
        <v>1070884.5</v>
      </c>
      <c r="Z81" s="11" t="str">
        <f t="shared" si="20"/>
        <v>71</v>
      </c>
      <c r="AA81" s="118"/>
      <c r="AB81" s="161"/>
      <c r="AC81" s="161"/>
    </row>
    <row r="82" spans="1:29" s="114" customFormat="1" ht="21.75" customHeight="1">
      <c r="A82" s="33" t="s">
        <v>558</v>
      </c>
      <c r="B82" s="37" t="s">
        <v>1014</v>
      </c>
      <c r="C82" s="38" t="s">
        <v>736</v>
      </c>
      <c r="D82" s="155"/>
      <c r="E82" s="67" t="s">
        <v>739</v>
      </c>
      <c r="F82" s="200">
        <v>1603205353742</v>
      </c>
      <c r="G82" s="10">
        <f>2.34*85%</f>
        <v>1.9889999999999999</v>
      </c>
      <c r="H82" s="163"/>
      <c r="I82" s="86">
        <f t="shared" si="13"/>
        <v>1.9889999999999999</v>
      </c>
      <c r="J82" s="86"/>
      <c r="K82" s="87">
        <f t="shared" si="21"/>
        <v>1.9889999999999999</v>
      </c>
      <c r="L82" s="34">
        <f t="shared" si="14"/>
        <v>2088449.9999999998</v>
      </c>
      <c r="M82" s="191" t="s">
        <v>858</v>
      </c>
      <c r="N82" s="34">
        <f t="shared" si="22"/>
        <v>1044224.9999999999</v>
      </c>
      <c r="O82" s="34">
        <f t="shared" si="16"/>
        <v>1050000</v>
      </c>
      <c r="P82" s="10">
        <v>26</v>
      </c>
      <c r="Q82" s="252">
        <v>26</v>
      </c>
      <c r="R82" s="164">
        <f>IF(N82&gt;O82,N82,O82)</f>
        <v>1050000</v>
      </c>
      <c r="S82" s="34">
        <f t="shared" si="18"/>
        <v>1050000</v>
      </c>
      <c r="T82" s="108"/>
      <c r="U82" s="34">
        <f t="shared" si="23"/>
        <v>0</v>
      </c>
      <c r="V82" s="79"/>
      <c r="W82" s="34">
        <f t="shared" si="15"/>
        <v>0</v>
      </c>
      <c r="X82" s="34">
        <f t="shared" si="12"/>
        <v>20884.499999999996</v>
      </c>
      <c r="Y82" s="51">
        <f t="shared" si="19"/>
        <v>1070884.5</v>
      </c>
      <c r="Z82" s="11" t="str">
        <f t="shared" si="20"/>
        <v>72</v>
      </c>
      <c r="AA82" s="118"/>
      <c r="AB82" s="161"/>
      <c r="AC82" s="161"/>
    </row>
    <row r="83" spans="1:29" s="114" customFormat="1" ht="21.75" customHeight="1">
      <c r="A83" s="33" t="s">
        <v>561</v>
      </c>
      <c r="B83" s="37" t="s">
        <v>738</v>
      </c>
      <c r="C83" s="38" t="s">
        <v>737</v>
      </c>
      <c r="D83" s="155"/>
      <c r="E83" s="67" t="s">
        <v>740</v>
      </c>
      <c r="F83" s="200">
        <v>1603205357136</v>
      </c>
      <c r="G83" s="10">
        <f>2.34*85%</f>
        <v>1.9889999999999999</v>
      </c>
      <c r="H83" s="163"/>
      <c r="I83" s="86">
        <f t="shared" si="13"/>
        <v>1.9889999999999999</v>
      </c>
      <c r="J83" s="86"/>
      <c r="K83" s="87">
        <f t="shared" si="21"/>
        <v>1.9889999999999999</v>
      </c>
      <c r="L83" s="34">
        <f t="shared" si="14"/>
        <v>2088449.9999999998</v>
      </c>
      <c r="M83" s="191" t="s">
        <v>858</v>
      </c>
      <c r="N83" s="34">
        <f t="shared" si="22"/>
        <v>1044224.9999999999</v>
      </c>
      <c r="O83" s="34">
        <f t="shared" si="16"/>
        <v>1050000</v>
      </c>
      <c r="P83" s="10">
        <v>26</v>
      </c>
      <c r="Q83" s="10">
        <v>26</v>
      </c>
      <c r="R83" s="164">
        <f>IF(N83&gt;O83,N83,O83)</f>
        <v>1050000</v>
      </c>
      <c r="S83" s="34">
        <f t="shared" si="18"/>
        <v>1050000</v>
      </c>
      <c r="T83" s="108"/>
      <c r="U83" s="34">
        <f t="shared" si="23"/>
        <v>0</v>
      </c>
      <c r="V83" s="79"/>
      <c r="W83" s="34">
        <f t="shared" si="15"/>
        <v>0</v>
      </c>
      <c r="X83" s="34">
        <f t="shared" si="12"/>
        <v>20884.499999999996</v>
      </c>
      <c r="Y83" s="51">
        <f t="shared" si="19"/>
        <v>1070884.5</v>
      </c>
      <c r="Z83" s="11" t="str">
        <f t="shared" si="20"/>
        <v>73</v>
      </c>
      <c r="AA83" s="132"/>
      <c r="AB83" s="161"/>
      <c r="AC83" s="161"/>
    </row>
    <row r="84" spans="1:29" s="114" customFormat="1" ht="22.5" customHeight="1">
      <c r="A84" s="33" t="s">
        <v>562</v>
      </c>
      <c r="B84" s="37" t="s">
        <v>1034</v>
      </c>
      <c r="C84" s="155" t="s">
        <v>1035</v>
      </c>
      <c r="D84" s="38"/>
      <c r="E84" s="67" t="s">
        <v>165</v>
      </c>
      <c r="F84" s="90" t="s">
        <v>1365</v>
      </c>
      <c r="G84" s="10">
        <v>4.58</v>
      </c>
      <c r="H84" s="163"/>
      <c r="I84" s="86">
        <f t="shared" si="13"/>
        <v>4.58</v>
      </c>
      <c r="J84" s="86">
        <v>0.45</v>
      </c>
      <c r="K84" s="87">
        <f t="shared" si="21"/>
        <v>5.03</v>
      </c>
      <c r="L84" s="34">
        <f t="shared" si="14"/>
        <v>5281500</v>
      </c>
      <c r="M84" s="191" t="s">
        <v>858</v>
      </c>
      <c r="N84" s="34">
        <f t="shared" si="22"/>
        <v>2640750</v>
      </c>
      <c r="O84" s="34">
        <f t="shared" si="16"/>
        <v>1050000</v>
      </c>
      <c r="P84" s="10">
        <v>21</v>
      </c>
      <c r="Q84" s="67">
        <v>25</v>
      </c>
      <c r="R84" s="164">
        <f t="shared" si="17"/>
        <v>2640750</v>
      </c>
      <c r="S84" s="34">
        <f t="shared" si="18"/>
        <v>2640750</v>
      </c>
      <c r="T84" s="141"/>
      <c r="U84" s="34">
        <f t="shared" si="23"/>
        <v>0</v>
      </c>
      <c r="V84" s="79"/>
      <c r="W84" s="34">
        <f t="shared" si="15"/>
        <v>0</v>
      </c>
      <c r="X84" s="34">
        <f t="shared" si="12"/>
        <v>52815.000000000007</v>
      </c>
      <c r="Y84" s="51">
        <f t="shared" si="19"/>
        <v>2693565</v>
      </c>
      <c r="Z84" s="11" t="str">
        <f t="shared" si="20"/>
        <v>74</v>
      </c>
      <c r="AA84" s="132"/>
      <c r="AB84" s="161"/>
      <c r="AC84" s="161"/>
    </row>
    <row r="85" spans="1:29" s="114" customFormat="1" ht="22.5" customHeight="1">
      <c r="A85" s="33" t="s">
        <v>563</v>
      </c>
      <c r="B85" s="37" t="s">
        <v>890</v>
      </c>
      <c r="C85" s="155" t="s">
        <v>1028</v>
      </c>
      <c r="D85" s="155"/>
      <c r="E85" s="67" t="s">
        <v>193</v>
      </c>
      <c r="F85" s="80" t="s">
        <v>1393</v>
      </c>
      <c r="G85" s="10">
        <v>3.99</v>
      </c>
      <c r="H85" s="163"/>
      <c r="I85" s="86">
        <f t="shared" si="13"/>
        <v>3.99</v>
      </c>
      <c r="J85" s="86">
        <v>0</v>
      </c>
      <c r="K85" s="87">
        <f t="shared" si="21"/>
        <v>3.99</v>
      </c>
      <c r="L85" s="34">
        <f t="shared" si="14"/>
        <v>4189500</v>
      </c>
      <c r="M85" s="191" t="s">
        <v>858</v>
      </c>
      <c r="N85" s="34">
        <f t="shared" si="22"/>
        <v>2094750</v>
      </c>
      <c r="O85" s="34">
        <f t="shared" si="16"/>
        <v>1050000</v>
      </c>
      <c r="P85" s="10">
        <v>21</v>
      </c>
      <c r="Q85" s="67">
        <v>25</v>
      </c>
      <c r="R85" s="164">
        <f t="shared" si="17"/>
        <v>2094750</v>
      </c>
      <c r="S85" s="34">
        <f t="shared" si="18"/>
        <v>2094750</v>
      </c>
      <c r="T85" s="108"/>
      <c r="U85" s="34">
        <f t="shared" si="23"/>
        <v>0</v>
      </c>
      <c r="V85" s="79"/>
      <c r="W85" s="34">
        <f t="shared" si="15"/>
        <v>0</v>
      </c>
      <c r="X85" s="34">
        <f t="shared" si="12"/>
        <v>41895.000000000007</v>
      </c>
      <c r="Y85" s="51">
        <f t="shared" si="19"/>
        <v>2136645</v>
      </c>
      <c r="Z85" s="11" t="str">
        <f t="shared" si="20"/>
        <v>75</v>
      </c>
      <c r="AA85" s="132"/>
      <c r="AB85" s="161"/>
      <c r="AC85" s="161"/>
    </row>
    <row r="86" spans="1:29" s="114" customFormat="1" ht="20.25" customHeight="1">
      <c r="A86" s="33" t="s">
        <v>564</v>
      </c>
      <c r="B86" s="37" t="s">
        <v>1170</v>
      </c>
      <c r="C86" s="155" t="s">
        <v>1171</v>
      </c>
      <c r="D86" s="155"/>
      <c r="E86" s="67" t="s">
        <v>65</v>
      </c>
      <c r="F86" s="80" t="s">
        <v>1266</v>
      </c>
      <c r="G86" s="10">
        <v>1.86</v>
      </c>
      <c r="H86" s="163"/>
      <c r="I86" s="86">
        <f t="shared" si="13"/>
        <v>1.86</v>
      </c>
      <c r="J86" s="86">
        <v>0</v>
      </c>
      <c r="K86" s="87">
        <f t="shared" si="21"/>
        <v>1.86</v>
      </c>
      <c r="L86" s="34">
        <f t="shared" si="14"/>
        <v>1953000</v>
      </c>
      <c r="M86" s="191" t="s">
        <v>858</v>
      </c>
      <c r="N86" s="34">
        <f t="shared" si="22"/>
        <v>976500</v>
      </c>
      <c r="O86" s="34">
        <f t="shared" si="16"/>
        <v>1050000</v>
      </c>
      <c r="P86" s="10">
        <v>21</v>
      </c>
      <c r="Q86" s="254">
        <v>25</v>
      </c>
      <c r="R86" s="164">
        <f t="shared" si="17"/>
        <v>1050000</v>
      </c>
      <c r="S86" s="34">
        <f t="shared" si="18"/>
        <v>1050000</v>
      </c>
      <c r="T86" s="108"/>
      <c r="U86" s="34">
        <f t="shared" si="23"/>
        <v>0</v>
      </c>
      <c r="V86" s="79"/>
      <c r="W86" s="34">
        <f t="shared" si="15"/>
        <v>0</v>
      </c>
      <c r="X86" s="34">
        <f t="shared" si="12"/>
        <v>19530.000000000004</v>
      </c>
      <c r="Y86" s="51">
        <f t="shared" si="19"/>
        <v>1069530</v>
      </c>
      <c r="Z86" s="11" t="str">
        <f t="shared" si="20"/>
        <v>76</v>
      </c>
      <c r="AA86" s="118"/>
      <c r="AB86" s="161"/>
      <c r="AC86" s="161"/>
    </row>
    <row r="87" spans="1:29" s="114" customFormat="1" ht="15.75">
      <c r="A87" s="33" t="s">
        <v>565</v>
      </c>
      <c r="B87" s="37" t="s">
        <v>948</v>
      </c>
      <c r="C87" s="38" t="s">
        <v>949</v>
      </c>
      <c r="D87" s="38" t="s">
        <v>539</v>
      </c>
      <c r="E87" s="67" t="s">
        <v>94</v>
      </c>
      <c r="F87" s="80" t="s">
        <v>1297</v>
      </c>
      <c r="G87" s="10">
        <v>6.38</v>
      </c>
      <c r="H87" s="163">
        <v>0.06</v>
      </c>
      <c r="I87" s="86">
        <f t="shared" si="13"/>
        <v>6.7627999999999995</v>
      </c>
      <c r="J87" s="86">
        <v>0.45</v>
      </c>
      <c r="K87" s="87">
        <f t="shared" si="21"/>
        <v>7.2127999999999997</v>
      </c>
      <c r="L87" s="34">
        <f t="shared" si="14"/>
        <v>7573440</v>
      </c>
      <c r="M87" s="191" t="s">
        <v>858</v>
      </c>
      <c r="N87" s="34">
        <f t="shared" si="22"/>
        <v>3786720</v>
      </c>
      <c r="O87" s="34">
        <f t="shared" si="16"/>
        <v>1050000</v>
      </c>
      <c r="P87" s="10">
        <v>26</v>
      </c>
      <c r="Q87" s="67">
        <v>26</v>
      </c>
      <c r="R87" s="164">
        <f t="shared" si="17"/>
        <v>3786720</v>
      </c>
      <c r="S87" s="34">
        <f t="shared" si="18"/>
        <v>3786720</v>
      </c>
      <c r="T87" s="108"/>
      <c r="U87" s="34">
        <f t="shared" si="23"/>
        <v>0</v>
      </c>
      <c r="V87" s="79"/>
      <c r="W87" s="34">
        <f t="shared" si="15"/>
        <v>0</v>
      </c>
      <c r="X87" s="34">
        <f t="shared" si="12"/>
        <v>75734.399999999994</v>
      </c>
      <c r="Y87" s="51">
        <f t="shared" si="19"/>
        <v>3862454.4</v>
      </c>
      <c r="Z87" s="11" t="str">
        <f t="shared" si="20"/>
        <v>77</v>
      </c>
      <c r="AA87" s="118"/>
      <c r="AB87" s="171" t="s">
        <v>812</v>
      </c>
      <c r="AC87" s="161"/>
    </row>
    <row r="88" spans="1:29" s="114" customFormat="1" ht="20.25" customHeight="1">
      <c r="A88" s="33" t="s">
        <v>566</v>
      </c>
      <c r="B88" s="37" t="s">
        <v>950</v>
      </c>
      <c r="C88" s="38" t="s">
        <v>951</v>
      </c>
      <c r="D88" s="38" t="s">
        <v>540</v>
      </c>
      <c r="E88" s="67" t="s">
        <v>95</v>
      </c>
      <c r="F88" s="80" t="s">
        <v>1298</v>
      </c>
      <c r="G88" s="10">
        <v>5.36</v>
      </c>
      <c r="H88" s="163"/>
      <c r="I88" s="86">
        <f t="shared" si="13"/>
        <v>5.36</v>
      </c>
      <c r="J88" s="86">
        <v>0.35</v>
      </c>
      <c r="K88" s="87">
        <f t="shared" si="21"/>
        <v>5.71</v>
      </c>
      <c r="L88" s="34">
        <f t="shared" si="14"/>
        <v>5995500</v>
      </c>
      <c r="M88" s="191" t="s">
        <v>858</v>
      </c>
      <c r="N88" s="34">
        <f t="shared" si="22"/>
        <v>2997750</v>
      </c>
      <c r="O88" s="34">
        <f t="shared" si="16"/>
        <v>1050000</v>
      </c>
      <c r="P88" s="10">
        <v>26</v>
      </c>
      <c r="Q88" s="67">
        <v>26</v>
      </c>
      <c r="R88" s="164">
        <f t="shared" si="17"/>
        <v>2997750</v>
      </c>
      <c r="S88" s="34">
        <f t="shared" si="18"/>
        <v>2997750</v>
      </c>
      <c r="T88" s="108"/>
      <c r="U88" s="34">
        <f t="shared" si="23"/>
        <v>0</v>
      </c>
      <c r="V88" s="79"/>
      <c r="W88" s="34">
        <f t="shared" si="15"/>
        <v>0</v>
      </c>
      <c r="X88" s="34">
        <f t="shared" si="12"/>
        <v>59955</v>
      </c>
      <c r="Y88" s="51">
        <f t="shared" si="19"/>
        <v>3057705</v>
      </c>
      <c r="Z88" s="11" t="str">
        <f t="shared" si="20"/>
        <v>78</v>
      </c>
      <c r="AA88" s="118"/>
      <c r="AB88" s="171" t="s">
        <v>813</v>
      </c>
      <c r="AC88" s="161"/>
    </row>
    <row r="89" spans="1:29" s="114" customFormat="1" ht="22.5" customHeight="1">
      <c r="A89" s="33" t="s">
        <v>567</v>
      </c>
      <c r="B89" s="37" t="s">
        <v>952</v>
      </c>
      <c r="C89" s="38" t="s">
        <v>883</v>
      </c>
      <c r="D89" s="38"/>
      <c r="E89" s="67" t="s">
        <v>96</v>
      </c>
      <c r="F89" s="90" t="s">
        <v>1299</v>
      </c>
      <c r="G89" s="10">
        <v>3</v>
      </c>
      <c r="H89" s="163"/>
      <c r="I89" s="86">
        <f t="shared" si="13"/>
        <v>3</v>
      </c>
      <c r="J89" s="86">
        <v>0</v>
      </c>
      <c r="K89" s="87">
        <f t="shared" si="21"/>
        <v>3</v>
      </c>
      <c r="L89" s="34">
        <f t="shared" si="14"/>
        <v>3150000</v>
      </c>
      <c r="M89" s="191" t="s">
        <v>858</v>
      </c>
      <c r="N89" s="34">
        <f t="shared" si="22"/>
        <v>1575000</v>
      </c>
      <c r="O89" s="34">
        <f t="shared" si="16"/>
        <v>1050000</v>
      </c>
      <c r="P89" s="10">
        <v>26</v>
      </c>
      <c r="Q89" s="67">
        <v>26</v>
      </c>
      <c r="R89" s="164">
        <f t="shared" si="17"/>
        <v>1575000</v>
      </c>
      <c r="S89" s="34">
        <f t="shared" si="18"/>
        <v>1575000</v>
      </c>
      <c r="T89" s="108"/>
      <c r="U89" s="34">
        <f t="shared" si="23"/>
        <v>0</v>
      </c>
      <c r="V89" s="79"/>
      <c r="W89" s="34">
        <f t="shared" si="15"/>
        <v>0</v>
      </c>
      <c r="X89" s="34">
        <f t="shared" si="12"/>
        <v>31500</v>
      </c>
      <c r="Y89" s="51">
        <f t="shared" si="19"/>
        <v>1606500</v>
      </c>
      <c r="Z89" s="11" t="str">
        <f t="shared" si="20"/>
        <v>79</v>
      </c>
      <c r="AA89" s="132"/>
      <c r="AB89" s="171" t="s">
        <v>814</v>
      </c>
      <c r="AC89" s="161"/>
    </row>
    <row r="90" spans="1:29" s="114" customFormat="1" ht="24.75" customHeight="1">
      <c r="A90" s="33" t="s">
        <v>568</v>
      </c>
      <c r="B90" s="37" t="s">
        <v>953</v>
      </c>
      <c r="C90" s="38" t="s">
        <v>873</v>
      </c>
      <c r="D90" s="38"/>
      <c r="E90" s="67" t="s">
        <v>97</v>
      </c>
      <c r="F90" s="80" t="s">
        <v>1300</v>
      </c>
      <c r="G90" s="10">
        <v>3.99</v>
      </c>
      <c r="H90" s="163"/>
      <c r="I90" s="86">
        <f t="shared" si="13"/>
        <v>3.99</v>
      </c>
      <c r="J90" s="86">
        <v>0.25</v>
      </c>
      <c r="K90" s="87">
        <f t="shared" si="21"/>
        <v>4.24</v>
      </c>
      <c r="L90" s="34">
        <f t="shared" si="14"/>
        <v>4452000</v>
      </c>
      <c r="M90" s="191" t="s">
        <v>858</v>
      </c>
      <c r="N90" s="34">
        <f t="shared" si="22"/>
        <v>2226000</v>
      </c>
      <c r="O90" s="34">
        <f t="shared" si="16"/>
        <v>1050000</v>
      </c>
      <c r="P90" s="10">
        <v>26</v>
      </c>
      <c r="Q90" s="67">
        <v>26</v>
      </c>
      <c r="R90" s="164">
        <f t="shared" si="17"/>
        <v>2226000</v>
      </c>
      <c r="S90" s="34">
        <f t="shared" si="18"/>
        <v>2226000</v>
      </c>
      <c r="T90" s="108"/>
      <c r="U90" s="34">
        <f t="shared" si="23"/>
        <v>0</v>
      </c>
      <c r="V90" s="79"/>
      <c r="W90" s="34">
        <f t="shared" si="15"/>
        <v>0</v>
      </c>
      <c r="X90" s="34">
        <f t="shared" si="12"/>
        <v>44520</v>
      </c>
      <c r="Y90" s="51">
        <f t="shared" si="19"/>
        <v>2270520</v>
      </c>
      <c r="Z90" s="11" t="str">
        <f t="shared" si="20"/>
        <v>80</v>
      </c>
      <c r="AA90" s="132"/>
      <c r="AB90" s="171" t="s">
        <v>815</v>
      </c>
      <c r="AC90" s="161"/>
    </row>
    <row r="91" spans="1:29" s="114" customFormat="1" ht="23.25" customHeight="1">
      <c r="A91" s="33" t="s">
        <v>569</v>
      </c>
      <c r="B91" s="37" t="s">
        <v>1220</v>
      </c>
      <c r="C91" s="38" t="s">
        <v>1203</v>
      </c>
      <c r="D91" s="38"/>
      <c r="E91" s="67" t="s">
        <v>98</v>
      </c>
      <c r="F91" s="80" t="s">
        <v>1301</v>
      </c>
      <c r="G91" s="88">
        <v>3</v>
      </c>
      <c r="H91" s="163"/>
      <c r="I91" s="167">
        <f t="shared" si="13"/>
        <v>3</v>
      </c>
      <c r="J91" s="86"/>
      <c r="K91" s="87">
        <f t="shared" si="21"/>
        <v>3</v>
      </c>
      <c r="L91" s="34">
        <f t="shared" si="14"/>
        <v>3150000</v>
      </c>
      <c r="M91" s="191" t="s">
        <v>858</v>
      </c>
      <c r="N91" s="34">
        <f t="shared" si="22"/>
        <v>1575000</v>
      </c>
      <c r="O91" s="34">
        <f t="shared" si="16"/>
        <v>1050000</v>
      </c>
      <c r="P91" s="10">
        <v>26</v>
      </c>
      <c r="Q91" s="67">
        <v>26</v>
      </c>
      <c r="R91" s="164">
        <f t="shared" si="17"/>
        <v>1575000</v>
      </c>
      <c r="S91" s="34">
        <f t="shared" si="18"/>
        <v>1575000</v>
      </c>
      <c r="T91" s="108"/>
      <c r="U91" s="34">
        <f t="shared" si="23"/>
        <v>0</v>
      </c>
      <c r="V91" s="79"/>
      <c r="W91" s="34">
        <f t="shared" si="15"/>
        <v>0</v>
      </c>
      <c r="X91" s="34">
        <f t="shared" si="12"/>
        <v>31500</v>
      </c>
      <c r="Y91" s="51">
        <f t="shared" si="19"/>
        <v>1606500</v>
      </c>
      <c r="Z91" s="11" t="str">
        <f t="shared" si="20"/>
        <v>81</v>
      </c>
      <c r="AA91" s="192"/>
      <c r="AB91" s="171" t="s">
        <v>816</v>
      </c>
      <c r="AC91" s="161"/>
    </row>
    <row r="92" spans="1:29" s="114" customFormat="1" ht="20.25" customHeight="1">
      <c r="A92" s="33" t="s">
        <v>570</v>
      </c>
      <c r="B92" s="37" t="s">
        <v>275</v>
      </c>
      <c r="C92" s="38" t="s">
        <v>1009</v>
      </c>
      <c r="D92" s="38"/>
      <c r="E92" s="67" t="s">
        <v>322</v>
      </c>
      <c r="F92" s="80" t="s">
        <v>373</v>
      </c>
      <c r="G92" s="10">
        <f>2.67</f>
        <v>2.67</v>
      </c>
      <c r="H92" s="163"/>
      <c r="I92" s="86">
        <f t="shared" si="13"/>
        <v>2.67</v>
      </c>
      <c r="J92" s="86"/>
      <c r="K92" s="87">
        <f t="shared" si="21"/>
        <v>2.67</v>
      </c>
      <c r="L92" s="34">
        <f t="shared" si="14"/>
        <v>2803500</v>
      </c>
      <c r="M92" s="191" t="s">
        <v>858</v>
      </c>
      <c r="N92" s="34">
        <f t="shared" si="22"/>
        <v>1401750</v>
      </c>
      <c r="O92" s="34">
        <f t="shared" si="16"/>
        <v>1050000</v>
      </c>
      <c r="P92" s="10">
        <v>26</v>
      </c>
      <c r="Q92" s="67">
        <v>26</v>
      </c>
      <c r="R92" s="164">
        <f t="shared" si="17"/>
        <v>1401750</v>
      </c>
      <c r="S92" s="34">
        <f t="shared" si="18"/>
        <v>1401750</v>
      </c>
      <c r="T92" s="108"/>
      <c r="U92" s="34">
        <f t="shared" si="23"/>
        <v>0</v>
      </c>
      <c r="V92" s="79"/>
      <c r="W92" s="34">
        <f t="shared" si="15"/>
        <v>0</v>
      </c>
      <c r="X92" s="34">
        <f t="shared" si="12"/>
        <v>28035</v>
      </c>
      <c r="Y92" s="51">
        <f t="shared" si="19"/>
        <v>1429785</v>
      </c>
      <c r="Z92" s="11" t="str">
        <f t="shared" si="20"/>
        <v>82</v>
      </c>
      <c r="AA92" s="132"/>
      <c r="AB92" s="171" t="s">
        <v>817</v>
      </c>
      <c r="AC92" s="161"/>
    </row>
    <row r="93" spans="1:29" s="114" customFormat="1" ht="22.5" customHeight="1">
      <c r="A93" s="33" t="s">
        <v>571</v>
      </c>
      <c r="B93" s="37" t="s">
        <v>954</v>
      </c>
      <c r="C93" s="38" t="s">
        <v>955</v>
      </c>
      <c r="D93" s="38" t="s">
        <v>541</v>
      </c>
      <c r="E93" s="67" t="s">
        <v>99</v>
      </c>
      <c r="F93" s="80" t="s">
        <v>1302</v>
      </c>
      <c r="G93" s="10">
        <v>5.42</v>
      </c>
      <c r="H93" s="163"/>
      <c r="I93" s="86">
        <f t="shared" si="13"/>
        <v>5.42</v>
      </c>
      <c r="J93" s="86">
        <v>0.25</v>
      </c>
      <c r="K93" s="87">
        <f t="shared" si="21"/>
        <v>5.67</v>
      </c>
      <c r="L93" s="34">
        <f t="shared" si="14"/>
        <v>5953500</v>
      </c>
      <c r="M93" s="191" t="s">
        <v>858</v>
      </c>
      <c r="N93" s="34">
        <f t="shared" si="22"/>
        <v>2976750</v>
      </c>
      <c r="O93" s="34">
        <f t="shared" si="16"/>
        <v>1050000</v>
      </c>
      <c r="P93" s="10">
        <v>26</v>
      </c>
      <c r="Q93" s="67">
        <v>26</v>
      </c>
      <c r="R93" s="164">
        <f t="shared" si="17"/>
        <v>2976750</v>
      </c>
      <c r="S93" s="34">
        <f t="shared" si="18"/>
        <v>2976750</v>
      </c>
      <c r="T93" s="108"/>
      <c r="U93" s="34">
        <f t="shared" si="23"/>
        <v>0</v>
      </c>
      <c r="V93" s="79"/>
      <c r="W93" s="34">
        <f t="shared" si="15"/>
        <v>0</v>
      </c>
      <c r="X93" s="34">
        <f t="shared" si="12"/>
        <v>59535</v>
      </c>
      <c r="Y93" s="51">
        <f t="shared" si="19"/>
        <v>3036285</v>
      </c>
      <c r="Z93" s="11" t="str">
        <f t="shared" si="20"/>
        <v>83</v>
      </c>
      <c r="AA93" s="118"/>
      <c r="AB93" s="171" t="s">
        <v>818</v>
      </c>
      <c r="AC93" s="161"/>
    </row>
    <row r="94" spans="1:29" s="114" customFormat="1" ht="27" customHeight="1">
      <c r="A94" s="33" t="s">
        <v>572</v>
      </c>
      <c r="B94" s="37" t="s">
        <v>862</v>
      </c>
      <c r="C94" s="38" t="s">
        <v>956</v>
      </c>
      <c r="D94" s="38"/>
      <c r="E94" s="67" t="s">
        <v>100</v>
      </c>
      <c r="F94" s="80" t="s">
        <v>1303</v>
      </c>
      <c r="G94" s="10">
        <v>3.33</v>
      </c>
      <c r="H94" s="163"/>
      <c r="I94" s="86">
        <f t="shared" si="13"/>
        <v>3.33</v>
      </c>
      <c r="J94" s="86">
        <v>0</v>
      </c>
      <c r="K94" s="87">
        <f t="shared" si="21"/>
        <v>3.33</v>
      </c>
      <c r="L94" s="34">
        <f t="shared" si="14"/>
        <v>3496500</v>
      </c>
      <c r="M94" s="191" t="s">
        <v>525</v>
      </c>
      <c r="N94" s="34">
        <f t="shared" si="22"/>
        <v>1311187.5</v>
      </c>
      <c r="O94" s="34">
        <f t="shared" si="16"/>
        <v>735000</v>
      </c>
      <c r="P94" s="10">
        <v>26</v>
      </c>
      <c r="Q94" s="67">
        <v>26</v>
      </c>
      <c r="R94" s="164">
        <f t="shared" si="17"/>
        <v>1311187.5</v>
      </c>
      <c r="S94" s="34">
        <f t="shared" si="18"/>
        <v>1311187.5</v>
      </c>
      <c r="T94" s="108"/>
      <c r="U94" s="34">
        <f t="shared" si="23"/>
        <v>0</v>
      </c>
      <c r="V94" s="79"/>
      <c r="W94" s="34">
        <f t="shared" si="15"/>
        <v>0</v>
      </c>
      <c r="X94" s="34">
        <f t="shared" si="12"/>
        <v>34965</v>
      </c>
      <c r="Y94" s="51">
        <f t="shared" si="19"/>
        <v>1346152.5</v>
      </c>
      <c r="Z94" s="11" t="str">
        <f t="shared" si="20"/>
        <v>84</v>
      </c>
      <c r="AA94" s="132" t="s">
        <v>824</v>
      </c>
      <c r="AB94" s="171" t="s">
        <v>819</v>
      </c>
      <c r="AC94" s="161"/>
    </row>
    <row r="95" spans="1:29" s="114" customFormat="1" ht="26.25" customHeight="1">
      <c r="A95" s="33" t="s">
        <v>573</v>
      </c>
      <c r="B95" s="37" t="s">
        <v>957</v>
      </c>
      <c r="C95" s="38" t="s">
        <v>958</v>
      </c>
      <c r="D95" s="38"/>
      <c r="E95" s="67" t="s">
        <v>101</v>
      </c>
      <c r="F95" s="90" t="s">
        <v>1304</v>
      </c>
      <c r="G95" s="88">
        <v>3</v>
      </c>
      <c r="H95" s="163"/>
      <c r="I95" s="167">
        <f t="shared" si="13"/>
        <v>3</v>
      </c>
      <c r="J95" s="86">
        <v>0</v>
      </c>
      <c r="K95" s="87">
        <f t="shared" si="21"/>
        <v>3</v>
      </c>
      <c r="L95" s="34">
        <f t="shared" si="14"/>
        <v>3150000</v>
      </c>
      <c r="M95" s="191" t="s">
        <v>858</v>
      </c>
      <c r="N95" s="34">
        <f t="shared" si="22"/>
        <v>1575000</v>
      </c>
      <c r="O95" s="34">
        <f t="shared" si="16"/>
        <v>1050000</v>
      </c>
      <c r="P95" s="10">
        <v>26</v>
      </c>
      <c r="Q95" s="67">
        <v>26</v>
      </c>
      <c r="R95" s="164">
        <f t="shared" si="17"/>
        <v>1575000</v>
      </c>
      <c r="S95" s="34">
        <f t="shared" si="18"/>
        <v>1575000</v>
      </c>
      <c r="T95" s="108"/>
      <c r="U95" s="34">
        <f t="shared" si="23"/>
        <v>0</v>
      </c>
      <c r="V95" s="79"/>
      <c r="W95" s="34">
        <f t="shared" si="15"/>
        <v>0</v>
      </c>
      <c r="X95" s="34">
        <f t="shared" si="12"/>
        <v>31500</v>
      </c>
      <c r="Y95" s="51">
        <f t="shared" si="19"/>
        <v>1606500</v>
      </c>
      <c r="Z95" s="11" t="str">
        <f t="shared" si="20"/>
        <v>85</v>
      </c>
      <c r="AA95" s="193"/>
      <c r="AB95" s="171" t="s">
        <v>820</v>
      </c>
      <c r="AC95" s="161"/>
    </row>
    <row r="96" spans="1:29" s="114" customFormat="1" ht="20.25" customHeight="1">
      <c r="A96" s="33" t="s">
        <v>574</v>
      </c>
      <c r="B96" s="37" t="s">
        <v>959</v>
      </c>
      <c r="C96" s="38" t="s">
        <v>960</v>
      </c>
      <c r="D96" s="38"/>
      <c r="E96" s="67" t="s">
        <v>102</v>
      </c>
      <c r="F96" s="80" t="s">
        <v>1305</v>
      </c>
      <c r="G96" s="88">
        <v>4.74</v>
      </c>
      <c r="H96" s="163"/>
      <c r="I96" s="167">
        <f t="shared" si="13"/>
        <v>4.74</v>
      </c>
      <c r="J96" s="86">
        <v>0</v>
      </c>
      <c r="K96" s="87">
        <f t="shared" si="21"/>
        <v>4.74</v>
      </c>
      <c r="L96" s="34">
        <f t="shared" si="14"/>
        <v>4977000</v>
      </c>
      <c r="M96" s="191" t="s">
        <v>858</v>
      </c>
      <c r="N96" s="34">
        <f t="shared" si="22"/>
        <v>2488500</v>
      </c>
      <c r="O96" s="34">
        <f t="shared" si="16"/>
        <v>1050000</v>
      </c>
      <c r="P96" s="10">
        <v>26</v>
      </c>
      <c r="Q96" s="67">
        <v>26</v>
      </c>
      <c r="R96" s="164">
        <f t="shared" si="17"/>
        <v>2488500</v>
      </c>
      <c r="S96" s="34">
        <f t="shared" si="18"/>
        <v>2488500</v>
      </c>
      <c r="T96" s="108"/>
      <c r="U96" s="34">
        <f t="shared" si="23"/>
        <v>0</v>
      </c>
      <c r="V96" s="79"/>
      <c r="W96" s="34">
        <f t="shared" si="15"/>
        <v>0</v>
      </c>
      <c r="X96" s="34">
        <f t="shared" si="12"/>
        <v>49770.000000000007</v>
      </c>
      <c r="Y96" s="51">
        <f t="shared" si="19"/>
        <v>2538270</v>
      </c>
      <c r="Z96" s="11" t="str">
        <f t="shared" si="20"/>
        <v>86</v>
      </c>
      <c r="AA96" s="132"/>
      <c r="AB96" s="171" t="s">
        <v>1119</v>
      </c>
      <c r="AC96" s="161"/>
    </row>
    <row r="97" spans="1:29" s="114" customFormat="1" ht="26.25" customHeight="1">
      <c r="A97" s="33" t="s">
        <v>575</v>
      </c>
      <c r="B97" s="37" t="s">
        <v>933</v>
      </c>
      <c r="C97" s="38" t="s">
        <v>967</v>
      </c>
      <c r="D97" s="38"/>
      <c r="E97" s="67" t="s">
        <v>103</v>
      </c>
      <c r="F97" s="80" t="s">
        <v>1306</v>
      </c>
      <c r="G97" s="10">
        <v>3.99</v>
      </c>
      <c r="H97" s="163"/>
      <c r="I97" s="86">
        <f t="shared" si="13"/>
        <v>3.99</v>
      </c>
      <c r="J97" s="86">
        <v>0</v>
      </c>
      <c r="K97" s="87">
        <f t="shared" si="21"/>
        <v>3.99</v>
      </c>
      <c r="L97" s="34">
        <f t="shared" si="14"/>
        <v>4189500</v>
      </c>
      <c r="M97" s="191" t="s">
        <v>858</v>
      </c>
      <c r="N97" s="34">
        <f t="shared" si="22"/>
        <v>2094750</v>
      </c>
      <c r="O97" s="34">
        <f t="shared" si="16"/>
        <v>1050000</v>
      </c>
      <c r="P97" s="10">
        <v>26</v>
      </c>
      <c r="Q97" s="67">
        <v>26</v>
      </c>
      <c r="R97" s="164">
        <f t="shared" si="17"/>
        <v>2094750</v>
      </c>
      <c r="S97" s="34">
        <f t="shared" si="18"/>
        <v>2094750</v>
      </c>
      <c r="T97" s="108"/>
      <c r="U97" s="34">
        <f t="shared" si="23"/>
        <v>0</v>
      </c>
      <c r="V97" s="79"/>
      <c r="W97" s="34">
        <f t="shared" si="15"/>
        <v>0</v>
      </c>
      <c r="X97" s="34">
        <f t="shared" si="12"/>
        <v>41895.000000000007</v>
      </c>
      <c r="Y97" s="51">
        <f t="shared" si="19"/>
        <v>2136645</v>
      </c>
      <c r="Z97" s="11" t="str">
        <f t="shared" si="20"/>
        <v>87</v>
      </c>
      <c r="AA97" s="118"/>
      <c r="AB97" s="171" t="s">
        <v>1120</v>
      </c>
      <c r="AC97" s="161"/>
    </row>
    <row r="98" spans="1:29" s="114" customFormat="1" ht="21" customHeight="1">
      <c r="A98" s="33" t="s">
        <v>576</v>
      </c>
      <c r="B98" s="37" t="s">
        <v>1221</v>
      </c>
      <c r="C98" s="38" t="s">
        <v>896</v>
      </c>
      <c r="D98" s="38"/>
      <c r="E98" s="67" t="s">
        <v>104</v>
      </c>
      <c r="F98" s="80" t="s">
        <v>1307</v>
      </c>
      <c r="G98" s="10">
        <v>2.67</v>
      </c>
      <c r="H98" s="163"/>
      <c r="I98" s="86">
        <f t="shared" si="13"/>
        <v>2.67</v>
      </c>
      <c r="J98" s="86"/>
      <c r="K98" s="87">
        <f t="shared" si="21"/>
        <v>2.67</v>
      </c>
      <c r="L98" s="34">
        <f t="shared" si="14"/>
        <v>2803500</v>
      </c>
      <c r="M98" s="191" t="s">
        <v>858</v>
      </c>
      <c r="N98" s="34">
        <f t="shared" si="22"/>
        <v>1401750</v>
      </c>
      <c r="O98" s="34">
        <f t="shared" si="16"/>
        <v>1050000</v>
      </c>
      <c r="P98" s="10">
        <v>26</v>
      </c>
      <c r="Q98" s="67">
        <v>26</v>
      </c>
      <c r="R98" s="164">
        <f t="shared" si="17"/>
        <v>1401750</v>
      </c>
      <c r="S98" s="34">
        <f t="shared" si="18"/>
        <v>1401750</v>
      </c>
      <c r="T98" s="108"/>
      <c r="U98" s="34">
        <f t="shared" si="23"/>
        <v>0</v>
      </c>
      <c r="V98" s="79"/>
      <c r="W98" s="34">
        <f t="shared" si="15"/>
        <v>0</v>
      </c>
      <c r="X98" s="34">
        <f t="shared" si="12"/>
        <v>28035</v>
      </c>
      <c r="Y98" s="51">
        <f t="shared" si="19"/>
        <v>1429785</v>
      </c>
      <c r="Z98" s="11" t="str">
        <f t="shared" si="20"/>
        <v>88</v>
      </c>
      <c r="AA98" s="132"/>
      <c r="AB98" s="171" t="s">
        <v>1121</v>
      </c>
      <c r="AC98" s="161"/>
    </row>
    <row r="99" spans="1:29" s="114" customFormat="1" ht="25.5" customHeight="1">
      <c r="A99" s="33" t="s">
        <v>577</v>
      </c>
      <c r="B99" s="37" t="s">
        <v>961</v>
      </c>
      <c r="C99" s="38" t="s">
        <v>962</v>
      </c>
      <c r="D99" s="38" t="s">
        <v>542</v>
      </c>
      <c r="E99" s="67" t="s">
        <v>105</v>
      </c>
      <c r="F99" s="80" t="s">
        <v>1308</v>
      </c>
      <c r="G99" s="10">
        <v>4.9800000000000004</v>
      </c>
      <c r="H99" s="229">
        <v>0.11</v>
      </c>
      <c r="I99" s="86">
        <f t="shared" si="13"/>
        <v>5.5278000000000009</v>
      </c>
      <c r="J99" s="86">
        <v>0.35</v>
      </c>
      <c r="K99" s="87">
        <f t="shared" si="21"/>
        <v>5.8778000000000006</v>
      </c>
      <c r="L99" s="34">
        <f t="shared" si="14"/>
        <v>6171690.0000000009</v>
      </c>
      <c r="M99" s="191" t="s">
        <v>858</v>
      </c>
      <c r="N99" s="34">
        <f t="shared" si="22"/>
        <v>3085845.0000000005</v>
      </c>
      <c r="O99" s="34">
        <f t="shared" si="16"/>
        <v>1050000</v>
      </c>
      <c r="P99" s="10">
        <v>26</v>
      </c>
      <c r="Q99" s="67">
        <v>26</v>
      </c>
      <c r="R99" s="164">
        <f t="shared" si="17"/>
        <v>3085845.0000000005</v>
      </c>
      <c r="S99" s="34">
        <f t="shared" si="18"/>
        <v>3085845.0000000005</v>
      </c>
      <c r="T99" s="108"/>
      <c r="U99" s="34">
        <f t="shared" si="23"/>
        <v>0</v>
      </c>
      <c r="V99" s="79"/>
      <c r="W99" s="34">
        <f t="shared" si="15"/>
        <v>0</v>
      </c>
      <c r="X99" s="34">
        <f t="shared" si="12"/>
        <v>61716.9</v>
      </c>
      <c r="Y99" s="51">
        <f t="shared" si="19"/>
        <v>3147561.9000000004</v>
      </c>
      <c r="Z99" s="11" t="str">
        <f t="shared" si="20"/>
        <v>89</v>
      </c>
      <c r="AA99" s="118"/>
      <c r="AB99" s="171" t="s">
        <v>1122</v>
      </c>
      <c r="AC99" s="161"/>
    </row>
    <row r="100" spans="1:29" s="114" customFormat="1" ht="28.5" customHeight="1">
      <c r="A100" s="33" t="s">
        <v>578</v>
      </c>
      <c r="B100" s="37" t="s">
        <v>963</v>
      </c>
      <c r="C100" s="38" t="s">
        <v>873</v>
      </c>
      <c r="D100" s="38"/>
      <c r="E100" s="67" t="s">
        <v>106</v>
      </c>
      <c r="F100" s="80" t="s">
        <v>1309</v>
      </c>
      <c r="G100" s="10">
        <v>3.33</v>
      </c>
      <c r="H100" s="163"/>
      <c r="I100" s="86">
        <f t="shared" si="13"/>
        <v>3.33</v>
      </c>
      <c r="J100" s="86">
        <v>0.25</v>
      </c>
      <c r="K100" s="87">
        <f t="shared" si="21"/>
        <v>3.58</v>
      </c>
      <c r="L100" s="34">
        <f t="shared" si="14"/>
        <v>3759000</v>
      </c>
      <c r="M100" s="191" t="s">
        <v>858</v>
      </c>
      <c r="N100" s="34">
        <f t="shared" si="22"/>
        <v>1879500</v>
      </c>
      <c r="O100" s="34">
        <f t="shared" si="16"/>
        <v>1050000</v>
      </c>
      <c r="P100" s="10">
        <v>26</v>
      </c>
      <c r="Q100" s="67">
        <v>26</v>
      </c>
      <c r="R100" s="164">
        <f t="shared" si="17"/>
        <v>1879500</v>
      </c>
      <c r="S100" s="34">
        <f t="shared" si="18"/>
        <v>1879500</v>
      </c>
      <c r="T100" s="108"/>
      <c r="U100" s="34">
        <f t="shared" si="23"/>
        <v>0</v>
      </c>
      <c r="V100" s="79"/>
      <c r="W100" s="34">
        <f t="shared" si="15"/>
        <v>0</v>
      </c>
      <c r="X100" s="34">
        <f t="shared" si="12"/>
        <v>37590</v>
      </c>
      <c r="Y100" s="51">
        <f t="shared" si="19"/>
        <v>1917090</v>
      </c>
      <c r="Z100" s="11" t="str">
        <f t="shared" si="20"/>
        <v>90</v>
      </c>
      <c r="AA100" s="132"/>
      <c r="AB100" s="171" t="s">
        <v>1123</v>
      </c>
      <c r="AC100" s="161"/>
    </row>
    <row r="101" spans="1:29" s="114" customFormat="1" ht="20.25" customHeight="1">
      <c r="A101" s="33" t="s">
        <v>579</v>
      </c>
      <c r="B101" s="37" t="s">
        <v>964</v>
      </c>
      <c r="C101" s="38" t="s">
        <v>873</v>
      </c>
      <c r="D101" s="38"/>
      <c r="E101" s="67" t="s">
        <v>107</v>
      </c>
      <c r="F101" s="80" t="s">
        <v>1310</v>
      </c>
      <c r="G101" s="10">
        <v>3.99</v>
      </c>
      <c r="H101" s="163"/>
      <c r="I101" s="86">
        <f t="shared" si="13"/>
        <v>3.99</v>
      </c>
      <c r="J101" s="86">
        <v>0</v>
      </c>
      <c r="K101" s="87">
        <f t="shared" si="21"/>
        <v>3.99</v>
      </c>
      <c r="L101" s="34">
        <f t="shared" si="14"/>
        <v>4189500</v>
      </c>
      <c r="M101" s="191" t="s">
        <v>858</v>
      </c>
      <c r="N101" s="34">
        <f t="shared" si="22"/>
        <v>2094750</v>
      </c>
      <c r="O101" s="34">
        <f t="shared" si="16"/>
        <v>1050000</v>
      </c>
      <c r="P101" s="10">
        <v>26</v>
      </c>
      <c r="Q101" s="67">
        <v>26</v>
      </c>
      <c r="R101" s="164">
        <f t="shared" si="17"/>
        <v>2094750</v>
      </c>
      <c r="S101" s="34">
        <f t="shared" si="18"/>
        <v>2094750</v>
      </c>
      <c r="T101" s="108"/>
      <c r="U101" s="34">
        <f t="shared" si="23"/>
        <v>0</v>
      </c>
      <c r="V101" s="79"/>
      <c r="W101" s="34">
        <f t="shared" si="15"/>
        <v>0</v>
      </c>
      <c r="X101" s="34">
        <f t="shared" si="12"/>
        <v>41895.000000000007</v>
      </c>
      <c r="Y101" s="51">
        <f t="shared" si="19"/>
        <v>2136645</v>
      </c>
      <c r="Z101" s="11" t="str">
        <f t="shared" si="20"/>
        <v>91</v>
      </c>
      <c r="AA101" s="132"/>
      <c r="AB101" s="171" t="s">
        <v>1124</v>
      </c>
      <c r="AC101" s="161"/>
    </row>
    <row r="102" spans="1:29" s="114" customFormat="1" ht="21" customHeight="1">
      <c r="A102" s="33" t="s">
        <v>580</v>
      </c>
      <c r="B102" s="37" t="s">
        <v>965</v>
      </c>
      <c r="C102" s="38" t="s">
        <v>966</v>
      </c>
      <c r="D102" s="38"/>
      <c r="E102" s="67" t="s">
        <v>108</v>
      </c>
      <c r="F102" s="80" t="s">
        <v>1311</v>
      </c>
      <c r="G102" s="10">
        <v>3.99</v>
      </c>
      <c r="H102" s="163"/>
      <c r="I102" s="86">
        <f t="shared" si="13"/>
        <v>3.99</v>
      </c>
      <c r="J102" s="86">
        <v>0</v>
      </c>
      <c r="K102" s="87">
        <f t="shared" si="21"/>
        <v>3.99</v>
      </c>
      <c r="L102" s="34">
        <f t="shared" si="14"/>
        <v>4189500</v>
      </c>
      <c r="M102" s="191" t="s">
        <v>858</v>
      </c>
      <c r="N102" s="34">
        <f t="shared" si="22"/>
        <v>2094750</v>
      </c>
      <c r="O102" s="34">
        <f t="shared" si="16"/>
        <v>1050000</v>
      </c>
      <c r="P102" s="10">
        <v>26</v>
      </c>
      <c r="Q102" s="67">
        <v>26</v>
      </c>
      <c r="R102" s="164">
        <f t="shared" si="17"/>
        <v>2094750</v>
      </c>
      <c r="S102" s="34">
        <f t="shared" si="18"/>
        <v>2094750</v>
      </c>
      <c r="T102" s="108"/>
      <c r="U102" s="34">
        <f t="shared" si="23"/>
        <v>0</v>
      </c>
      <c r="V102" s="79"/>
      <c r="W102" s="34">
        <f t="shared" si="15"/>
        <v>0</v>
      </c>
      <c r="X102" s="34">
        <f t="shared" si="12"/>
        <v>41895.000000000007</v>
      </c>
      <c r="Y102" s="51">
        <f t="shared" si="19"/>
        <v>2136645</v>
      </c>
      <c r="Z102" s="11" t="str">
        <f t="shared" si="20"/>
        <v>92</v>
      </c>
      <c r="AA102" s="132"/>
      <c r="AB102" s="171" t="s">
        <v>1125</v>
      </c>
      <c r="AC102" s="161"/>
    </row>
    <row r="103" spans="1:29" s="114" customFormat="1" ht="19.5" customHeight="1">
      <c r="A103" s="33" t="s">
        <v>581</v>
      </c>
      <c r="B103" s="37" t="s">
        <v>1222</v>
      </c>
      <c r="C103" s="38" t="s">
        <v>917</v>
      </c>
      <c r="D103" s="38"/>
      <c r="E103" s="67" t="s">
        <v>109</v>
      </c>
      <c r="F103" s="80" t="s">
        <v>1312</v>
      </c>
      <c r="G103" s="10">
        <v>2.67</v>
      </c>
      <c r="H103" s="163"/>
      <c r="I103" s="86">
        <f t="shared" si="13"/>
        <v>2.67</v>
      </c>
      <c r="J103" s="86"/>
      <c r="K103" s="87">
        <f t="shared" si="21"/>
        <v>2.67</v>
      </c>
      <c r="L103" s="34">
        <f t="shared" si="14"/>
        <v>2803500</v>
      </c>
      <c r="M103" s="191" t="s">
        <v>858</v>
      </c>
      <c r="N103" s="34">
        <f t="shared" si="22"/>
        <v>1401750</v>
      </c>
      <c r="O103" s="34">
        <f t="shared" si="16"/>
        <v>1050000</v>
      </c>
      <c r="P103" s="10">
        <v>26</v>
      </c>
      <c r="Q103" s="67">
        <v>26</v>
      </c>
      <c r="R103" s="164">
        <f t="shared" si="17"/>
        <v>1401750</v>
      </c>
      <c r="S103" s="34">
        <f t="shared" si="18"/>
        <v>1401750</v>
      </c>
      <c r="T103" s="108"/>
      <c r="U103" s="34">
        <f t="shared" si="23"/>
        <v>0</v>
      </c>
      <c r="V103" s="79"/>
      <c r="W103" s="34">
        <f t="shared" si="15"/>
        <v>0</v>
      </c>
      <c r="X103" s="34">
        <f t="shared" si="12"/>
        <v>28035</v>
      </c>
      <c r="Y103" s="51">
        <f t="shared" si="19"/>
        <v>1429785</v>
      </c>
      <c r="Z103" s="11" t="str">
        <f t="shared" si="20"/>
        <v>93</v>
      </c>
      <c r="AA103" s="132"/>
      <c r="AB103" s="171" t="s">
        <v>1126</v>
      </c>
      <c r="AC103" s="161"/>
    </row>
    <row r="104" spans="1:29" s="114" customFormat="1" ht="23.25" customHeight="1">
      <c r="A104" s="33" t="s">
        <v>582</v>
      </c>
      <c r="B104" s="37" t="s">
        <v>1014</v>
      </c>
      <c r="C104" s="38" t="s">
        <v>874</v>
      </c>
      <c r="D104" s="38"/>
      <c r="E104" s="67" t="s">
        <v>323</v>
      </c>
      <c r="F104" s="80" t="s">
        <v>374</v>
      </c>
      <c r="G104" s="10">
        <v>2.34</v>
      </c>
      <c r="H104" s="163"/>
      <c r="I104" s="86">
        <f t="shared" si="13"/>
        <v>2.34</v>
      </c>
      <c r="J104" s="86"/>
      <c r="K104" s="87">
        <f t="shared" si="21"/>
        <v>2.34</v>
      </c>
      <c r="L104" s="34">
        <f t="shared" si="14"/>
        <v>2457000</v>
      </c>
      <c r="M104" s="191" t="s">
        <v>858</v>
      </c>
      <c r="N104" s="34">
        <f t="shared" si="22"/>
        <v>1228500</v>
      </c>
      <c r="O104" s="34">
        <f t="shared" si="16"/>
        <v>1050000</v>
      </c>
      <c r="P104" s="10">
        <v>26</v>
      </c>
      <c r="Q104" s="67">
        <v>26</v>
      </c>
      <c r="R104" s="164">
        <f t="shared" si="17"/>
        <v>1228500</v>
      </c>
      <c r="S104" s="34">
        <f t="shared" si="18"/>
        <v>1228500</v>
      </c>
      <c r="T104" s="108"/>
      <c r="U104" s="34">
        <f t="shared" si="23"/>
        <v>0</v>
      </c>
      <c r="V104" s="79"/>
      <c r="W104" s="34">
        <f t="shared" si="15"/>
        <v>0</v>
      </c>
      <c r="X104" s="34">
        <f t="shared" si="12"/>
        <v>24570</v>
      </c>
      <c r="Y104" s="51">
        <f t="shared" si="19"/>
        <v>1253070</v>
      </c>
      <c r="Z104" s="11" t="str">
        <f t="shared" si="20"/>
        <v>94</v>
      </c>
      <c r="AA104" s="132"/>
      <c r="AB104" s="171" t="s">
        <v>1127</v>
      </c>
      <c r="AC104" s="161"/>
    </row>
    <row r="105" spans="1:29" s="114" customFormat="1" ht="24" customHeight="1">
      <c r="A105" s="33" t="s">
        <v>583</v>
      </c>
      <c r="B105" s="37" t="s">
        <v>968</v>
      </c>
      <c r="C105" s="38" t="s">
        <v>883</v>
      </c>
      <c r="D105" s="38" t="s">
        <v>543</v>
      </c>
      <c r="E105" s="67" t="s">
        <v>110</v>
      </c>
      <c r="F105" s="80" t="s">
        <v>1313</v>
      </c>
      <c r="G105" s="10">
        <v>4.9800000000000004</v>
      </c>
      <c r="H105" s="163"/>
      <c r="I105" s="86">
        <f t="shared" si="13"/>
        <v>4.9800000000000004</v>
      </c>
      <c r="J105" s="86">
        <v>0</v>
      </c>
      <c r="K105" s="87">
        <f t="shared" si="21"/>
        <v>4.9800000000000004</v>
      </c>
      <c r="L105" s="34">
        <f t="shared" si="14"/>
        <v>5229000</v>
      </c>
      <c r="M105" s="191" t="s">
        <v>858</v>
      </c>
      <c r="N105" s="34">
        <f t="shared" si="22"/>
        <v>2614500</v>
      </c>
      <c r="O105" s="34">
        <f t="shared" si="16"/>
        <v>1050000</v>
      </c>
      <c r="P105" s="10">
        <v>26</v>
      </c>
      <c r="Q105" s="67">
        <v>26</v>
      </c>
      <c r="R105" s="164">
        <f t="shared" si="17"/>
        <v>2614500</v>
      </c>
      <c r="S105" s="34">
        <f t="shared" si="18"/>
        <v>2614500</v>
      </c>
      <c r="T105" s="108"/>
      <c r="U105" s="34">
        <f t="shared" si="23"/>
        <v>0</v>
      </c>
      <c r="V105" s="79"/>
      <c r="W105" s="34">
        <f t="shared" si="15"/>
        <v>0</v>
      </c>
      <c r="X105" s="34">
        <f t="shared" si="12"/>
        <v>52290.000000000007</v>
      </c>
      <c r="Y105" s="51">
        <f t="shared" si="19"/>
        <v>2666790</v>
      </c>
      <c r="Z105" s="11" t="str">
        <f t="shared" si="20"/>
        <v>95</v>
      </c>
      <c r="AA105" s="132"/>
      <c r="AB105" s="171" t="s">
        <v>1131</v>
      </c>
      <c r="AC105" s="161"/>
    </row>
    <row r="106" spans="1:29" s="114" customFormat="1" ht="21" customHeight="1">
      <c r="A106" s="33" t="s">
        <v>584</v>
      </c>
      <c r="B106" s="37" t="s">
        <v>969</v>
      </c>
      <c r="C106" s="38" t="s">
        <v>970</v>
      </c>
      <c r="D106" s="38"/>
      <c r="E106" s="67" t="s">
        <v>111</v>
      </c>
      <c r="F106" s="90" t="s">
        <v>1314</v>
      </c>
      <c r="G106" s="10">
        <v>3.33</v>
      </c>
      <c r="H106" s="163"/>
      <c r="I106" s="86">
        <f t="shared" si="13"/>
        <v>3.33</v>
      </c>
      <c r="J106" s="86">
        <v>0.25</v>
      </c>
      <c r="K106" s="87">
        <f t="shared" si="21"/>
        <v>3.58</v>
      </c>
      <c r="L106" s="34">
        <f t="shared" si="14"/>
        <v>3759000</v>
      </c>
      <c r="M106" s="191" t="s">
        <v>858</v>
      </c>
      <c r="N106" s="34">
        <f t="shared" si="22"/>
        <v>1879500</v>
      </c>
      <c r="O106" s="34">
        <f t="shared" si="16"/>
        <v>1050000</v>
      </c>
      <c r="P106" s="10">
        <v>26</v>
      </c>
      <c r="Q106" s="67">
        <v>26</v>
      </c>
      <c r="R106" s="164">
        <f t="shared" si="17"/>
        <v>1879500</v>
      </c>
      <c r="S106" s="34">
        <f t="shared" si="18"/>
        <v>1879500</v>
      </c>
      <c r="T106" s="108"/>
      <c r="U106" s="34">
        <f t="shared" si="23"/>
        <v>0</v>
      </c>
      <c r="V106" s="79"/>
      <c r="W106" s="34">
        <f t="shared" si="15"/>
        <v>0</v>
      </c>
      <c r="X106" s="34">
        <f t="shared" si="12"/>
        <v>37590</v>
      </c>
      <c r="Y106" s="51">
        <f t="shared" si="19"/>
        <v>1917090</v>
      </c>
      <c r="Z106" s="11" t="str">
        <f t="shared" si="20"/>
        <v>96</v>
      </c>
      <c r="AA106" s="132"/>
      <c r="AB106" s="171" t="s">
        <v>1132</v>
      </c>
      <c r="AC106" s="161"/>
    </row>
    <row r="107" spans="1:29" s="114" customFormat="1" ht="24.75" customHeight="1">
      <c r="A107" s="33" t="s">
        <v>585</v>
      </c>
      <c r="B107" s="37" t="s">
        <v>971</v>
      </c>
      <c r="C107" s="38" t="s">
        <v>927</v>
      </c>
      <c r="D107" s="38"/>
      <c r="E107" s="67" t="s">
        <v>112</v>
      </c>
      <c r="F107" s="80" t="s">
        <v>1315</v>
      </c>
      <c r="G107" s="10">
        <v>2.67</v>
      </c>
      <c r="H107" s="163"/>
      <c r="I107" s="86">
        <f t="shared" si="13"/>
        <v>2.67</v>
      </c>
      <c r="J107" s="86">
        <v>0.25</v>
      </c>
      <c r="K107" s="87">
        <f t="shared" si="21"/>
        <v>2.92</v>
      </c>
      <c r="L107" s="34">
        <f t="shared" si="14"/>
        <v>3066000</v>
      </c>
      <c r="M107" s="191" t="s">
        <v>858</v>
      </c>
      <c r="N107" s="34">
        <f t="shared" si="22"/>
        <v>1533000</v>
      </c>
      <c r="O107" s="34">
        <f t="shared" si="16"/>
        <v>1050000</v>
      </c>
      <c r="P107" s="10">
        <v>26</v>
      </c>
      <c r="Q107" s="67">
        <v>26</v>
      </c>
      <c r="R107" s="164">
        <f t="shared" si="17"/>
        <v>1533000</v>
      </c>
      <c r="S107" s="34">
        <f t="shared" si="18"/>
        <v>1533000</v>
      </c>
      <c r="T107" s="108"/>
      <c r="U107" s="34">
        <f t="shared" si="23"/>
        <v>0</v>
      </c>
      <c r="V107" s="79"/>
      <c r="W107" s="34">
        <f t="shared" si="15"/>
        <v>0</v>
      </c>
      <c r="X107" s="34">
        <f t="shared" si="12"/>
        <v>30660</v>
      </c>
      <c r="Y107" s="51">
        <f t="shared" si="19"/>
        <v>1563660</v>
      </c>
      <c r="Z107" s="11" t="str">
        <f t="shared" si="20"/>
        <v>97</v>
      </c>
      <c r="AA107" s="132"/>
      <c r="AB107" s="171" t="s">
        <v>1133</v>
      </c>
      <c r="AC107" s="161"/>
    </row>
    <row r="108" spans="1:29" s="114" customFormat="1" ht="22.5" customHeight="1">
      <c r="A108" s="33" t="s">
        <v>586</v>
      </c>
      <c r="B108" s="37" t="s">
        <v>972</v>
      </c>
      <c r="C108" s="38" t="s">
        <v>865</v>
      </c>
      <c r="D108" s="38"/>
      <c r="E108" s="67" t="s">
        <v>113</v>
      </c>
      <c r="F108" s="80" t="s">
        <v>1316</v>
      </c>
      <c r="G108" s="10">
        <v>2.67</v>
      </c>
      <c r="H108" s="163"/>
      <c r="I108" s="86">
        <f t="shared" si="13"/>
        <v>2.67</v>
      </c>
      <c r="J108" s="86">
        <v>0.25</v>
      </c>
      <c r="K108" s="87">
        <f t="shared" si="21"/>
        <v>2.92</v>
      </c>
      <c r="L108" s="34">
        <f t="shared" si="14"/>
        <v>3066000</v>
      </c>
      <c r="M108" s="191" t="s">
        <v>858</v>
      </c>
      <c r="N108" s="34">
        <f t="shared" si="22"/>
        <v>1533000</v>
      </c>
      <c r="O108" s="34">
        <f t="shared" si="16"/>
        <v>1050000</v>
      </c>
      <c r="P108" s="10">
        <v>26</v>
      </c>
      <c r="Q108" s="67">
        <v>26</v>
      </c>
      <c r="R108" s="164">
        <f t="shared" si="17"/>
        <v>1533000</v>
      </c>
      <c r="S108" s="34">
        <f t="shared" si="18"/>
        <v>1533000</v>
      </c>
      <c r="T108" s="108"/>
      <c r="U108" s="34">
        <f t="shared" si="23"/>
        <v>0</v>
      </c>
      <c r="V108" s="79"/>
      <c r="W108" s="34">
        <f t="shared" si="15"/>
        <v>0</v>
      </c>
      <c r="X108" s="34">
        <f t="shared" si="12"/>
        <v>30660</v>
      </c>
      <c r="Y108" s="51">
        <f t="shared" si="19"/>
        <v>1563660</v>
      </c>
      <c r="Z108" s="11" t="str">
        <f t="shared" si="20"/>
        <v>98</v>
      </c>
      <c r="AA108" s="132"/>
      <c r="AB108" s="171" t="s">
        <v>1142</v>
      </c>
      <c r="AC108" s="161"/>
    </row>
    <row r="109" spans="1:29" s="114" customFormat="1" ht="26.25" customHeight="1">
      <c r="A109" s="33" t="s">
        <v>587</v>
      </c>
      <c r="B109" s="37" t="s">
        <v>1223</v>
      </c>
      <c r="C109" s="38" t="s">
        <v>920</v>
      </c>
      <c r="D109" s="38"/>
      <c r="E109" s="67" t="s">
        <v>114</v>
      </c>
      <c r="F109" s="80" t="s">
        <v>1317</v>
      </c>
      <c r="G109" s="10">
        <v>2.67</v>
      </c>
      <c r="H109" s="163"/>
      <c r="I109" s="86">
        <f t="shared" si="13"/>
        <v>2.67</v>
      </c>
      <c r="J109" s="86"/>
      <c r="K109" s="87">
        <f t="shared" si="21"/>
        <v>2.67</v>
      </c>
      <c r="L109" s="34">
        <f t="shared" si="14"/>
        <v>2803500</v>
      </c>
      <c r="M109" s="191" t="s">
        <v>858</v>
      </c>
      <c r="N109" s="34">
        <f t="shared" si="22"/>
        <v>1401750</v>
      </c>
      <c r="O109" s="34">
        <f t="shared" si="16"/>
        <v>1050000</v>
      </c>
      <c r="P109" s="10">
        <v>26</v>
      </c>
      <c r="Q109" s="67">
        <v>26</v>
      </c>
      <c r="R109" s="164">
        <f t="shared" si="17"/>
        <v>1401750</v>
      </c>
      <c r="S109" s="34">
        <f t="shared" si="18"/>
        <v>1401750</v>
      </c>
      <c r="T109" s="108"/>
      <c r="U109" s="34">
        <f t="shared" si="23"/>
        <v>0</v>
      </c>
      <c r="V109" s="79"/>
      <c r="W109" s="34">
        <f t="shared" si="15"/>
        <v>0</v>
      </c>
      <c r="X109" s="34">
        <f t="shared" si="12"/>
        <v>28035</v>
      </c>
      <c r="Y109" s="51">
        <f t="shared" si="19"/>
        <v>1429785</v>
      </c>
      <c r="Z109" s="11" t="str">
        <f t="shared" si="20"/>
        <v>99</v>
      </c>
      <c r="AA109" s="132"/>
      <c r="AB109" s="171" t="s">
        <v>1143</v>
      </c>
      <c r="AC109" s="161"/>
    </row>
    <row r="110" spans="1:29" s="114" customFormat="1" ht="29.25" customHeight="1">
      <c r="A110" s="33" t="s">
        <v>588</v>
      </c>
      <c r="B110" s="37" t="s">
        <v>1224</v>
      </c>
      <c r="C110" s="38" t="s">
        <v>1205</v>
      </c>
      <c r="D110" s="38"/>
      <c r="E110" s="67" t="s">
        <v>115</v>
      </c>
      <c r="F110" s="80" t="s">
        <v>1318</v>
      </c>
      <c r="G110" s="10">
        <v>2.67</v>
      </c>
      <c r="H110" s="163"/>
      <c r="I110" s="86">
        <f t="shared" si="13"/>
        <v>2.67</v>
      </c>
      <c r="J110" s="86"/>
      <c r="K110" s="87">
        <f t="shared" si="21"/>
        <v>2.67</v>
      </c>
      <c r="L110" s="34">
        <f t="shared" si="14"/>
        <v>2803500</v>
      </c>
      <c r="M110" s="191" t="s">
        <v>858</v>
      </c>
      <c r="N110" s="34">
        <f t="shared" si="22"/>
        <v>1401750</v>
      </c>
      <c r="O110" s="34">
        <f t="shared" si="16"/>
        <v>1050000</v>
      </c>
      <c r="P110" s="10">
        <v>26</v>
      </c>
      <c r="Q110" s="67">
        <v>26</v>
      </c>
      <c r="R110" s="164">
        <f t="shared" si="17"/>
        <v>1401750</v>
      </c>
      <c r="S110" s="34">
        <f t="shared" si="18"/>
        <v>1401750</v>
      </c>
      <c r="T110" s="108"/>
      <c r="U110" s="34">
        <f t="shared" si="23"/>
        <v>0</v>
      </c>
      <c r="V110" s="79"/>
      <c r="W110" s="34">
        <f t="shared" si="15"/>
        <v>0</v>
      </c>
      <c r="X110" s="34">
        <f t="shared" si="12"/>
        <v>28035</v>
      </c>
      <c r="Y110" s="51">
        <f t="shared" si="19"/>
        <v>1429785</v>
      </c>
      <c r="Z110" s="11" t="str">
        <f t="shared" si="20"/>
        <v>100</v>
      </c>
      <c r="AA110" s="118"/>
      <c r="AB110" s="171" t="s">
        <v>1144</v>
      </c>
      <c r="AC110" s="161"/>
    </row>
    <row r="111" spans="1:29" s="114" customFormat="1" ht="29.25" customHeight="1">
      <c r="A111" s="33" t="s">
        <v>589</v>
      </c>
      <c r="B111" s="284" t="s">
        <v>278</v>
      </c>
      <c r="C111" s="285" t="s">
        <v>1178</v>
      </c>
      <c r="D111" s="285"/>
      <c r="E111" s="307" t="s">
        <v>324</v>
      </c>
      <c r="F111" s="287" t="s">
        <v>375</v>
      </c>
      <c r="G111" s="291">
        <v>2.34</v>
      </c>
      <c r="H111" s="308"/>
      <c r="I111" s="290">
        <f t="shared" si="13"/>
        <v>2.34</v>
      </c>
      <c r="J111" s="290"/>
      <c r="K111" s="309">
        <f t="shared" si="21"/>
        <v>2.34</v>
      </c>
      <c r="L111" s="292">
        <f t="shared" si="14"/>
        <v>2457000</v>
      </c>
      <c r="M111" s="191" t="s">
        <v>785</v>
      </c>
      <c r="N111" s="292">
        <f t="shared" si="22"/>
        <v>0</v>
      </c>
      <c r="O111" s="292">
        <f t="shared" si="16"/>
        <v>0</v>
      </c>
      <c r="P111" s="291">
        <v>0</v>
      </c>
      <c r="Q111" s="307">
        <v>0</v>
      </c>
      <c r="R111" s="310">
        <f t="shared" si="17"/>
        <v>0</v>
      </c>
      <c r="S111" s="292">
        <f t="shared" si="18"/>
        <v>0</v>
      </c>
      <c r="T111" s="311"/>
      <c r="U111" s="292">
        <f t="shared" si="23"/>
        <v>0</v>
      </c>
      <c r="V111" s="296"/>
      <c r="W111" s="292">
        <f t="shared" si="15"/>
        <v>0</v>
      </c>
      <c r="X111" s="292">
        <v>0</v>
      </c>
      <c r="Y111" s="312">
        <f t="shared" si="19"/>
        <v>0</v>
      </c>
      <c r="Z111" s="298" t="str">
        <f t="shared" si="20"/>
        <v>101</v>
      </c>
      <c r="AA111" s="313" t="s">
        <v>778</v>
      </c>
      <c r="AB111" s="171" t="s">
        <v>1145</v>
      </c>
      <c r="AC111" s="161"/>
    </row>
    <row r="112" spans="1:29" s="114" customFormat="1" ht="31.5" customHeight="1">
      <c r="A112" s="33" t="s">
        <v>590</v>
      </c>
      <c r="B112" s="237" t="s">
        <v>1245</v>
      </c>
      <c r="C112" s="238" t="s">
        <v>276</v>
      </c>
      <c r="D112" s="238"/>
      <c r="E112" s="239" t="s">
        <v>325</v>
      </c>
      <c r="F112" s="240" t="s">
        <v>376</v>
      </c>
      <c r="G112" s="241">
        <v>2.34</v>
      </c>
      <c r="H112" s="242"/>
      <c r="I112" s="243">
        <f t="shared" si="13"/>
        <v>2.34</v>
      </c>
      <c r="J112" s="243"/>
      <c r="K112" s="244">
        <f t="shared" si="21"/>
        <v>2.34</v>
      </c>
      <c r="L112" s="245">
        <f t="shared" si="14"/>
        <v>2457000</v>
      </c>
      <c r="M112" s="191" t="s">
        <v>785</v>
      </c>
      <c r="N112" s="292">
        <f t="shared" si="22"/>
        <v>0</v>
      </c>
      <c r="O112" s="245">
        <f t="shared" si="16"/>
        <v>0</v>
      </c>
      <c r="P112" s="291">
        <v>0</v>
      </c>
      <c r="Q112" s="307">
        <v>0</v>
      </c>
      <c r="R112" s="310">
        <f t="shared" si="17"/>
        <v>0</v>
      </c>
      <c r="S112" s="292">
        <f t="shared" si="18"/>
        <v>0</v>
      </c>
      <c r="T112" s="311"/>
      <c r="U112" s="292">
        <f t="shared" si="23"/>
        <v>0</v>
      </c>
      <c r="V112" s="296"/>
      <c r="W112" s="292">
        <f t="shared" si="15"/>
        <v>0</v>
      </c>
      <c r="X112" s="292">
        <v>0</v>
      </c>
      <c r="Y112" s="312">
        <f t="shared" si="19"/>
        <v>0</v>
      </c>
      <c r="Z112" s="298" t="str">
        <f t="shared" si="20"/>
        <v>102</v>
      </c>
      <c r="AA112" s="313" t="s">
        <v>779</v>
      </c>
      <c r="AB112" s="171" t="s">
        <v>1146</v>
      </c>
      <c r="AC112" s="161"/>
    </row>
    <row r="113" spans="1:29" s="114" customFormat="1" ht="20.25" customHeight="1">
      <c r="A113" s="33" t="s">
        <v>591</v>
      </c>
      <c r="B113" s="37" t="s">
        <v>279</v>
      </c>
      <c r="C113" s="38" t="s">
        <v>277</v>
      </c>
      <c r="D113" s="38"/>
      <c r="E113" s="67" t="s">
        <v>326</v>
      </c>
      <c r="F113" s="80" t="s">
        <v>377</v>
      </c>
      <c r="G113" s="10">
        <v>2.34</v>
      </c>
      <c r="H113" s="163"/>
      <c r="I113" s="86">
        <f t="shared" si="13"/>
        <v>2.34</v>
      </c>
      <c r="J113" s="86"/>
      <c r="K113" s="87">
        <f t="shared" si="21"/>
        <v>2.34</v>
      </c>
      <c r="L113" s="34">
        <f t="shared" si="14"/>
        <v>2457000</v>
      </c>
      <c r="M113" s="191" t="s">
        <v>858</v>
      </c>
      <c r="N113" s="34">
        <f t="shared" si="22"/>
        <v>1228500</v>
      </c>
      <c r="O113" s="34">
        <f t="shared" si="16"/>
        <v>1050000</v>
      </c>
      <c r="P113" s="10">
        <v>26</v>
      </c>
      <c r="Q113" s="67">
        <v>26</v>
      </c>
      <c r="R113" s="164">
        <f t="shared" si="17"/>
        <v>1228500</v>
      </c>
      <c r="S113" s="34">
        <f t="shared" si="18"/>
        <v>1228500</v>
      </c>
      <c r="T113" s="108"/>
      <c r="U113" s="34">
        <f t="shared" si="23"/>
        <v>0</v>
      </c>
      <c r="V113" s="79"/>
      <c r="W113" s="34">
        <f t="shared" si="15"/>
        <v>0</v>
      </c>
      <c r="X113" s="34">
        <f t="shared" si="12"/>
        <v>24570</v>
      </c>
      <c r="Y113" s="51">
        <f t="shared" si="19"/>
        <v>1253070</v>
      </c>
      <c r="Z113" s="11" t="str">
        <f t="shared" si="20"/>
        <v>103</v>
      </c>
      <c r="AA113" s="132"/>
      <c r="AB113" s="171" t="s">
        <v>1147</v>
      </c>
      <c r="AC113" s="161"/>
    </row>
    <row r="114" spans="1:29" s="114" customFormat="1" ht="29.25" customHeight="1">
      <c r="A114" s="33" t="s">
        <v>592</v>
      </c>
      <c r="B114" s="37" t="s">
        <v>919</v>
      </c>
      <c r="C114" s="97" t="s">
        <v>365</v>
      </c>
      <c r="D114" s="97"/>
      <c r="E114" s="67" t="s">
        <v>327</v>
      </c>
      <c r="F114" s="80" t="s">
        <v>378</v>
      </c>
      <c r="G114" s="10">
        <v>2.34</v>
      </c>
      <c r="H114" s="163"/>
      <c r="I114" s="86">
        <f t="shared" si="13"/>
        <v>2.34</v>
      </c>
      <c r="J114" s="86"/>
      <c r="K114" s="87">
        <f t="shared" si="21"/>
        <v>2.34</v>
      </c>
      <c r="L114" s="34">
        <f t="shared" si="14"/>
        <v>2457000</v>
      </c>
      <c r="M114" s="191" t="s">
        <v>858</v>
      </c>
      <c r="N114" s="34">
        <f t="shared" si="22"/>
        <v>1228500</v>
      </c>
      <c r="O114" s="34">
        <f t="shared" si="16"/>
        <v>1050000</v>
      </c>
      <c r="P114" s="10">
        <v>26</v>
      </c>
      <c r="Q114" s="67">
        <v>25</v>
      </c>
      <c r="R114" s="164">
        <f t="shared" si="17"/>
        <v>1228500</v>
      </c>
      <c r="S114" s="34">
        <f t="shared" si="18"/>
        <v>1181250</v>
      </c>
      <c r="T114" s="108"/>
      <c r="U114" s="34">
        <f t="shared" si="23"/>
        <v>0</v>
      </c>
      <c r="V114" s="79"/>
      <c r="W114" s="34">
        <f t="shared" si="15"/>
        <v>0</v>
      </c>
      <c r="X114" s="34">
        <f t="shared" si="12"/>
        <v>24570</v>
      </c>
      <c r="Y114" s="51">
        <f t="shared" si="19"/>
        <v>1205820</v>
      </c>
      <c r="Z114" s="11" t="str">
        <f t="shared" si="20"/>
        <v>104</v>
      </c>
      <c r="AA114" s="132" t="s">
        <v>783</v>
      </c>
      <c r="AB114" s="171" t="s">
        <v>1148</v>
      </c>
      <c r="AC114" s="161"/>
    </row>
    <row r="115" spans="1:29" s="114" customFormat="1" ht="26.25" customHeight="1">
      <c r="A115" s="33" t="s">
        <v>593</v>
      </c>
      <c r="B115" s="37" t="s">
        <v>995</v>
      </c>
      <c r="C115" s="38" t="s">
        <v>1041</v>
      </c>
      <c r="D115" s="38"/>
      <c r="E115" s="80" t="s">
        <v>434</v>
      </c>
      <c r="F115" s="10" t="s">
        <v>503</v>
      </c>
      <c r="G115" s="88">
        <v>3</v>
      </c>
      <c r="H115" s="163"/>
      <c r="I115" s="167">
        <f t="shared" si="13"/>
        <v>3</v>
      </c>
      <c r="J115" s="86"/>
      <c r="K115" s="87">
        <f t="shared" si="21"/>
        <v>3</v>
      </c>
      <c r="L115" s="34">
        <f t="shared" si="14"/>
        <v>3150000</v>
      </c>
      <c r="M115" s="191" t="s">
        <v>858</v>
      </c>
      <c r="N115" s="34">
        <f t="shared" si="22"/>
        <v>1575000</v>
      </c>
      <c r="O115" s="34">
        <f t="shared" si="16"/>
        <v>1050000</v>
      </c>
      <c r="P115" s="10">
        <v>26</v>
      </c>
      <c r="Q115" s="67">
        <v>26</v>
      </c>
      <c r="R115" s="164">
        <f t="shared" si="17"/>
        <v>1575000</v>
      </c>
      <c r="S115" s="34">
        <f t="shared" si="18"/>
        <v>1575000</v>
      </c>
      <c r="T115" s="108"/>
      <c r="U115" s="34">
        <f t="shared" si="23"/>
        <v>0</v>
      </c>
      <c r="V115" s="79"/>
      <c r="W115" s="34">
        <f t="shared" si="15"/>
        <v>0</v>
      </c>
      <c r="X115" s="34">
        <f t="shared" si="12"/>
        <v>31500</v>
      </c>
      <c r="Y115" s="51">
        <f t="shared" si="19"/>
        <v>1606500</v>
      </c>
      <c r="Z115" s="11" t="str">
        <f t="shared" si="20"/>
        <v>105</v>
      </c>
      <c r="AA115" s="118"/>
      <c r="AB115" s="171" t="s">
        <v>1149</v>
      </c>
      <c r="AC115" s="161"/>
    </row>
    <row r="116" spans="1:29" s="114" customFormat="1" ht="21" customHeight="1">
      <c r="A116" s="33" t="s">
        <v>594</v>
      </c>
      <c r="B116" s="37" t="s">
        <v>869</v>
      </c>
      <c r="C116" s="38" t="s">
        <v>917</v>
      </c>
      <c r="D116" s="38" t="s">
        <v>544</v>
      </c>
      <c r="E116" s="67" t="s">
        <v>116</v>
      </c>
      <c r="F116" s="90" t="s">
        <v>1319</v>
      </c>
      <c r="G116" s="10">
        <v>6.44</v>
      </c>
      <c r="H116" s="163"/>
      <c r="I116" s="86">
        <f t="shared" si="13"/>
        <v>6.44</v>
      </c>
      <c r="J116" s="86">
        <v>0.25</v>
      </c>
      <c r="K116" s="87">
        <f t="shared" si="21"/>
        <v>6.69</v>
      </c>
      <c r="L116" s="34">
        <f t="shared" si="14"/>
        <v>7024500</v>
      </c>
      <c r="M116" s="191" t="s">
        <v>858</v>
      </c>
      <c r="N116" s="34">
        <f t="shared" si="22"/>
        <v>3512250</v>
      </c>
      <c r="O116" s="34">
        <f t="shared" si="16"/>
        <v>1050000</v>
      </c>
      <c r="P116" s="10">
        <v>26</v>
      </c>
      <c r="Q116" s="67">
        <v>26</v>
      </c>
      <c r="R116" s="164">
        <f t="shared" si="17"/>
        <v>3512250</v>
      </c>
      <c r="S116" s="34">
        <f t="shared" si="18"/>
        <v>3512250</v>
      </c>
      <c r="T116" s="108"/>
      <c r="U116" s="34">
        <f t="shared" si="23"/>
        <v>0</v>
      </c>
      <c r="V116" s="79"/>
      <c r="W116" s="34">
        <f t="shared" si="15"/>
        <v>0</v>
      </c>
      <c r="X116" s="34">
        <f t="shared" si="12"/>
        <v>70245</v>
      </c>
      <c r="Y116" s="51">
        <f t="shared" si="19"/>
        <v>3582495</v>
      </c>
      <c r="Z116" s="11" t="str">
        <f t="shared" si="20"/>
        <v>106</v>
      </c>
      <c r="AA116" s="132"/>
      <c r="AB116" s="171" t="s">
        <v>1150</v>
      </c>
      <c r="AC116" s="161"/>
    </row>
    <row r="117" spans="1:29" s="114" customFormat="1" ht="24" customHeight="1">
      <c r="A117" s="33" t="s">
        <v>595</v>
      </c>
      <c r="B117" s="37" t="s">
        <v>869</v>
      </c>
      <c r="C117" s="38" t="s">
        <v>973</v>
      </c>
      <c r="D117" s="38"/>
      <c r="E117" s="67" t="s">
        <v>117</v>
      </c>
      <c r="F117" s="90" t="s">
        <v>1320</v>
      </c>
      <c r="G117" s="10">
        <v>3.33</v>
      </c>
      <c r="H117" s="163"/>
      <c r="I117" s="86">
        <f t="shared" si="13"/>
        <v>3.33</v>
      </c>
      <c r="J117" s="86">
        <v>0</v>
      </c>
      <c r="K117" s="87">
        <f t="shared" si="21"/>
        <v>3.33</v>
      </c>
      <c r="L117" s="34">
        <f t="shared" si="14"/>
        <v>3496500</v>
      </c>
      <c r="M117" s="191" t="s">
        <v>858</v>
      </c>
      <c r="N117" s="34">
        <f t="shared" si="22"/>
        <v>1748250</v>
      </c>
      <c r="O117" s="34">
        <f t="shared" si="16"/>
        <v>1050000</v>
      </c>
      <c r="P117" s="10">
        <v>26</v>
      </c>
      <c r="Q117" s="67">
        <v>26</v>
      </c>
      <c r="R117" s="164">
        <f t="shared" si="17"/>
        <v>1748250</v>
      </c>
      <c r="S117" s="34">
        <f t="shared" si="18"/>
        <v>1748250</v>
      </c>
      <c r="T117" s="108"/>
      <c r="U117" s="34">
        <f t="shared" si="23"/>
        <v>0</v>
      </c>
      <c r="V117" s="79"/>
      <c r="W117" s="34">
        <f t="shared" si="15"/>
        <v>0</v>
      </c>
      <c r="X117" s="34">
        <f t="shared" si="12"/>
        <v>34965</v>
      </c>
      <c r="Y117" s="51">
        <f t="shared" si="19"/>
        <v>1783215</v>
      </c>
      <c r="Z117" s="11" t="str">
        <f t="shared" si="20"/>
        <v>107</v>
      </c>
      <c r="AA117" s="118"/>
      <c r="AB117" s="171" t="s">
        <v>1151</v>
      </c>
      <c r="AC117" s="161"/>
    </row>
    <row r="118" spans="1:29" s="114" customFormat="1" ht="24" customHeight="1">
      <c r="A118" s="33" t="s">
        <v>596</v>
      </c>
      <c r="B118" s="37" t="s">
        <v>280</v>
      </c>
      <c r="C118" s="38" t="s">
        <v>891</v>
      </c>
      <c r="D118" s="38"/>
      <c r="E118" s="67" t="s">
        <v>328</v>
      </c>
      <c r="F118" s="80" t="s">
        <v>379</v>
      </c>
      <c r="G118" s="10">
        <v>2.34</v>
      </c>
      <c r="H118" s="163"/>
      <c r="I118" s="86">
        <f t="shared" si="13"/>
        <v>2.34</v>
      </c>
      <c r="J118" s="86"/>
      <c r="K118" s="87">
        <f t="shared" si="21"/>
        <v>2.34</v>
      </c>
      <c r="L118" s="34">
        <f t="shared" si="14"/>
        <v>2457000</v>
      </c>
      <c r="M118" s="191" t="s">
        <v>858</v>
      </c>
      <c r="N118" s="34">
        <f t="shared" si="22"/>
        <v>1228500</v>
      </c>
      <c r="O118" s="34">
        <f t="shared" si="16"/>
        <v>1050000</v>
      </c>
      <c r="P118" s="10">
        <v>26</v>
      </c>
      <c r="Q118" s="67">
        <v>26</v>
      </c>
      <c r="R118" s="164">
        <f t="shared" si="17"/>
        <v>1228500</v>
      </c>
      <c r="S118" s="34">
        <f t="shared" si="18"/>
        <v>1228500</v>
      </c>
      <c r="T118" s="108"/>
      <c r="U118" s="34">
        <f t="shared" si="23"/>
        <v>0</v>
      </c>
      <c r="V118" s="79"/>
      <c r="W118" s="34">
        <f t="shared" si="15"/>
        <v>0</v>
      </c>
      <c r="X118" s="34">
        <f t="shared" si="12"/>
        <v>24570</v>
      </c>
      <c r="Y118" s="51">
        <f t="shared" si="19"/>
        <v>1253070</v>
      </c>
      <c r="Z118" s="11" t="str">
        <f t="shared" si="20"/>
        <v>108</v>
      </c>
      <c r="AA118" s="118"/>
      <c r="AB118" s="171" t="s">
        <v>1152</v>
      </c>
      <c r="AC118" s="161"/>
    </row>
    <row r="119" spans="1:29" s="114" customFormat="1" ht="27" customHeight="1">
      <c r="A119" s="33" t="s">
        <v>597</v>
      </c>
      <c r="B119" s="37" t="s">
        <v>946</v>
      </c>
      <c r="C119" s="38" t="s">
        <v>867</v>
      </c>
      <c r="D119" s="38"/>
      <c r="E119" s="67" t="s">
        <v>118</v>
      </c>
      <c r="F119" s="80" t="s">
        <v>1296</v>
      </c>
      <c r="G119" s="10">
        <v>4.6500000000000004</v>
      </c>
      <c r="H119" s="163"/>
      <c r="I119" s="86">
        <f t="shared" si="13"/>
        <v>4.6500000000000004</v>
      </c>
      <c r="J119" s="86">
        <v>0</v>
      </c>
      <c r="K119" s="87">
        <f t="shared" si="21"/>
        <v>4.6500000000000004</v>
      </c>
      <c r="L119" s="34">
        <f t="shared" si="14"/>
        <v>4882500</v>
      </c>
      <c r="M119" s="191" t="s">
        <v>858</v>
      </c>
      <c r="N119" s="34">
        <f t="shared" si="22"/>
        <v>2441250</v>
      </c>
      <c r="O119" s="34">
        <f t="shared" si="16"/>
        <v>1050000</v>
      </c>
      <c r="P119" s="10">
        <v>26</v>
      </c>
      <c r="Q119" s="67">
        <v>26</v>
      </c>
      <c r="R119" s="164">
        <f t="shared" si="17"/>
        <v>2441250</v>
      </c>
      <c r="S119" s="34">
        <f t="shared" si="18"/>
        <v>2441250</v>
      </c>
      <c r="T119" s="108"/>
      <c r="U119" s="34">
        <f t="shared" si="23"/>
        <v>0</v>
      </c>
      <c r="V119" s="79"/>
      <c r="W119" s="34">
        <f t="shared" si="15"/>
        <v>0</v>
      </c>
      <c r="X119" s="34">
        <f t="shared" si="12"/>
        <v>48825.000000000007</v>
      </c>
      <c r="Y119" s="51">
        <f t="shared" si="19"/>
        <v>2490075</v>
      </c>
      <c r="Z119" s="11" t="str">
        <f t="shared" si="20"/>
        <v>109</v>
      </c>
      <c r="AA119" s="118"/>
      <c r="AB119" s="171" t="s">
        <v>1153</v>
      </c>
      <c r="AC119" s="161"/>
    </row>
    <row r="120" spans="1:29" s="114" customFormat="1" ht="24.75" customHeight="1">
      <c r="A120" s="33" t="s">
        <v>598</v>
      </c>
      <c r="B120" s="37" t="s">
        <v>975</v>
      </c>
      <c r="C120" s="38" t="s">
        <v>942</v>
      </c>
      <c r="D120" s="38" t="s">
        <v>545</v>
      </c>
      <c r="E120" s="67" t="s">
        <v>119</v>
      </c>
      <c r="F120" s="80" t="s">
        <v>1321</v>
      </c>
      <c r="G120" s="10">
        <v>4.6500000000000004</v>
      </c>
      <c r="H120" s="163"/>
      <c r="I120" s="86">
        <f t="shared" si="13"/>
        <v>4.6500000000000004</v>
      </c>
      <c r="J120" s="86">
        <v>0.25</v>
      </c>
      <c r="K120" s="87">
        <f t="shared" si="21"/>
        <v>4.9000000000000004</v>
      </c>
      <c r="L120" s="34">
        <f t="shared" si="14"/>
        <v>5145000</v>
      </c>
      <c r="M120" s="191" t="s">
        <v>858</v>
      </c>
      <c r="N120" s="34">
        <f t="shared" si="22"/>
        <v>2572500</v>
      </c>
      <c r="O120" s="34">
        <f t="shared" si="16"/>
        <v>1050000</v>
      </c>
      <c r="P120" s="10">
        <v>26</v>
      </c>
      <c r="Q120" s="67">
        <v>26</v>
      </c>
      <c r="R120" s="164">
        <f t="shared" si="17"/>
        <v>2572500</v>
      </c>
      <c r="S120" s="34">
        <f t="shared" si="18"/>
        <v>2572500</v>
      </c>
      <c r="T120" s="108"/>
      <c r="U120" s="34">
        <f t="shared" si="23"/>
        <v>0</v>
      </c>
      <c r="V120" s="79"/>
      <c r="W120" s="34">
        <f t="shared" si="15"/>
        <v>0</v>
      </c>
      <c r="X120" s="34">
        <f t="shared" ref="X120:X183" si="24">(K120*0.01*$H$7)+(T120*1%*$H$7)+(V120*1%*$H$7)</f>
        <v>51450</v>
      </c>
      <c r="Y120" s="51">
        <f t="shared" si="19"/>
        <v>2623950</v>
      </c>
      <c r="Z120" s="11" t="str">
        <f t="shared" si="20"/>
        <v>110</v>
      </c>
      <c r="AA120" s="118"/>
      <c r="AB120" s="171" t="s">
        <v>1154</v>
      </c>
      <c r="AC120" s="161"/>
    </row>
    <row r="121" spans="1:29" s="114" customFormat="1" ht="21.75" customHeight="1">
      <c r="A121" s="33" t="s">
        <v>599</v>
      </c>
      <c r="B121" s="37" t="s">
        <v>976</v>
      </c>
      <c r="C121" s="38" t="s">
        <v>889</v>
      </c>
      <c r="D121" s="38"/>
      <c r="E121" s="67" t="s">
        <v>120</v>
      </c>
      <c r="F121" s="80" t="s">
        <v>1322</v>
      </c>
      <c r="G121" s="10">
        <v>3</v>
      </c>
      <c r="H121" s="163"/>
      <c r="I121" s="86">
        <f t="shared" si="13"/>
        <v>3</v>
      </c>
      <c r="J121" s="86">
        <v>0</v>
      </c>
      <c r="K121" s="87">
        <f t="shared" si="21"/>
        <v>3</v>
      </c>
      <c r="L121" s="34">
        <f t="shared" si="14"/>
        <v>3150000</v>
      </c>
      <c r="M121" s="191" t="s">
        <v>858</v>
      </c>
      <c r="N121" s="34">
        <f t="shared" si="22"/>
        <v>1575000</v>
      </c>
      <c r="O121" s="34">
        <f t="shared" si="16"/>
        <v>1050000</v>
      </c>
      <c r="P121" s="10">
        <v>26</v>
      </c>
      <c r="Q121" s="67">
        <v>26</v>
      </c>
      <c r="R121" s="164">
        <f t="shared" si="17"/>
        <v>1575000</v>
      </c>
      <c r="S121" s="34">
        <f t="shared" si="18"/>
        <v>1575000</v>
      </c>
      <c r="T121" s="108"/>
      <c r="U121" s="34">
        <f t="shared" si="23"/>
        <v>0</v>
      </c>
      <c r="V121" s="79"/>
      <c r="W121" s="34">
        <f t="shared" si="15"/>
        <v>0</v>
      </c>
      <c r="X121" s="34">
        <f t="shared" si="24"/>
        <v>31500</v>
      </c>
      <c r="Y121" s="51">
        <f t="shared" si="19"/>
        <v>1606500</v>
      </c>
      <c r="Z121" s="11" t="str">
        <f t="shared" si="20"/>
        <v>111</v>
      </c>
      <c r="AA121" s="132"/>
      <c r="AB121" s="171" t="s">
        <v>1155</v>
      </c>
      <c r="AC121" s="161"/>
    </row>
    <row r="122" spans="1:29" s="114" customFormat="1" ht="23.25" customHeight="1">
      <c r="A122" s="33" t="s">
        <v>600</v>
      </c>
      <c r="B122" s="37" t="s">
        <v>1225</v>
      </c>
      <c r="C122" s="38" t="s">
        <v>1206</v>
      </c>
      <c r="D122" s="38"/>
      <c r="E122" s="67" t="s">
        <v>121</v>
      </c>
      <c r="F122" s="80" t="s">
        <v>1323</v>
      </c>
      <c r="G122" s="10">
        <v>3</v>
      </c>
      <c r="H122" s="163"/>
      <c r="I122" s="86">
        <f t="shared" si="13"/>
        <v>3</v>
      </c>
      <c r="J122" s="86"/>
      <c r="K122" s="87">
        <f t="shared" si="21"/>
        <v>3</v>
      </c>
      <c r="L122" s="34">
        <f t="shared" si="14"/>
        <v>3150000</v>
      </c>
      <c r="M122" s="191" t="s">
        <v>858</v>
      </c>
      <c r="N122" s="34">
        <f t="shared" si="22"/>
        <v>1575000</v>
      </c>
      <c r="O122" s="34">
        <f t="shared" si="16"/>
        <v>1050000</v>
      </c>
      <c r="P122" s="10">
        <v>26</v>
      </c>
      <c r="Q122" s="67">
        <v>26</v>
      </c>
      <c r="R122" s="164">
        <f t="shared" si="17"/>
        <v>1575000</v>
      </c>
      <c r="S122" s="34">
        <f t="shared" si="18"/>
        <v>1575000</v>
      </c>
      <c r="T122" s="108"/>
      <c r="U122" s="34">
        <f t="shared" si="23"/>
        <v>0</v>
      </c>
      <c r="V122" s="79"/>
      <c r="W122" s="34">
        <f t="shared" si="15"/>
        <v>0</v>
      </c>
      <c r="X122" s="34">
        <f t="shared" si="24"/>
        <v>31500</v>
      </c>
      <c r="Y122" s="51">
        <f t="shared" si="19"/>
        <v>1606500</v>
      </c>
      <c r="Z122" s="11" t="str">
        <f t="shared" si="20"/>
        <v>112</v>
      </c>
      <c r="AA122" s="118"/>
      <c r="AB122" s="171" t="s">
        <v>1156</v>
      </c>
      <c r="AC122" s="161"/>
    </row>
    <row r="123" spans="1:29" s="114" customFormat="1" ht="20.25" customHeight="1">
      <c r="A123" s="33" t="s">
        <v>601</v>
      </c>
      <c r="B123" s="37" t="s">
        <v>1226</v>
      </c>
      <c r="C123" s="38" t="s">
        <v>992</v>
      </c>
      <c r="D123" s="38"/>
      <c r="E123" s="67" t="s">
        <v>122</v>
      </c>
      <c r="F123" s="80" t="s">
        <v>1324</v>
      </c>
      <c r="G123" s="10">
        <v>2.67</v>
      </c>
      <c r="H123" s="163"/>
      <c r="I123" s="86">
        <f t="shared" si="13"/>
        <v>2.67</v>
      </c>
      <c r="J123" s="86"/>
      <c r="K123" s="87">
        <f t="shared" si="21"/>
        <v>2.67</v>
      </c>
      <c r="L123" s="34">
        <f t="shared" si="14"/>
        <v>2803500</v>
      </c>
      <c r="M123" s="191" t="s">
        <v>858</v>
      </c>
      <c r="N123" s="34">
        <f t="shared" si="22"/>
        <v>1401750</v>
      </c>
      <c r="O123" s="34">
        <f t="shared" si="16"/>
        <v>1050000</v>
      </c>
      <c r="P123" s="10">
        <v>26</v>
      </c>
      <c r="Q123" s="67">
        <v>26</v>
      </c>
      <c r="R123" s="164">
        <f t="shared" si="17"/>
        <v>1401750</v>
      </c>
      <c r="S123" s="34">
        <f t="shared" si="18"/>
        <v>1401750</v>
      </c>
      <c r="T123" s="108"/>
      <c r="U123" s="34">
        <f t="shared" si="23"/>
        <v>0</v>
      </c>
      <c r="V123" s="79"/>
      <c r="W123" s="34">
        <f t="shared" si="15"/>
        <v>0</v>
      </c>
      <c r="X123" s="34">
        <f t="shared" si="24"/>
        <v>28035</v>
      </c>
      <c r="Y123" s="51">
        <f t="shared" si="19"/>
        <v>1429785</v>
      </c>
      <c r="Z123" s="11" t="str">
        <f t="shared" si="20"/>
        <v>113</v>
      </c>
      <c r="AA123" s="132"/>
      <c r="AB123" s="171" t="s">
        <v>1157</v>
      </c>
      <c r="AC123" s="161"/>
    </row>
    <row r="124" spans="1:29" s="114" customFormat="1" ht="20.25" customHeight="1">
      <c r="A124" s="33" t="s">
        <v>602</v>
      </c>
      <c r="B124" s="37" t="s">
        <v>281</v>
      </c>
      <c r="C124" s="38" t="s">
        <v>889</v>
      </c>
      <c r="D124" s="38"/>
      <c r="E124" s="67" t="s">
        <v>329</v>
      </c>
      <c r="F124" s="80" t="s">
        <v>380</v>
      </c>
      <c r="G124" s="10">
        <v>2.67</v>
      </c>
      <c r="H124" s="163"/>
      <c r="I124" s="86">
        <f t="shared" si="13"/>
        <v>2.67</v>
      </c>
      <c r="J124" s="86"/>
      <c r="K124" s="87">
        <f t="shared" si="21"/>
        <v>2.67</v>
      </c>
      <c r="L124" s="34">
        <f t="shared" si="14"/>
        <v>2803500</v>
      </c>
      <c r="M124" s="191" t="s">
        <v>858</v>
      </c>
      <c r="N124" s="34">
        <f t="shared" si="22"/>
        <v>1401750</v>
      </c>
      <c r="O124" s="34">
        <f t="shared" si="16"/>
        <v>1050000</v>
      </c>
      <c r="P124" s="10">
        <v>26</v>
      </c>
      <c r="Q124" s="67">
        <v>26</v>
      </c>
      <c r="R124" s="164">
        <f t="shared" si="17"/>
        <v>1401750</v>
      </c>
      <c r="S124" s="34">
        <f t="shared" si="18"/>
        <v>1401750</v>
      </c>
      <c r="T124" s="108"/>
      <c r="U124" s="34">
        <f t="shared" si="23"/>
        <v>0</v>
      </c>
      <c r="V124" s="79"/>
      <c r="W124" s="34">
        <f t="shared" si="15"/>
        <v>0</v>
      </c>
      <c r="X124" s="34">
        <f t="shared" si="24"/>
        <v>28035</v>
      </c>
      <c r="Y124" s="51">
        <f t="shared" si="19"/>
        <v>1429785</v>
      </c>
      <c r="Z124" s="11" t="str">
        <f t="shared" si="20"/>
        <v>114</v>
      </c>
      <c r="AA124" s="132"/>
      <c r="AB124" s="171" t="s">
        <v>1158</v>
      </c>
      <c r="AC124" s="161"/>
    </row>
    <row r="125" spans="1:29" s="114" customFormat="1" ht="18.75" customHeight="1">
      <c r="A125" s="33" t="s">
        <v>603</v>
      </c>
      <c r="B125" s="37" t="s">
        <v>943</v>
      </c>
      <c r="C125" s="38" t="s">
        <v>949</v>
      </c>
      <c r="D125" s="38" t="s">
        <v>546</v>
      </c>
      <c r="E125" s="67" t="s">
        <v>123</v>
      </c>
      <c r="F125" s="80" t="s">
        <v>1325</v>
      </c>
      <c r="G125" s="10">
        <v>4.9800000000000004</v>
      </c>
      <c r="H125" s="163">
        <v>0.08</v>
      </c>
      <c r="I125" s="86">
        <f t="shared" si="13"/>
        <v>5.3784000000000001</v>
      </c>
      <c r="J125" s="86">
        <v>0.25</v>
      </c>
      <c r="K125" s="87">
        <f t="shared" si="21"/>
        <v>5.6284000000000001</v>
      </c>
      <c r="L125" s="34">
        <f t="shared" si="14"/>
        <v>5909820</v>
      </c>
      <c r="M125" s="191" t="s">
        <v>858</v>
      </c>
      <c r="N125" s="34">
        <f t="shared" si="22"/>
        <v>2954910</v>
      </c>
      <c r="O125" s="34">
        <f t="shared" si="16"/>
        <v>1050000</v>
      </c>
      <c r="P125" s="10">
        <v>26</v>
      </c>
      <c r="Q125" s="67">
        <v>26</v>
      </c>
      <c r="R125" s="164">
        <f t="shared" si="17"/>
        <v>2954910</v>
      </c>
      <c r="S125" s="34">
        <f t="shared" si="18"/>
        <v>2954910</v>
      </c>
      <c r="T125" s="108"/>
      <c r="U125" s="34">
        <f t="shared" si="23"/>
        <v>0</v>
      </c>
      <c r="V125" s="79"/>
      <c r="W125" s="34">
        <f t="shared" si="15"/>
        <v>0</v>
      </c>
      <c r="X125" s="34">
        <f t="shared" si="24"/>
        <v>59098.200000000004</v>
      </c>
      <c r="Y125" s="51">
        <f t="shared" si="19"/>
        <v>3014008.2</v>
      </c>
      <c r="Z125" s="11" t="str">
        <f t="shared" si="20"/>
        <v>115</v>
      </c>
      <c r="AA125" s="132"/>
      <c r="AB125" s="171" t="s">
        <v>1159</v>
      </c>
      <c r="AC125" s="161"/>
    </row>
    <row r="126" spans="1:29" s="114" customFormat="1" ht="24.75" customHeight="1">
      <c r="A126" s="33" t="s">
        <v>604</v>
      </c>
      <c r="B126" s="37" t="s">
        <v>977</v>
      </c>
      <c r="C126" s="38" t="s">
        <v>978</v>
      </c>
      <c r="D126" s="38"/>
      <c r="E126" s="67" t="s">
        <v>124</v>
      </c>
      <c r="F126" s="80" t="s">
        <v>1326</v>
      </c>
      <c r="G126" s="10">
        <v>3.66</v>
      </c>
      <c r="H126" s="163"/>
      <c r="I126" s="86">
        <f t="shared" si="13"/>
        <v>3.66</v>
      </c>
      <c r="J126" s="86">
        <v>0</v>
      </c>
      <c r="K126" s="87">
        <f t="shared" si="21"/>
        <v>3.66</v>
      </c>
      <c r="L126" s="34">
        <f t="shared" si="14"/>
        <v>3843000</v>
      </c>
      <c r="M126" s="191" t="s">
        <v>858</v>
      </c>
      <c r="N126" s="34">
        <f t="shared" si="22"/>
        <v>1921500</v>
      </c>
      <c r="O126" s="34">
        <f t="shared" si="16"/>
        <v>1050000</v>
      </c>
      <c r="P126" s="10">
        <v>26</v>
      </c>
      <c r="Q126" s="67">
        <v>26</v>
      </c>
      <c r="R126" s="164">
        <f t="shared" si="17"/>
        <v>1921500</v>
      </c>
      <c r="S126" s="34">
        <f t="shared" si="18"/>
        <v>1921500</v>
      </c>
      <c r="T126" s="108"/>
      <c r="U126" s="34">
        <f t="shared" si="23"/>
        <v>0</v>
      </c>
      <c r="V126" s="79"/>
      <c r="W126" s="34">
        <f t="shared" si="15"/>
        <v>0</v>
      </c>
      <c r="X126" s="34">
        <f t="shared" si="24"/>
        <v>38430</v>
      </c>
      <c r="Y126" s="51">
        <f t="shared" si="19"/>
        <v>1959930</v>
      </c>
      <c r="Z126" s="11" t="str">
        <f t="shared" si="20"/>
        <v>116</v>
      </c>
      <c r="AA126" s="118"/>
      <c r="AB126" s="171" t="s">
        <v>1160</v>
      </c>
      <c r="AC126" s="161"/>
    </row>
    <row r="127" spans="1:29" s="114" customFormat="1" ht="23.25" customHeight="1">
      <c r="A127" s="33" t="s">
        <v>605</v>
      </c>
      <c r="B127" s="37" t="s">
        <v>980</v>
      </c>
      <c r="C127" s="38" t="s">
        <v>981</v>
      </c>
      <c r="D127" s="38" t="s">
        <v>547</v>
      </c>
      <c r="E127" s="67" t="s">
        <v>125</v>
      </c>
      <c r="F127" s="80" t="s">
        <v>1327</v>
      </c>
      <c r="G127" s="10">
        <v>4.9800000000000004</v>
      </c>
      <c r="H127" s="229">
        <v>7.0000000000000007E-2</v>
      </c>
      <c r="I127" s="86">
        <f t="shared" si="13"/>
        <v>5.3286000000000007</v>
      </c>
      <c r="J127" s="86">
        <v>0.25</v>
      </c>
      <c r="K127" s="87">
        <f t="shared" si="21"/>
        <v>5.5786000000000007</v>
      </c>
      <c r="L127" s="34">
        <f t="shared" si="14"/>
        <v>5857530.0000000009</v>
      </c>
      <c r="M127" s="191" t="s">
        <v>858</v>
      </c>
      <c r="N127" s="34">
        <f t="shared" si="22"/>
        <v>2928765.0000000005</v>
      </c>
      <c r="O127" s="34">
        <f t="shared" si="16"/>
        <v>1050000</v>
      </c>
      <c r="P127" s="10">
        <v>26</v>
      </c>
      <c r="Q127" s="67">
        <v>26</v>
      </c>
      <c r="R127" s="164">
        <f t="shared" si="17"/>
        <v>2928765.0000000005</v>
      </c>
      <c r="S127" s="34">
        <f t="shared" si="18"/>
        <v>2928765.0000000005</v>
      </c>
      <c r="T127" s="108"/>
      <c r="U127" s="34">
        <f t="shared" si="23"/>
        <v>0</v>
      </c>
      <c r="V127" s="79"/>
      <c r="W127" s="34">
        <f t="shared" si="15"/>
        <v>0</v>
      </c>
      <c r="X127" s="34">
        <f t="shared" si="24"/>
        <v>58575.30000000001</v>
      </c>
      <c r="Y127" s="51">
        <f t="shared" si="19"/>
        <v>2987340.3000000003</v>
      </c>
      <c r="Z127" s="11" t="str">
        <f t="shared" si="20"/>
        <v>117</v>
      </c>
      <c r="AA127" s="301" t="s">
        <v>802</v>
      </c>
      <c r="AB127" s="171" t="s">
        <v>1161</v>
      </c>
      <c r="AC127" s="161"/>
    </row>
    <row r="128" spans="1:29" s="114" customFormat="1" ht="26.25" customHeight="1">
      <c r="A128" s="33" t="s">
        <v>606</v>
      </c>
      <c r="B128" s="37" t="s">
        <v>982</v>
      </c>
      <c r="C128" s="38" t="s">
        <v>883</v>
      </c>
      <c r="D128" s="38"/>
      <c r="E128" s="67" t="s">
        <v>126</v>
      </c>
      <c r="F128" s="80" t="s">
        <v>1328</v>
      </c>
      <c r="G128" s="10">
        <v>4.9800000000000004</v>
      </c>
      <c r="H128" s="163"/>
      <c r="I128" s="86">
        <f t="shared" si="13"/>
        <v>4.9800000000000004</v>
      </c>
      <c r="J128" s="86">
        <v>0</v>
      </c>
      <c r="K128" s="87">
        <f t="shared" si="21"/>
        <v>4.9800000000000004</v>
      </c>
      <c r="L128" s="34">
        <f t="shared" si="14"/>
        <v>5229000</v>
      </c>
      <c r="M128" s="191" t="s">
        <v>858</v>
      </c>
      <c r="N128" s="34">
        <f t="shared" si="22"/>
        <v>2614500</v>
      </c>
      <c r="O128" s="34">
        <f t="shared" si="16"/>
        <v>1050000</v>
      </c>
      <c r="P128" s="10">
        <v>26</v>
      </c>
      <c r="Q128" s="67">
        <v>26</v>
      </c>
      <c r="R128" s="164">
        <f t="shared" si="17"/>
        <v>2614500</v>
      </c>
      <c r="S128" s="34">
        <f t="shared" si="18"/>
        <v>2614500</v>
      </c>
      <c r="T128" s="108"/>
      <c r="U128" s="34">
        <f t="shared" si="23"/>
        <v>0</v>
      </c>
      <c r="V128" s="79"/>
      <c r="W128" s="34">
        <f t="shared" si="15"/>
        <v>0</v>
      </c>
      <c r="X128" s="34">
        <f t="shared" si="24"/>
        <v>52290.000000000007</v>
      </c>
      <c r="Y128" s="51">
        <f t="shared" si="19"/>
        <v>2666790</v>
      </c>
      <c r="Z128" s="11" t="str">
        <f t="shared" si="20"/>
        <v>118</v>
      </c>
      <c r="AA128" s="118" t="s">
        <v>803</v>
      </c>
      <c r="AB128" s="171" t="s">
        <v>1162</v>
      </c>
      <c r="AC128" s="161"/>
    </row>
    <row r="129" spans="1:31" s="114" customFormat="1" ht="19.5" customHeight="1">
      <c r="A129" s="33" t="s">
        <v>607</v>
      </c>
      <c r="B129" s="37" t="s">
        <v>983</v>
      </c>
      <c r="C129" s="38" t="s">
        <v>896</v>
      </c>
      <c r="D129" s="38"/>
      <c r="E129" s="67" t="s">
        <v>127</v>
      </c>
      <c r="F129" s="80" t="s">
        <v>1329</v>
      </c>
      <c r="G129" s="10">
        <v>4.9800000000000004</v>
      </c>
      <c r="H129" s="229">
        <v>7.0000000000000007E-2</v>
      </c>
      <c r="I129" s="86">
        <f t="shared" si="13"/>
        <v>5.3286000000000007</v>
      </c>
      <c r="J129" s="86"/>
      <c r="K129" s="87">
        <f t="shared" si="21"/>
        <v>5.3286000000000007</v>
      </c>
      <c r="L129" s="34">
        <f t="shared" si="14"/>
        <v>5595030.0000000009</v>
      </c>
      <c r="M129" s="191" t="s">
        <v>858</v>
      </c>
      <c r="N129" s="34">
        <f t="shared" si="22"/>
        <v>2797515.0000000005</v>
      </c>
      <c r="O129" s="34">
        <f t="shared" si="16"/>
        <v>1050000</v>
      </c>
      <c r="P129" s="10">
        <v>26</v>
      </c>
      <c r="Q129" s="67">
        <v>26</v>
      </c>
      <c r="R129" s="164">
        <f>IF(N129&gt;O129,N129,O129)</f>
        <v>2797515.0000000005</v>
      </c>
      <c r="S129" s="34">
        <f t="shared" si="18"/>
        <v>2797515.0000000005</v>
      </c>
      <c r="T129" s="108"/>
      <c r="U129" s="34">
        <f t="shared" si="23"/>
        <v>0</v>
      </c>
      <c r="V129" s="79"/>
      <c r="W129" s="34">
        <f t="shared" si="15"/>
        <v>0</v>
      </c>
      <c r="X129" s="34">
        <f t="shared" si="24"/>
        <v>55950.30000000001</v>
      </c>
      <c r="Y129" s="51">
        <f t="shared" si="19"/>
        <v>2853465.3000000003</v>
      </c>
      <c r="Z129" s="11" t="str">
        <f t="shared" si="20"/>
        <v>119</v>
      </c>
      <c r="AA129" s="301" t="s">
        <v>804</v>
      </c>
      <c r="AB129" s="171" t="s">
        <v>1163</v>
      </c>
      <c r="AC129" s="161"/>
    </row>
    <row r="130" spans="1:31" s="114" customFormat="1" ht="39.75" customHeight="1">
      <c r="A130" s="33" t="s">
        <v>608</v>
      </c>
      <c r="B130" s="37" t="s">
        <v>984</v>
      </c>
      <c r="C130" s="38" t="s">
        <v>874</v>
      </c>
      <c r="D130" s="38"/>
      <c r="E130" s="67" t="s">
        <v>128</v>
      </c>
      <c r="F130" s="80" t="s">
        <v>1330</v>
      </c>
      <c r="G130" s="10">
        <v>3.33</v>
      </c>
      <c r="H130" s="163"/>
      <c r="I130" s="86">
        <f t="shared" si="13"/>
        <v>3.33</v>
      </c>
      <c r="J130" s="86"/>
      <c r="K130" s="87">
        <f t="shared" si="21"/>
        <v>3.33</v>
      </c>
      <c r="L130" s="34">
        <f>K130*$H$7</f>
        <v>3496500</v>
      </c>
      <c r="M130" s="191" t="s">
        <v>525</v>
      </c>
      <c r="N130" s="34">
        <f t="shared" si="22"/>
        <v>1311187.5</v>
      </c>
      <c r="O130" s="34">
        <f>IF(M130="A",1050000,IF(M130="B",735000,IF(M130="C",514500,0)))</f>
        <v>735000</v>
      </c>
      <c r="P130" s="10">
        <v>26</v>
      </c>
      <c r="Q130" s="67">
        <v>26</v>
      </c>
      <c r="R130" s="164">
        <f>IF(N130&gt;O130,N130,O130)</f>
        <v>1311187.5</v>
      </c>
      <c r="S130" s="34">
        <f t="shared" si="18"/>
        <v>1311187.5</v>
      </c>
      <c r="T130" s="108"/>
      <c r="U130" s="34">
        <f t="shared" si="23"/>
        <v>0</v>
      </c>
      <c r="V130" s="79"/>
      <c r="W130" s="34">
        <f t="shared" si="15"/>
        <v>0</v>
      </c>
      <c r="X130" s="34">
        <f t="shared" si="24"/>
        <v>34965</v>
      </c>
      <c r="Y130" s="51">
        <f>(S130+U130+W130+X130)</f>
        <v>1346152.5</v>
      </c>
      <c r="Z130" s="11" t="str">
        <f t="shared" si="20"/>
        <v>120</v>
      </c>
      <c r="AA130" s="118" t="s">
        <v>825</v>
      </c>
      <c r="AB130" s="171" t="s">
        <v>1164</v>
      </c>
      <c r="AC130" s="161">
        <v>384615</v>
      </c>
      <c r="AD130" s="201">
        <f>AB130-AC130</f>
        <v>-384571</v>
      </c>
    </row>
    <row r="131" spans="1:31" s="114" customFormat="1" ht="27.75" customHeight="1">
      <c r="A131" s="33" t="s">
        <v>609</v>
      </c>
      <c r="B131" s="37" t="s">
        <v>985</v>
      </c>
      <c r="C131" s="38" t="s">
        <v>986</v>
      </c>
      <c r="D131" s="38"/>
      <c r="E131" s="67" t="s">
        <v>129</v>
      </c>
      <c r="F131" s="90" t="s">
        <v>1331</v>
      </c>
      <c r="G131" s="10">
        <v>3.33</v>
      </c>
      <c r="H131" s="163"/>
      <c r="I131" s="86">
        <f t="shared" si="13"/>
        <v>3.33</v>
      </c>
      <c r="J131" s="86">
        <v>0</v>
      </c>
      <c r="K131" s="87">
        <f t="shared" si="21"/>
        <v>3.33</v>
      </c>
      <c r="L131" s="34">
        <f t="shared" si="14"/>
        <v>3496500</v>
      </c>
      <c r="M131" s="191" t="s">
        <v>858</v>
      </c>
      <c r="N131" s="34">
        <f t="shared" si="22"/>
        <v>1748250</v>
      </c>
      <c r="O131" s="34">
        <f t="shared" si="16"/>
        <v>1050000</v>
      </c>
      <c r="P131" s="10">
        <v>26</v>
      </c>
      <c r="Q131" s="67">
        <v>26</v>
      </c>
      <c r="R131" s="164">
        <f t="shared" si="17"/>
        <v>1748250</v>
      </c>
      <c r="S131" s="34">
        <f t="shared" si="18"/>
        <v>1748250</v>
      </c>
      <c r="T131" s="108"/>
      <c r="U131" s="34">
        <f t="shared" si="23"/>
        <v>0</v>
      </c>
      <c r="V131" s="79"/>
      <c r="W131" s="34">
        <f t="shared" si="15"/>
        <v>0</v>
      </c>
      <c r="X131" s="34">
        <f t="shared" si="24"/>
        <v>34965</v>
      </c>
      <c r="Y131" s="51">
        <f t="shared" si="19"/>
        <v>1783215</v>
      </c>
      <c r="Z131" s="11" t="str">
        <f t="shared" si="20"/>
        <v>121</v>
      </c>
      <c r="AA131" s="301"/>
      <c r="AB131" s="171" t="s">
        <v>1165</v>
      </c>
      <c r="AC131" s="161" t="s">
        <v>772</v>
      </c>
      <c r="AD131" s="114" t="s">
        <v>773</v>
      </c>
      <c r="AE131" s="114" t="s">
        <v>774</v>
      </c>
    </row>
    <row r="132" spans="1:31" s="114" customFormat="1" ht="24.75" customHeight="1">
      <c r="A132" s="33" t="s">
        <v>610</v>
      </c>
      <c r="B132" s="37" t="s">
        <v>977</v>
      </c>
      <c r="C132" s="38" t="s">
        <v>987</v>
      </c>
      <c r="D132" s="38"/>
      <c r="E132" s="67" t="s">
        <v>130</v>
      </c>
      <c r="F132" s="80" t="s">
        <v>1332</v>
      </c>
      <c r="G132" s="10">
        <v>3.33</v>
      </c>
      <c r="H132" s="163"/>
      <c r="I132" s="86">
        <f t="shared" si="13"/>
        <v>3.33</v>
      </c>
      <c r="J132" s="86">
        <v>0</v>
      </c>
      <c r="K132" s="87">
        <f t="shared" si="21"/>
        <v>3.33</v>
      </c>
      <c r="L132" s="34">
        <f t="shared" si="14"/>
        <v>3496500</v>
      </c>
      <c r="M132" s="191" t="s">
        <v>858</v>
      </c>
      <c r="N132" s="34">
        <f t="shared" si="22"/>
        <v>1748250</v>
      </c>
      <c r="O132" s="34">
        <f t="shared" si="16"/>
        <v>1050000</v>
      </c>
      <c r="P132" s="10">
        <v>26</v>
      </c>
      <c r="Q132" s="67">
        <v>26</v>
      </c>
      <c r="R132" s="164">
        <f t="shared" si="17"/>
        <v>1748250</v>
      </c>
      <c r="S132" s="34">
        <f t="shared" si="18"/>
        <v>1748250</v>
      </c>
      <c r="T132" s="108"/>
      <c r="U132" s="34">
        <f t="shared" si="23"/>
        <v>0</v>
      </c>
      <c r="V132" s="79"/>
      <c r="W132" s="34">
        <f t="shared" si="15"/>
        <v>0</v>
      </c>
      <c r="X132" s="34">
        <f t="shared" si="24"/>
        <v>34965</v>
      </c>
      <c r="Y132" s="51">
        <f t="shared" si="19"/>
        <v>1783215</v>
      </c>
      <c r="Z132" s="11" t="str">
        <f t="shared" si="20"/>
        <v>122</v>
      </c>
      <c r="AA132" s="301" t="s">
        <v>804</v>
      </c>
      <c r="AB132" s="171" t="s">
        <v>1166</v>
      </c>
      <c r="AC132" s="161">
        <v>384615</v>
      </c>
      <c r="AD132" s="201">
        <v>384615</v>
      </c>
      <c r="AE132" s="201">
        <f>AB131-AC132-AD132</f>
        <v>-769185</v>
      </c>
    </row>
    <row r="133" spans="1:31" s="114" customFormat="1" ht="28.5" customHeight="1">
      <c r="A133" s="33" t="s">
        <v>611</v>
      </c>
      <c r="B133" s="37" t="s">
        <v>988</v>
      </c>
      <c r="C133" s="38" t="s">
        <v>967</v>
      </c>
      <c r="D133" s="38"/>
      <c r="E133" s="67" t="s">
        <v>131</v>
      </c>
      <c r="F133" s="80" t="s">
        <v>1333</v>
      </c>
      <c r="G133" s="10">
        <v>2.67</v>
      </c>
      <c r="H133" s="163"/>
      <c r="I133" s="86">
        <f t="shared" si="13"/>
        <v>2.67</v>
      </c>
      <c r="J133" s="86">
        <v>0</v>
      </c>
      <c r="K133" s="87">
        <f t="shared" si="21"/>
        <v>2.67</v>
      </c>
      <c r="L133" s="34">
        <f t="shared" si="14"/>
        <v>2803500</v>
      </c>
      <c r="M133" s="191" t="s">
        <v>858</v>
      </c>
      <c r="N133" s="34">
        <f t="shared" si="22"/>
        <v>1401750</v>
      </c>
      <c r="O133" s="34">
        <f t="shared" si="16"/>
        <v>1050000</v>
      </c>
      <c r="P133" s="10">
        <v>26</v>
      </c>
      <c r="Q133" s="67">
        <v>26</v>
      </c>
      <c r="R133" s="164">
        <f t="shared" si="17"/>
        <v>1401750</v>
      </c>
      <c r="S133" s="34">
        <f t="shared" si="18"/>
        <v>1401750</v>
      </c>
      <c r="T133" s="108"/>
      <c r="U133" s="34">
        <f t="shared" si="23"/>
        <v>0</v>
      </c>
      <c r="V133" s="79"/>
      <c r="W133" s="34">
        <f t="shared" si="15"/>
        <v>0</v>
      </c>
      <c r="X133" s="34">
        <f t="shared" si="24"/>
        <v>28035</v>
      </c>
      <c r="Y133" s="51">
        <f t="shared" si="19"/>
        <v>1429785</v>
      </c>
      <c r="Z133" s="11" t="str">
        <f t="shared" si="20"/>
        <v>123</v>
      </c>
      <c r="AA133" s="301" t="s">
        <v>804</v>
      </c>
      <c r="AB133" s="171" t="s">
        <v>409</v>
      </c>
      <c r="AC133" s="161"/>
    </row>
    <row r="134" spans="1:31" s="114" customFormat="1" ht="21" customHeight="1">
      <c r="A134" s="33" t="s">
        <v>612</v>
      </c>
      <c r="B134" s="37" t="s">
        <v>1202</v>
      </c>
      <c r="C134" s="38" t="s">
        <v>1200</v>
      </c>
      <c r="D134" s="38"/>
      <c r="E134" s="67" t="s">
        <v>133</v>
      </c>
      <c r="F134" s="80" t="s">
        <v>1335</v>
      </c>
      <c r="G134" s="10">
        <v>3.66</v>
      </c>
      <c r="H134" s="163"/>
      <c r="I134" s="86">
        <f t="shared" si="13"/>
        <v>3.66</v>
      </c>
      <c r="J134" s="86">
        <v>0</v>
      </c>
      <c r="K134" s="87">
        <f t="shared" si="21"/>
        <v>3.66</v>
      </c>
      <c r="L134" s="34">
        <f t="shared" si="14"/>
        <v>3843000</v>
      </c>
      <c r="M134" s="191" t="s">
        <v>858</v>
      </c>
      <c r="N134" s="34">
        <f t="shared" si="22"/>
        <v>1921500</v>
      </c>
      <c r="O134" s="34">
        <f t="shared" si="16"/>
        <v>1050000</v>
      </c>
      <c r="P134" s="10">
        <v>26</v>
      </c>
      <c r="Q134" s="67">
        <v>26</v>
      </c>
      <c r="R134" s="164">
        <f>IF(N134&gt;O134,N134,O134)</f>
        <v>1921500</v>
      </c>
      <c r="S134" s="34">
        <f t="shared" si="18"/>
        <v>1921500</v>
      </c>
      <c r="T134" s="108"/>
      <c r="U134" s="34">
        <f t="shared" si="23"/>
        <v>0</v>
      </c>
      <c r="V134" s="79"/>
      <c r="W134" s="34">
        <f t="shared" si="15"/>
        <v>0</v>
      </c>
      <c r="X134" s="34">
        <f t="shared" si="24"/>
        <v>38430</v>
      </c>
      <c r="Y134" s="51">
        <f t="shared" si="19"/>
        <v>1959930</v>
      </c>
      <c r="Z134" s="11" t="str">
        <f t="shared" si="20"/>
        <v>124</v>
      </c>
      <c r="AA134" s="301" t="s">
        <v>804</v>
      </c>
      <c r="AB134" s="171" t="s">
        <v>410</v>
      </c>
      <c r="AC134" s="161"/>
    </row>
    <row r="135" spans="1:31" s="114" customFormat="1" ht="22.5" customHeight="1">
      <c r="A135" s="33" t="s">
        <v>613</v>
      </c>
      <c r="B135" s="37" t="s">
        <v>449</v>
      </c>
      <c r="C135" s="38" t="s">
        <v>448</v>
      </c>
      <c r="D135" s="38"/>
      <c r="E135" s="67" t="s">
        <v>450</v>
      </c>
      <c r="F135" s="80" t="s">
        <v>504</v>
      </c>
      <c r="G135" s="10">
        <f>2.67</f>
        <v>2.67</v>
      </c>
      <c r="H135" s="163"/>
      <c r="I135" s="86">
        <f t="shared" si="13"/>
        <v>2.67</v>
      </c>
      <c r="J135" s="86">
        <v>0.2</v>
      </c>
      <c r="K135" s="87">
        <f t="shared" si="21"/>
        <v>2.87</v>
      </c>
      <c r="L135" s="34">
        <f t="shared" si="14"/>
        <v>3013500</v>
      </c>
      <c r="M135" s="191" t="s">
        <v>858</v>
      </c>
      <c r="N135" s="34">
        <f t="shared" si="22"/>
        <v>1506750</v>
      </c>
      <c r="O135" s="34">
        <f t="shared" si="16"/>
        <v>1050000</v>
      </c>
      <c r="P135" s="10">
        <v>26</v>
      </c>
      <c r="Q135" s="67">
        <v>26</v>
      </c>
      <c r="R135" s="164">
        <f t="shared" si="17"/>
        <v>1506750</v>
      </c>
      <c r="S135" s="34">
        <f t="shared" si="18"/>
        <v>1506750</v>
      </c>
      <c r="T135" s="108"/>
      <c r="U135" s="34">
        <f t="shared" si="23"/>
        <v>0</v>
      </c>
      <c r="V135" s="79"/>
      <c r="W135" s="34">
        <f t="shared" si="15"/>
        <v>0</v>
      </c>
      <c r="X135" s="34">
        <f t="shared" si="24"/>
        <v>30135.000000000004</v>
      </c>
      <c r="Y135" s="51">
        <f t="shared" si="19"/>
        <v>1536885</v>
      </c>
      <c r="Z135" s="11" t="str">
        <f t="shared" si="20"/>
        <v>125</v>
      </c>
      <c r="AA135" s="301" t="s">
        <v>803</v>
      </c>
      <c r="AB135" s="171" t="s">
        <v>411</v>
      </c>
      <c r="AC135" s="161"/>
    </row>
    <row r="136" spans="1:31" s="114" customFormat="1" ht="22.5" customHeight="1">
      <c r="A136" s="33" t="s">
        <v>614</v>
      </c>
      <c r="B136" s="37" t="s">
        <v>1010</v>
      </c>
      <c r="C136" s="38" t="s">
        <v>1011</v>
      </c>
      <c r="D136" s="38" t="s">
        <v>548</v>
      </c>
      <c r="E136" s="67" t="s">
        <v>134</v>
      </c>
      <c r="F136" s="80" t="s">
        <v>1336</v>
      </c>
      <c r="G136" s="10">
        <v>5.0199999999999996</v>
      </c>
      <c r="H136" s="163"/>
      <c r="I136" s="86">
        <f t="shared" si="13"/>
        <v>5.0199999999999996</v>
      </c>
      <c r="J136" s="86">
        <v>0.45</v>
      </c>
      <c r="K136" s="87">
        <f t="shared" si="21"/>
        <v>5.47</v>
      </c>
      <c r="L136" s="34">
        <f t="shared" si="14"/>
        <v>5743500</v>
      </c>
      <c r="M136" s="191" t="s">
        <v>858</v>
      </c>
      <c r="N136" s="34">
        <f t="shared" si="22"/>
        <v>2871750</v>
      </c>
      <c r="O136" s="34">
        <f t="shared" si="16"/>
        <v>1050000</v>
      </c>
      <c r="P136" s="10">
        <v>26</v>
      </c>
      <c r="Q136" s="67">
        <v>26</v>
      </c>
      <c r="R136" s="164">
        <f t="shared" si="17"/>
        <v>2871750</v>
      </c>
      <c r="S136" s="34">
        <f t="shared" si="18"/>
        <v>2871750</v>
      </c>
      <c r="T136" s="108"/>
      <c r="U136" s="34">
        <f t="shared" si="23"/>
        <v>0</v>
      </c>
      <c r="V136" s="79"/>
      <c r="W136" s="34">
        <f t="shared" si="15"/>
        <v>0</v>
      </c>
      <c r="X136" s="34">
        <f t="shared" si="24"/>
        <v>57435</v>
      </c>
      <c r="Y136" s="51">
        <f t="shared" si="19"/>
        <v>2929185</v>
      </c>
      <c r="Z136" s="11" t="str">
        <f t="shared" si="20"/>
        <v>126</v>
      </c>
      <c r="AA136" s="118"/>
      <c r="AB136" s="171" t="s">
        <v>812</v>
      </c>
      <c r="AC136" s="161"/>
    </row>
    <row r="137" spans="1:31" s="114" customFormat="1" ht="20.25" customHeight="1">
      <c r="A137" s="33" t="s">
        <v>615</v>
      </c>
      <c r="B137" s="37" t="s">
        <v>1012</v>
      </c>
      <c r="C137" s="38" t="s">
        <v>1013</v>
      </c>
      <c r="D137" s="38"/>
      <c r="E137" s="67" t="s">
        <v>135</v>
      </c>
      <c r="F137" s="80" t="s">
        <v>1337</v>
      </c>
      <c r="G137" s="10">
        <v>3.33</v>
      </c>
      <c r="H137" s="163"/>
      <c r="I137" s="86">
        <f t="shared" si="13"/>
        <v>3.33</v>
      </c>
      <c r="J137" s="86">
        <v>0.35</v>
      </c>
      <c r="K137" s="87">
        <f t="shared" si="21"/>
        <v>3.68</v>
      </c>
      <c r="L137" s="34">
        <f t="shared" si="14"/>
        <v>3864000</v>
      </c>
      <c r="M137" s="191" t="s">
        <v>858</v>
      </c>
      <c r="N137" s="34">
        <f t="shared" si="22"/>
        <v>1932000</v>
      </c>
      <c r="O137" s="34">
        <f t="shared" si="16"/>
        <v>1050000</v>
      </c>
      <c r="P137" s="10">
        <v>26</v>
      </c>
      <c r="Q137" s="67">
        <v>26</v>
      </c>
      <c r="R137" s="164">
        <f t="shared" si="17"/>
        <v>1932000</v>
      </c>
      <c r="S137" s="34">
        <f t="shared" si="18"/>
        <v>1932000</v>
      </c>
      <c r="T137" s="108"/>
      <c r="U137" s="34">
        <f t="shared" si="23"/>
        <v>0</v>
      </c>
      <c r="V137" s="79"/>
      <c r="W137" s="34">
        <f t="shared" si="15"/>
        <v>0</v>
      </c>
      <c r="X137" s="34">
        <f t="shared" si="24"/>
        <v>38640</v>
      </c>
      <c r="Y137" s="51">
        <f t="shared" si="19"/>
        <v>1970640</v>
      </c>
      <c r="Z137" s="11" t="str">
        <f t="shared" si="20"/>
        <v>127</v>
      </c>
      <c r="AA137" s="132"/>
      <c r="AB137" s="171" t="s">
        <v>813</v>
      </c>
      <c r="AC137" s="161"/>
    </row>
    <row r="138" spans="1:31" s="114" customFormat="1" ht="21.75" customHeight="1">
      <c r="A138" s="33" t="s">
        <v>616</v>
      </c>
      <c r="B138" s="37" t="s">
        <v>1014</v>
      </c>
      <c r="C138" s="38" t="s">
        <v>874</v>
      </c>
      <c r="D138" s="38"/>
      <c r="E138" s="67" t="s">
        <v>136</v>
      </c>
      <c r="F138" s="80" t="s">
        <v>1338</v>
      </c>
      <c r="G138" s="10">
        <v>3</v>
      </c>
      <c r="H138" s="163"/>
      <c r="I138" s="86">
        <f t="shared" si="13"/>
        <v>3</v>
      </c>
      <c r="J138" s="86">
        <v>0.25</v>
      </c>
      <c r="K138" s="87">
        <f t="shared" si="21"/>
        <v>3.25</v>
      </c>
      <c r="L138" s="34">
        <f t="shared" si="14"/>
        <v>3412500</v>
      </c>
      <c r="M138" s="191" t="s">
        <v>858</v>
      </c>
      <c r="N138" s="34">
        <f t="shared" si="22"/>
        <v>1706250</v>
      </c>
      <c r="O138" s="34">
        <f t="shared" si="16"/>
        <v>1050000</v>
      </c>
      <c r="P138" s="10">
        <v>26</v>
      </c>
      <c r="Q138" s="67">
        <v>26</v>
      </c>
      <c r="R138" s="164">
        <f t="shared" si="17"/>
        <v>1706250</v>
      </c>
      <c r="S138" s="34">
        <f t="shared" si="18"/>
        <v>1706250</v>
      </c>
      <c r="T138" s="108"/>
      <c r="U138" s="34">
        <f t="shared" si="23"/>
        <v>0</v>
      </c>
      <c r="V138" s="79"/>
      <c r="W138" s="34">
        <f t="shared" si="15"/>
        <v>0</v>
      </c>
      <c r="X138" s="34">
        <f t="shared" si="24"/>
        <v>34125</v>
      </c>
      <c r="Y138" s="51">
        <f t="shared" si="19"/>
        <v>1740375</v>
      </c>
      <c r="Z138" s="11" t="str">
        <f t="shared" si="20"/>
        <v>128</v>
      </c>
      <c r="AA138" s="132"/>
      <c r="AB138" s="171" t="s">
        <v>814</v>
      </c>
      <c r="AC138" s="161"/>
    </row>
    <row r="139" spans="1:31" s="114" customFormat="1" ht="22.5" customHeight="1">
      <c r="A139" s="33" t="s">
        <v>617</v>
      </c>
      <c r="B139" s="37" t="s">
        <v>1015</v>
      </c>
      <c r="C139" s="38" t="s">
        <v>920</v>
      </c>
      <c r="D139" s="38"/>
      <c r="E139" s="67" t="s">
        <v>137</v>
      </c>
      <c r="F139" s="80" t="s">
        <v>1339</v>
      </c>
      <c r="G139" s="10">
        <v>3</v>
      </c>
      <c r="H139" s="163"/>
      <c r="I139" s="86">
        <f t="shared" ref="I139:I202" si="25">G139+(G139*H139)</f>
        <v>3</v>
      </c>
      <c r="J139" s="86">
        <v>0</v>
      </c>
      <c r="K139" s="87">
        <f t="shared" si="21"/>
        <v>3</v>
      </c>
      <c r="L139" s="34">
        <f t="shared" ref="L139:L202" si="26">K139*$H$7</f>
        <v>3150000</v>
      </c>
      <c r="M139" s="191" t="s">
        <v>858</v>
      </c>
      <c r="N139" s="34">
        <f t="shared" si="22"/>
        <v>1575000</v>
      </c>
      <c r="O139" s="34">
        <f t="shared" si="16"/>
        <v>1050000</v>
      </c>
      <c r="P139" s="10">
        <v>26</v>
      </c>
      <c r="Q139" s="67">
        <v>26</v>
      </c>
      <c r="R139" s="164">
        <f t="shared" si="17"/>
        <v>1575000</v>
      </c>
      <c r="S139" s="34">
        <f t="shared" si="18"/>
        <v>1575000</v>
      </c>
      <c r="T139" s="108"/>
      <c r="U139" s="34">
        <f t="shared" si="23"/>
        <v>0</v>
      </c>
      <c r="V139" s="79"/>
      <c r="W139" s="34">
        <f t="shared" ref="W139:W202" si="27">V139*$H$7*0.5</f>
        <v>0</v>
      </c>
      <c r="X139" s="34">
        <f t="shared" si="24"/>
        <v>31500</v>
      </c>
      <c r="Y139" s="51">
        <f t="shared" si="19"/>
        <v>1606500</v>
      </c>
      <c r="Z139" s="11" t="str">
        <f t="shared" si="20"/>
        <v>129</v>
      </c>
      <c r="AA139" s="132"/>
      <c r="AB139" s="171" t="s">
        <v>815</v>
      </c>
      <c r="AC139" s="161"/>
    </row>
    <row r="140" spans="1:31" s="114" customFormat="1" ht="32.25" customHeight="1">
      <c r="A140" s="33" t="s">
        <v>618</v>
      </c>
      <c r="B140" s="37" t="s">
        <v>1101</v>
      </c>
      <c r="C140" s="38" t="s">
        <v>1016</v>
      </c>
      <c r="D140" s="38"/>
      <c r="E140" s="67" t="s">
        <v>138</v>
      </c>
      <c r="F140" s="80" t="s">
        <v>1340</v>
      </c>
      <c r="G140" s="10">
        <v>3</v>
      </c>
      <c r="H140" s="163"/>
      <c r="I140" s="86">
        <f t="shared" si="25"/>
        <v>3</v>
      </c>
      <c r="J140" s="86">
        <v>0</v>
      </c>
      <c r="K140" s="87">
        <f t="shared" si="21"/>
        <v>3</v>
      </c>
      <c r="L140" s="34">
        <f t="shared" si="26"/>
        <v>3150000</v>
      </c>
      <c r="M140" s="191" t="s">
        <v>858</v>
      </c>
      <c r="N140" s="34">
        <f t="shared" si="22"/>
        <v>1575000</v>
      </c>
      <c r="O140" s="34">
        <f t="shared" ref="O140:O203" si="28">IF(M140="A",1050000,IF(M140="B",735000,IF(M140="C",514500,0)))</f>
        <v>1050000</v>
      </c>
      <c r="P140" s="10">
        <v>26</v>
      </c>
      <c r="Q140" s="67">
        <v>26</v>
      </c>
      <c r="R140" s="164">
        <f t="shared" si="17"/>
        <v>1575000</v>
      </c>
      <c r="S140" s="34">
        <f t="shared" ref="S140:S203" si="29">IF(Q140&gt;=P140,R140,R140/P140*Q140)</f>
        <v>1575000</v>
      </c>
      <c r="T140" s="108"/>
      <c r="U140" s="34">
        <f t="shared" si="23"/>
        <v>0</v>
      </c>
      <c r="V140" s="79"/>
      <c r="W140" s="34">
        <f t="shared" si="27"/>
        <v>0</v>
      </c>
      <c r="X140" s="34">
        <f t="shared" si="24"/>
        <v>31500</v>
      </c>
      <c r="Y140" s="51">
        <f t="shared" si="19"/>
        <v>1606500</v>
      </c>
      <c r="Z140" s="11" t="str">
        <f t="shared" ref="Z140:Z204" si="30">A140</f>
        <v>130</v>
      </c>
      <c r="AA140" s="132"/>
      <c r="AB140" s="171" t="s">
        <v>816</v>
      </c>
      <c r="AC140" s="161"/>
    </row>
    <row r="141" spans="1:31" s="114" customFormat="1" ht="23.25" customHeight="1">
      <c r="A141" s="33" t="s">
        <v>619</v>
      </c>
      <c r="B141" s="37" t="s">
        <v>1017</v>
      </c>
      <c r="C141" s="38" t="s">
        <v>947</v>
      </c>
      <c r="D141" s="38"/>
      <c r="E141" s="67" t="s">
        <v>139</v>
      </c>
      <c r="F141" s="80" t="s">
        <v>1341</v>
      </c>
      <c r="G141" s="10">
        <v>2.67</v>
      </c>
      <c r="H141" s="163"/>
      <c r="I141" s="86">
        <f t="shared" si="25"/>
        <v>2.67</v>
      </c>
      <c r="J141" s="86">
        <v>0</v>
      </c>
      <c r="K141" s="87">
        <f t="shared" ref="K141:K203" si="31">I141+J141</f>
        <v>2.67</v>
      </c>
      <c r="L141" s="34">
        <f t="shared" si="26"/>
        <v>2803500</v>
      </c>
      <c r="M141" s="191" t="s">
        <v>858</v>
      </c>
      <c r="N141" s="34">
        <f t="shared" ref="N141:N204" si="32">IF(M141="A",L141*0.5,IF(M141="B",L141*0.5*0.75,IF(M141="C",L141*0.5*0.75*0.75,0)))</f>
        <v>1401750</v>
      </c>
      <c r="O141" s="34">
        <f t="shared" si="28"/>
        <v>1050000</v>
      </c>
      <c r="P141" s="10">
        <v>26</v>
      </c>
      <c r="Q141" s="67">
        <v>26</v>
      </c>
      <c r="R141" s="164">
        <f t="shared" si="17"/>
        <v>1401750</v>
      </c>
      <c r="S141" s="34">
        <f t="shared" si="29"/>
        <v>1401750</v>
      </c>
      <c r="T141" s="108"/>
      <c r="U141" s="34">
        <f t="shared" ref="U141:U204" si="33">T141*$H$7*0.5</f>
        <v>0</v>
      </c>
      <c r="V141" s="79"/>
      <c r="W141" s="34">
        <f t="shared" si="27"/>
        <v>0</v>
      </c>
      <c r="X141" s="34">
        <f t="shared" si="24"/>
        <v>28035</v>
      </c>
      <c r="Y141" s="51">
        <f t="shared" si="19"/>
        <v>1429785</v>
      </c>
      <c r="Z141" s="11" t="str">
        <f t="shared" si="30"/>
        <v>131</v>
      </c>
      <c r="AA141" s="132"/>
      <c r="AB141" s="171" t="s">
        <v>817</v>
      </c>
      <c r="AC141" s="161"/>
    </row>
    <row r="142" spans="1:31" s="114" customFormat="1" ht="20.25" customHeight="1">
      <c r="A142" s="33" t="s">
        <v>620</v>
      </c>
      <c r="B142" s="37" t="s">
        <v>1018</v>
      </c>
      <c r="C142" s="38" t="s">
        <v>1019</v>
      </c>
      <c r="D142" s="38"/>
      <c r="E142" s="67" t="s">
        <v>140</v>
      </c>
      <c r="F142" s="80" t="s">
        <v>1342</v>
      </c>
      <c r="G142" s="10">
        <v>2.67</v>
      </c>
      <c r="H142" s="163"/>
      <c r="I142" s="86">
        <f t="shared" si="25"/>
        <v>2.67</v>
      </c>
      <c r="J142" s="86">
        <v>0.25</v>
      </c>
      <c r="K142" s="87">
        <f t="shared" si="31"/>
        <v>2.92</v>
      </c>
      <c r="L142" s="34">
        <f t="shared" si="26"/>
        <v>3066000</v>
      </c>
      <c r="M142" s="191" t="s">
        <v>858</v>
      </c>
      <c r="N142" s="34">
        <f t="shared" si="32"/>
        <v>1533000</v>
      </c>
      <c r="O142" s="34">
        <f t="shared" si="28"/>
        <v>1050000</v>
      </c>
      <c r="P142" s="10">
        <v>26</v>
      </c>
      <c r="Q142" s="67">
        <v>26</v>
      </c>
      <c r="R142" s="164">
        <f t="shared" si="17"/>
        <v>1533000</v>
      </c>
      <c r="S142" s="34">
        <f t="shared" si="29"/>
        <v>1533000</v>
      </c>
      <c r="T142" s="108"/>
      <c r="U142" s="34">
        <f t="shared" si="33"/>
        <v>0</v>
      </c>
      <c r="V142" s="79"/>
      <c r="W142" s="34">
        <f t="shared" si="27"/>
        <v>0</v>
      </c>
      <c r="X142" s="34">
        <f t="shared" si="24"/>
        <v>30660</v>
      </c>
      <c r="Y142" s="51">
        <f t="shared" si="19"/>
        <v>1563660</v>
      </c>
      <c r="Z142" s="11" t="str">
        <f t="shared" si="30"/>
        <v>132</v>
      </c>
      <c r="AA142" s="132"/>
      <c r="AB142" s="171" t="s">
        <v>818</v>
      </c>
      <c r="AC142" s="161"/>
    </row>
    <row r="143" spans="1:31" s="114" customFormat="1" ht="19.5" customHeight="1">
      <c r="A143" s="33" t="s">
        <v>621</v>
      </c>
      <c r="B143" s="37" t="s">
        <v>1022</v>
      </c>
      <c r="C143" s="38" t="s">
        <v>1023</v>
      </c>
      <c r="D143" s="38"/>
      <c r="E143" s="67" t="s">
        <v>142</v>
      </c>
      <c r="F143" s="80" t="s">
        <v>1344</v>
      </c>
      <c r="G143" s="10">
        <v>2.67</v>
      </c>
      <c r="H143" s="163"/>
      <c r="I143" s="86">
        <f t="shared" si="25"/>
        <v>2.67</v>
      </c>
      <c r="J143" s="86">
        <v>0.25</v>
      </c>
      <c r="K143" s="87">
        <f t="shared" si="31"/>
        <v>2.92</v>
      </c>
      <c r="L143" s="34">
        <f t="shared" si="26"/>
        <v>3066000</v>
      </c>
      <c r="M143" s="191" t="s">
        <v>858</v>
      </c>
      <c r="N143" s="34">
        <f t="shared" si="32"/>
        <v>1533000</v>
      </c>
      <c r="O143" s="34">
        <f t="shared" si="28"/>
        <v>1050000</v>
      </c>
      <c r="P143" s="10">
        <v>26</v>
      </c>
      <c r="Q143" s="67">
        <v>26</v>
      </c>
      <c r="R143" s="164">
        <f t="shared" ref="R143:R211" si="34">IF(N143&gt;O143,N143,O143)</f>
        <v>1533000</v>
      </c>
      <c r="S143" s="34">
        <f t="shared" si="29"/>
        <v>1533000</v>
      </c>
      <c r="T143" s="108"/>
      <c r="U143" s="34">
        <f t="shared" si="33"/>
        <v>0</v>
      </c>
      <c r="V143" s="79"/>
      <c r="W143" s="34">
        <f t="shared" si="27"/>
        <v>0</v>
      </c>
      <c r="X143" s="34">
        <f t="shared" si="24"/>
        <v>30660</v>
      </c>
      <c r="Y143" s="51">
        <f t="shared" ref="Y143:Y212" si="35">(S143+U143+W143+X143)</f>
        <v>1563660</v>
      </c>
      <c r="Z143" s="11" t="str">
        <f t="shared" si="30"/>
        <v>133</v>
      </c>
      <c r="AA143" s="132"/>
      <c r="AB143" s="171" t="s">
        <v>819</v>
      </c>
      <c r="AC143" s="161"/>
    </row>
    <row r="144" spans="1:31" s="114" customFormat="1" ht="19.5" customHeight="1">
      <c r="A144" s="33" t="s">
        <v>622</v>
      </c>
      <c r="B144" s="37" t="s">
        <v>1228</v>
      </c>
      <c r="C144" s="38" t="s">
        <v>891</v>
      </c>
      <c r="D144" s="38"/>
      <c r="E144" s="67" t="s">
        <v>145</v>
      </c>
      <c r="F144" s="80" t="s">
        <v>1347</v>
      </c>
      <c r="G144" s="10">
        <v>2.67</v>
      </c>
      <c r="H144" s="163"/>
      <c r="I144" s="86">
        <f t="shared" si="25"/>
        <v>2.67</v>
      </c>
      <c r="J144" s="86"/>
      <c r="K144" s="87">
        <f t="shared" si="31"/>
        <v>2.67</v>
      </c>
      <c r="L144" s="34">
        <f t="shared" si="26"/>
        <v>2803500</v>
      </c>
      <c r="M144" s="191" t="s">
        <v>858</v>
      </c>
      <c r="N144" s="34">
        <f t="shared" si="32"/>
        <v>1401750</v>
      </c>
      <c r="O144" s="34">
        <f t="shared" si="28"/>
        <v>1050000</v>
      </c>
      <c r="P144" s="10">
        <v>26</v>
      </c>
      <c r="Q144" s="67">
        <v>26</v>
      </c>
      <c r="R144" s="164">
        <f t="shared" si="34"/>
        <v>1401750</v>
      </c>
      <c r="S144" s="34">
        <f t="shared" si="29"/>
        <v>1401750</v>
      </c>
      <c r="T144" s="108"/>
      <c r="U144" s="34">
        <f t="shared" si="33"/>
        <v>0</v>
      </c>
      <c r="V144" s="79"/>
      <c r="W144" s="34">
        <f t="shared" si="27"/>
        <v>0</v>
      </c>
      <c r="X144" s="34">
        <f t="shared" si="24"/>
        <v>28035</v>
      </c>
      <c r="Y144" s="51">
        <f t="shared" si="35"/>
        <v>1429785</v>
      </c>
      <c r="Z144" s="11" t="str">
        <f t="shared" si="30"/>
        <v>134</v>
      </c>
      <c r="AA144" s="118"/>
      <c r="AB144" s="171" t="s">
        <v>820</v>
      </c>
      <c r="AC144" s="161"/>
    </row>
    <row r="145" spans="1:29" s="114" customFormat="1" ht="20.25" customHeight="1">
      <c r="A145" s="33" t="s">
        <v>623</v>
      </c>
      <c r="B145" s="37" t="s">
        <v>1229</v>
      </c>
      <c r="C145" s="38" t="s">
        <v>1208</v>
      </c>
      <c r="D145" s="38"/>
      <c r="E145" s="67" t="s">
        <v>146</v>
      </c>
      <c r="F145" s="80" t="s">
        <v>1348</v>
      </c>
      <c r="G145" s="10">
        <v>2.67</v>
      </c>
      <c r="H145" s="163"/>
      <c r="I145" s="86">
        <f t="shared" si="25"/>
        <v>2.67</v>
      </c>
      <c r="J145" s="86"/>
      <c r="K145" s="87">
        <f t="shared" si="31"/>
        <v>2.67</v>
      </c>
      <c r="L145" s="34">
        <f t="shared" si="26"/>
        <v>2803500</v>
      </c>
      <c r="M145" s="191" t="s">
        <v>858</v>
      </c>
      <c r="N145" s="34">
        <f t="shared" si="32"/>
        <v>1401750</v>
      </c>
      <c r="O145" s="34">
        <f t="shared" si="28"/>
        <v>1050000</v>
      </c>
      <c r="P145" s="10">
        <v>26</v>
      </c>
      <c r="Q145" s="303">
        <v>25.5</v>
      </c>
      <c r="R145" s="164">
        <f t="shared" si="34"/>
        <v>1401750</v>
      </c>
      <c r="S145" s="34">
        <f t="shared" si="29"/>
        <v>1374793.2692307692</v>
      </c>
      <c r="T145" s="108"/>
      <c r="U145" s="34">
        <f t="shared" si="33"/>
        <v>0</v>
      </c>
      <c r="V145" s="79"/>
      <c r="W145" s="34">
        <f t="shared" si="27"/>
        <v>0</v>
      </c>
      <c r="X145" s="34">
        <f t="shared" si="24"/>
        <v>28035</v>
      </c>
      <c r="Y145" s="51">
        <f t="shared" si="35"/>
        <v>1402828.2692307692</v>
      </c>
      <c r="Z145" s="11" t="str">
        <f t="shared" si="30"/>
        <v>135</v>
      </c>
      <c r="AA145" s="132"/>
      <c r="AB145" s="171" t="s">
        <v>1119</v>
      </c>
      <c r="AC145" s="353" t="s">
        <v>831</v>
      </c>
    </row>
    <row r="146" spans="1:29" s="114" customFormat="1" ht="20.25" customHeight="1">
      <c r="A146" s="33" t="s">
        <v>624</v>
      </c>
      <c r="B146" s="37" t="s">
        <v>890</v>
      </c>
      <c r="C146" s="38" t="s">
        <v>867</v>
      </c>
      <c r="D146" s="38"/>
      <c r="E146" s="67" t="s">
        <v>147</v>
      </c>
      <c r="F146" s="80" t="s">
        <v>1349</v>
      </c>
      <c r="G146" s="10">
        <v>2.67</v>
      </c>
      <c r="H146" s="163"/>
      <c r="I146" s="86">
        <f t="shared" si="25"/>
        <v>2.67</v>
      </c>
      <c r="J146" s="86">
        <v>0.25</v>
      </c>
      <c r="K146" s="87">
        <f t="shared" si="31"/>
        <v>2.92</v>
      </c>
      <c r="L146" s="34">
        <f t="shared" si="26"/>
        <v>3066000</v>
      </c>
      <c r="M146" s="191" t="s">
        <v>858</v>
      </c>
      <c r="N146" s="34">
        <f t="shared" si="32"/>
        <v>1533000</v>
      </c>
      <c r="O146" s="34">
        <f t="shared" si="28"/>
        <v>1050000</v>
      </c>
      <c r="P146" s="10">
        <v>26</v>
      </c>
      <c r="Q146" s="67">
        <v>26</v>
      </c>
      <c r="R146" s="164">
        <f t="shared" si="34"/>
        <v>1533000</v>
      </c>
      <c r="S146" s="34">
        <f t="shared" si="29"/>
        <v>1533000</v>
      </c>
      <c r="T146" s="108"/>
      <c r="U146" s="34">
        <f t="shared" si="33"/>
        <v>0</v>
      </c>
      <c r="V146" s="79"/>
      <c r="W146" s="34">
        <f t="shared" si="27"/>
        <v>0</v>
      </c>
      <c r="X146" s="34">
        <f t="shared" si="24"/>
        <v>30660</v>
      </c>
      <c r="Y146" s="51">
        <f t="shared" si="35"/>
        <v>1563660</v>
      </c>
      <c r="Z146" s="11" t="str">
        <f t="shared" si="30"/>
        <v>136</v>
      </c>
      <c r="AA146" s="118"/>
      <c r="AB146" s="171" t="s">
        <v>1120</v>
      </c>
      <c r="AC146" s="161"/>
    </row>
    <row r="147" spans="1:29" s="114" customFormat="1" ht="21.75" customHeight="1">
      <c r="A147" s="33" t="s">
        <v>625</v>
      </c>
      <c r="B147" s="37" t="s">
        <v>1230</v>
      </c>
      <c r="C147" s="38" t="s">
        <v>1209</v>
      </c>
      <c r="D147" s="38"/>
      <c r="E147" s="67" t="s">
        <v>148</v>
      </c>
      <c r="F147" s="80" t="s">
        <v>1350</v>
      </c>
      <c r="G147" s="10">
        <v>2.67</v>
      </c>
      <c r="H147" s="163"/>
      <c r="I147" s="86">
        <f t="shared" si="25"/>
        <v>2.67</v>
      </c>
      <c r="J147" s="86"/>
      <c r="K147" s="87">
        <f t="shared" si="31"/>
        <v>2.67</v>
      </c>
      <c r="L147" s="34">
        <f t="shared" si="26"/>
        <v>2803500</v>
      </c>
      <c r="M147" s="191" t="s">
        <v>858</v>
      </c>
      <c r="N147" s="34">
        <f t="shared" si="32"/>
        <v>1401750</v>
      </c>
      <c r="O147" s="34">
        <f t="shared" si="28"/>
        <v>1050000</v>
      </c>
      <c r="P147" s="10">
        <v>26</v>
      </c>
      <c r="Q147" s="67">
        <v>26</v>
      </c>
      <c r="R147" s="164">
        <f t="shared" si="34"/>
        <v>1401750</v>
      </c>
      <c r="S147" s="34">
        <f t="shared" si="29"/>
        <v>1401750</v>
      </c>
      <c r="T147" s="108"/>
      <c r="U147" s="34">
        <f t="shared" si="33"/>
        <v>0</v>
      </c>
      <c r="V147" s="79"/>
      <c r="W147" s="34">
        <f t="shared" si="27"/>
        <v>0</v>
      </c>
      <c r="X147" s="34">
        <f t="shared" si="24"/>
        <v>28035</v>
      </c>
      <c r="Y147" s="51">
        <f t="shared" si="35"/>
        <v>1429785</v>
      </c>
      <c r="Z147" s="11" t="str">
        <f t="shared" si="30"/>
        <v>137</v>
      </c>
      <c r="AA147" s="132"/>
      <c r="AB147" s="171" t="s">
        <v>1121</v>
      </c>
      <c r="AC147" s="161"/>
    </row>
    <row r="148" spans="1:29" s="114" customFormat="1" ht="21" customHeight="1">
      <c r="A148" s="33" t="s">
        <v>626</v>
      </c>
      <c r="B148" s="37" t="s">
        <v>977</v>
      </c>
      <c r="C148" s="38" t="s">
        <v>884</v>
      </c>
      <c r="D148" s="38"/>
      <c r="E148" s="67" t="s">
        <v>149</v>
      </c>
      <c r="F148" s="80" t="s">
        <v>1351</v>
      </c>
      <c r="G148" s="10">
        <v>2.67</v>
      </c>
      <c r="H148" s="163"/>
      <c r="I148" s="86">
        <f t="shared" si="25"/>
        <v>2.67</v>
      </c>
      <c r="J148" s="86"/>
      <c r="K148" s="87">
        <f t="shared" si="31"/>
        <v>2.67</v>
      </c>
      <c r="L148" s="34">
        <f t="shared" si="26"/>
        <v>2803500</v>
      </c>
      <c r="M148" s="191" t="s">
        <v>858</v>
      </c>
      <c r="N148" s="34">
        <f t="shared" si="32"/>
        <v>1401750</v>
      </c>
      <c r="O148" s="34">
        <f t="shared" si="28"/>
        <v>1050000</v>
      </c>
      <c r="P148" s="10">
        <v>26</v>
      </c>
      <c r="Q148" s="67">
        <v>26</v>
      </c>
      <c r="R148" s="164">
        <f t="shared" si="34"/>
        <v>1401750</v>
      </c>
      <c r="S148" s="34">
        <f t="shared" si="29"/>
        <v>1401750</v>
      </c>
      <c r="T148" s="108"/>
      <c r="U148" s="34">
        <f t="shared" si="33"/>
        <v>0</v>
      </c>
      <c r="V148" s="79"/>
      <c r="W148" s="34">
        <f t="shared" si="27"/>
        <v>0</v>
      </c>
      <c r="X148" s="34">
        <f t="shared" si="24"/>
        <v>28035</v>
      </c>
      <c r="Y148" s="51">
        <f t="shared" si="35"/>
        <v>1429785</v>
      </c>
      <c r="Z148" s="11" t="str">
        <f t="shared" si="30"/>
        <v>138</v>
      </c>
      <c r="AA148" s="118"/>
      <c r="AB148" s="171" t="s">
        <v>1122</v>
      </c>
      <c r="AC148" s="161"/>
    </row>
    <row r="149" spans="1:29" s="114" customFormat="1" ht="25.5" customHeight="1">
      <c r="A149" s="33" t="s">
        <v>627</v>
      </c>
      <c r="B149" s="37" t="s">
        <v>1250</v>
      </c>
      <c r="C149" s="38" t="s">
        <v>1210</v>
      </c>
      <c r="D149" s="38"/>
      <c r="E149" s="67" t="s">
        <v>150</v>
      </c>
      <c r="F149" s="80" t="s">
        <v>1352</v>
      </c>
      <c r="G149" s="10">
        <v>3</v>
      </c>
      <c r="H149" s="163"/>
      <c r="I149" s="86">
        <f t="shared" si="25"/>
        <v>3</v>
      </c>
      <c r="J149" s="86"/>
      <c r="K149" s="87">
        <f t="shared" si="31"/>
        <v>3</v>
      </c>
      <c r="L149" s="34">
        <f t="shared" si="26"/>
        <v>3150000</v>
      </c>
      <c r="M149" s="191" t="s">
        <v>858</v>
      </c>
      <c r="N149" s="34">
        <f t="shared" si="32"/>
        <v>1575000</v>
      </c>
      <c r="O149" s="34">
        <f t="shared" si="28"/>
        <v>1050000</v>
      </c>
      <c r="P149" s="10">
        <v>26</v>
      </c>
      <c r="Q149" s="67">
        <v>26</v>
      </c>
      <c r="R149" s="164">
        <f t="shared" si="34"/>
        <v>1575000</v>
      </c>
      <c r="S149" s="34">
        <f t="shared" si="29"/>
        <v>1575000</v>
      </c>
      <c r="T149" s="108"/>
      <c r="U149" s="34">
        <f t="shared" si="33"/>
        <v>0</v>
      </c>
      <c r="V149" s="79"/>
      <c r="W149" s="34">
        <f t="shared" si="27"/>
        <v>0</v>
      </c>
      <c r="X149" s="34">
        <f t="shared" si="24"/>
        <v>31500</v>
      </c>
      <c r="Y149" s="51">
        <f t="shared" si="35"/>
        <v>1606500</v>
      </c>
      <c r="Z149" s="11" t="str">
        <f t="shared" si="30"/>
        <v>139</v>
      </c>
      <c r="AA149" s="132"/>
      <c r="AB149" s="171" t="s">
        <v>1123</v>
      </c>
      <c r="AC149" s="161"/>
    </row>
    <row r="150" spans="1:29" s="114" customFormat="1" ht="19.5" customHeight="1">
      <c r="A150" s="33" t="s">
        <v>628</v>
      </c>
      <c r="B150" s="37" t="s">
        <v>1231</v>
      </c>
      <c r="C150" s="38" t="s">
        <v>1211</v>
      </c>
      <c r="D150" s="38"/>
      <c r="E150" s="67" t="s">
        <v>151</v>
      </c>
      <c r="F150" s="80" t="s">
        <v>1353</v>
      </c>
      <c r="G150" s="10">
        <v>2.67</v>
      </c>
      <c r="H150" s="163"/>
      <c r="I150" s="86">
        <f t="shared" si="25"/>
        <v>2.67</v>
      </c>
      <c r="J150" s="86"/>
      <c r="K150" s="87">
        <f t="shared" si="31"/>
        <v>2.67</v>
      </c>
      <c r="L150" s="34">
        <f t="shared" si="26"/>
        <v>2803500</v>
      </c>
      <c r="M150" s="191" t="s">
        <v>858</v>
      </c>
      <c r="N150" s="34">
        <f t="shared" si="32"/>
        <v>1401750</v>
      </c>
      <c r="O150" s="34">
        <f t="shared" si="28"/>
        <v>1050000</v>
      </c>
      <c r="P150" s="10">
        <v>26</v>
      </c>
      <c r="Q150" s="67">
        <v>26</v>
      </c>
      <c r="R150" s="164">
        <f t="shared" si="34"/>
        <v>1401750</v>
      </c>
      <c r="S150" s="34">
        <f t="shared" si="29"/>
        <v>1401750</v>
      </c>
      <c r="T150" s="108"/>
      <c r="U150" s="34">
        <f t="shared" si="33"/>
        <v>0</v>
      </c>
      <c r="V150" s="79"/>
      <c r="W150" s="34">
        <f t="shared" si="27"/>
        <v>0</v>
      </c>
      <c r="X150" s="34">
        <f t="shared" si="24"/>
        <v>28035</v>
      </c>
      <c r="Y150" s="51">
        <f t="shared" si="35"/>
        <v>1429785</v>
      </c>
      <c r="Z150" s="11" t="str">
        <f t="shared" si="30"/>
        <v>140</v>
      </c>
      <c r="AA150" s="118"/>
      <c r="AB150" s="171" t="s">
        <v>1124</v>
      </c>
      <c r="AC150" s="161"/>
    </row>
    <row r="151" spans="1:29" s="114" customFormat="1" ht="25.5" customHeight="1">
      <c r="A151" s="33" t="s">
        <v>629</v>
      </c>
      <c r="B151" s="37" t="s">
        <v>1232</v>
      </c>
      <c r="C151" s="38" t="s">
        <v>979</v>
      </c>
      <c r="D151" s="38"/>
      <c r="E151" s="67" t="s">
        <v>152</v>
      </c>
      <c r="F151" s="80" t="s">
        <v>1354</v>
      </c>
      <c r="G151" s="10">
        <v>2.67</v>
      </c>
      <c r="H151" s="163"/>
      <c r="I151" s="86">
        <f t="shared" si="25"/>
        <v>2.67</v>
      </c>
      <c r="J151" s="86"/>
      <c r="K151" s="87">
        <f t="shared" si="31"/>
        <v>2.67</v>
      </c>
      <c r="L151" s="34">
        <f t="shared" si="26"/>
        <v>2803500</v>
      </c>
      <c r="M151" s="191" t="s">
        <v>858</v>
      </c>
      <c r="N151" s="34">
        <f t="shared" si="32"/>
        <v>1401750</v>
      </c>
      <c r="O151" s="34">
        <f t="shared" si="28"/>
        <v>1050000</v>
      </c>
      <c r="P151" s="10">
        <v>26</v>
      </c>
      <c r="Q151" s="67">
        <v>26</v>
      </c>
      <c r="R151" s="164">
        <f t="shared" si="34"/>
        <v>1401750</v>
      </c>
      <c r="S151" s="34">
        <f t="shared" si="29"/>
        <v>1401750</v>
      </c>
      <c r="T151" s="108"/>
      <c r="U151" s="34">
        <f t="shared" si="33"/>
        <v>0</v>
      </c>
      <c r="V151" s="79"/>
      <c r="W151" s="34">
        <f t="shared" si="27"/>
        <v>0</v>
      </c>
      <c r="X151" s="34">
        <f t="shared" si="24"/>
        <v>28035</v>
      </c>
      <c r="Y151" s="51">
        <f t="shared" si="35"/>
        <v>1429785</v>
      </c>
      <c r="Z151" s="11" t="str">
        <f t="shared" si="30"/>
        <v>141</v>
      </c>
      <c r="AA151" s="118"/>
      <c r="AB151" s="171" t="s">
        <v>1125</v>
      </c>
      <c r="AC151" s="161"/>
    </row>
    <row r="152" spans="1:29" s="114" customFormat="1" ht="25.5" customHeight="1">
      <c r="A152" s="33" t="s">
        <v>630</v>
      </c>
      <c r="B152" s="37" t="s">
        <v>1045</v>
      </c>
      <c r="C152" s="38" t="s">
        <v>1212</v>
      </c>
      <c r="D152" s="38"/>
      <c r="E152" s="67" t="s">
        <v>153</v>
      </c>
      <c r="F152" s="80" t="s">
        <v>1355</v>
      </c>
      <c r="G152" s="10">
        <v>2.67</v>
      </c>
      <c r="H152" s="163"/>
      <c r="I152" s="86">
        <f t="shared" si="25"/>
        <v>2.67</v>
      </c>
      <c r="J152" s="86"/>
      <c r="K152" s="87">
        <f t="shared" si="31"/>
        <v>2.67</v>
      </c>
      <c r="L152" s="34">
        <f t="shared" si="26"/>
        <v>2803500</v>
      </c>
      <c r="M152" s="191" t="s">
        <v>858</v>
      </c>
      <c r="N152" s="34">
        <f t="shared" si="32"/>
        <v>1401750</v>
      </c>
      <c r="O152" s="34">
        <f t="shared" si="28"/>
        <v>1050000</v>
      </c>
      <c r="P152" s="10">
        <v>26</v>
      </c>
      <c r="Q152" s="67">
        <v>26</v>
      </c>
      <c r="R152" s="164">
        <f t="shared" si="34"/>
        <v>1401750</v>
      </c>
      <c r="S152" s="34">
        <f t="shared" si="29"/>
        <v>1401750</v>
      </c>
      <c r="T152" s="108"/>
      <c r="U152" s="34">
        <f t="shared" si="33"/>
        <v>0</v>
      </c>
      <c r="V152" s="79"/>
      <c r="W152" s="34">
        <f t="shared" si="27"/>
        <v>0</v>
      </c>
      <c r="X152" s="34">
        <f t="shared" si="24"/>
        <v>28035</v>
      </c>
      <c r="Y152" s="51">
        <f t="shared" si="35"/>
        <v>1429785</v>
      </c>
      <c r="Z152" s="11" t="str">
        <f t="shared" si="30"/>
        <v>142</v>
      </c>
      <c r="AA152" s="118"/>
      <c r="AB152" s="171" t="s">
        <v>1126</v>
      </c>
      <c r="AC152" s="161"/>
    </row>
    <row r="153" spans="1:29" s="114" customFormat="1" ht="26.25" customHeight="1">
      <c r="A153" s="33" t="s">
        <v>631</v>
      </c>
      <c r="B153" s="37" t="s">
        <v>1233</v>
      </c>
      <c r="C153" s="38" t="s">
        <v>1213</v>
      </c>
      <c r="D153" s="38"/>
      <c r="E153" s="67" t="s">
        <v>154</v>
      </c>
      <c r="F153" s="80" t="s">
        <v>1356</v>
      </c>
      <c r="G153" s="191">
        <v>2.67</v>
      </c>
      <c r="H153" s="163"/>
      <c r="I153" s="86">
        <f t="shared" si="25"/>
        <v>2.67</v>
      </c>
      <c r="J153" s="86"/>
      <c r="K153" s="87">
        <f t="shared" si="31"/>
        <v>2.67</v>
      </c>
      <c r="L153" s="34">
        <f t="shared" si="26"/>
        <v>2803500</v>
      </c>
      <c r="M153" s="191" t="s">
        <v>858</v>
      </c>
      <c r="N153" s="34">
        <f t="shared" si="32"/>
        <v>1401750</v>
      </c>
      <c r="O153" s="34">
        <f t="shared" si="28"/>
        <v>1050000</v>
      </c>
      <c r="P153" s="10">
        <v>26</v>
      </c>
      <c r="Q153" s="67">
        <v>26</v>
      </c>
      <c r="R153" s="164">
        <f t="shared" si="34"/>
        <v>1401750</v>
      </c>
      <c r="S153" s="34">
        <f t="shared" si="29"/>
        <v>1401750</v>
      </c>
      <c r="T153" s="108"/>
      <c r="U153" s="34">
        <f t="shared" si="33"/>
        <v>0</v>
      </c>
      <c r="V153" s="79"/>
      <c r="W153" s="34">
        <f t="shared" si="27"/>
        <v>0</v>
      </c>
      <c r="X153" s="34">
        <f t="shared" si="24"/>
        <v>28035</v>
      </c>
      <c r="Y153" s="51">
        <f t="shared" si="35"/>
        <v>1429785</v>
      </c>
      <c r="Z153" s="11" t="str">
        <f t="shared" si="30"/>
        <v>143</v>
      </c>
      <c r="AA153" s="118"/>
      <c r="AB153" s="171" t="s">
        <v>1127</v>
      </c>
      <c r="AC153" s="161"/>
    </row>
    <row r="154" spans="1:29" s="114" customFormat="1" ht="24" customHeight="1">
      <c r="A154" s="33" t="s">
        <v>632</v>
      </c>
      <c r="B154" s="37" t="s">
        <v>890</v>
      </c>
      <c r="C154" s="38" t="s">
        <v>282</v>
      </c>
      <c r="D154" s="38"/>
      <c r="E154" s="67" t="s">
        <v>330</v>
      </c>
      <c r="F154" s="80" t="s">
        <v>381</v>
      </c>
      <c r="G154" s="10">
        <v>2.34</v>
      </c>
      <c r="H154" s="163"/>
      <c r="I154" s="86">
        <f t="shared" si="25"/>
        <v>2.34</v>
      </c>
      <c r="J154" s="86"/>
      <c r="K154" s="87">
        <f t="shared" si="31"/>
        <v>2.34</v>
      </c>
      <c r="L154" s="34">
        <f t="shared" si="26"/>
        <v>2457000</v>
      </c>
      <c r="M154" s="191" t="s">
        <v>858</v>
      </c>
      <c r="N154" s="34">
        <f t="shared" si="32"/>
        <v>1228500</v>
      </c>
      <c r="O154" s="34">
        <f t="shared" si="28"/>
        <v>1050000</v>
      </c>
      <c r="P154" s="10">
        <v>26</v>
      </c>
      <c r="Q154" s="67">
        <v>26</v>
      </c>
      <c r="R154" s="164">
        <f t="shared" si="34"/>
        <v>1228500</v>
      </c>
      <c r="S154" s="34">
        <f t="shared" si="29"/>
        <v>1228500</v>
      </c>
      <c r="T154" s="108"/>
      <c r="U154" s="34">
        <f t="shared" si="33"/>
        <v>0</v>
      </c>
      <c r="V154" s="79"/>
      <c r="W154" s="34">
        <f t="shared" si="27"/>
        <v>0</v>
      </c>
      <c r="X154" s="34">
        <f t="shared" si="24"/>
        <v>24570</v>
      </c>
      <c r="Y154" s="51">
        <f t="shared" si="35"/>
        <v>1253070</v>
      </c>
      <c r="Z154" s="11" t="str">
        <f t="shared" si="30"/>
        <v>144</v>
      </c>
      <c r="AA154" s="118"/>
      <c r="AB154" s="171" t="s">
        <v>1131</v>
      </c>
      <c r="AC154" s="161"/>
    </row>
    <row r="155" spans="1:29" s="114" customFormat="1" ht="24.75" customHeight="1">
      <c r="A155" s="33" t="s">
        <v>633</v>
      </c>
      <c r="B155" s="37" t="s">
        <v>890</v>
      </c>
      <c r="C155" s="38" t="s">
        <v>451</v>
      </c>
      <c r="D155" s="38"/>
      <c r="E155" s="67" t="s">
        <v>453</v>
      </c>
      <c r="F155" s="80" t="s">
        <v>452</v>
      </c>
      <c r="G155" s="10">
        <f>2.34</f>
        <v>2.34</v>
      </c>
      <c r="H155" s="163"/>
      <c r="I155" s="86">
        <f t="shared" si="25"/>
        <v>2.34</v>
      </c>
      <c r="J155" s="86"/>
      <c r="K155" s="87">
        <f t="shared" si="31"/>
        <v>2.34</v>
      </c>
      <c r="L155" s="34">
        <f t="shared" si="26"/>
        <v>2457000</v>
      </c>
      <c r="M155" s="191" t="s">
        <v>858</v>
      </c>
      <c r="N155" s="34">
        <f t="shared" si="32"/>
        <v>1228500</v>
      </c>
      <c r="O155" s="34">
        <f t="shared" si="28"/>
        <v>1050000</v>
      </c>
      <c r="P155" s="10">
        <v>26</v>
      </c>
      <c r="Q155" s="67">
        <v>26</v>
      </c>
      <c r="R155" s="164">
        <f t="shared" si="34"/>
        <v>1228500</v>
      </c>
      <c r="S155" s="34">
        <f t="shared" si="29"/>
        <v>1228500</v>
      </c>
      <c r="T155" s="108"/>
      <c r="U155" s="34">
        <f t="shared" si="33"/>
        <v>0</v>
      </c>
      <c r="V155" s="79"/>
      <c r="W155" s="34">
        <f t="shared" si="27"/>
        <v>0</v>
      </c>
      <c r="X155" s="34">
        <f t="shared" si="24"/>
        <v>24570</v>
      </c>
      <c r="Y155" s="51">
        <f t="shared" si="35"/>
        <v>1253070</v>
      </c>
      <c r="Z155" s="11" t="str">
        <f t="shared" si="30"/>
        <v>145</v>
      </c>
      <c r="AA155" s="118"/>
      <c r="AB155" s="171" t="s">
        <v>1132</v>
      </c>
      <c r="AC155" s="161"/>
    </row>
    <row r="156" spans="1:29" s="114" customFormat="1" ht="21" customHeight="1">
      <c r="A156" s="33" t="s">
        <v>634</v>
      </c>
      <c r="B156" s="37" t="s">
        <v>941</v>
      </c>
      <c r="C156" s="155" t="s">
        <v>942</v>
      </c>
      <c r="D156" s="155"/>
      <c r="E156" s="67" t="s">
        <v>156</v>
      </c>
      <c r="F156" s="107" t="s">
        <v>1358</v>
      </c>
      <c r="G156" s="10">
        <v>3</v>
      </c>
      <c r="H156" s="163"/>
      <c r="I156" s="86">
        <f t="shared" si="25"/>
        <v>3</v>
      </c>
      <c r="J156" s="86">
        <v>0</v>
      </c>
      <c r="K156" s="87">
        <f t="shared" si="31"/>
        <v>3</v>
      </c>
      <c r="L156" s="34">
        <f t="shared" si="26"/>
        <v>3150000</v>
      </c>
      <c r="M156" s="191" t="s">
        <v>858</v>
      </c>
      <c r="N156" s="34">
        <f t="shared" si="32"/>
        <v>1575000</v>
      </c>
      <c r="O156" s="34">
        <f t="shared" si="28"/>
        <v>1050000</v>
      </c>
      <c r="P156" s="10">
        <v>21</v>
      </c>
      <c r="Q156" s="67">
        <v>15.5</v>
      </c>
      <c r="R156" s="164">
        <f t="shared" si="34"/>
        <v>1575000</v>
      </c>
      <c r="S156" s="34">
        <f t="shared" si="29"/>
        <v>1162500</v>
      </c>
      <c r="T156" s="108"/>
      <c r="U156" s="34">
        <f t="shared" si="33"/>
        <v>0</v>
      </c>
      <c r="V156" s="79"/>
      <c r="W156" s="34">
        <f t="shared" si="27"/>
        <v>0</v>
      </c>
      <c r="X156" s="34">
        <f t="shared" si="24"/>
        <v>31500</v>
      </c>
      <c r="Y156" s="51">
        <f t="shared" si="35"/>
        <v>1194000</v>
      </c>
      <c r="Z156" s="11" t="str">
        <f t="shared" si="30"/>
        <v>146</v>
      </c>
      <c r="AA156" s="118" t="s">
        <v>805</v>
      </c>
      <c r="AB156" s="171" t="s">
        <v>1133</v>
      </c>
      <c r="AC156" s="161"/>
    </row>
    <row r="157" spans="1:29" s="114" customFormat="1" ht="27" customHeight="1">
      <c r="A157" s="33" t="s">
        <v>635</v>
      </c>
      <c r="B157" s="37" t="s">
        <v>285</v>
      </c>
      <c r="C157" s="38" t="s">
        <v>283</v>
      </c>
      <c r="D157" s="155"/>
      <c r="E157" s="67" t="s">
        <v>332</v>
      </c>
      <c r="F157" s="107" t="s">
        <v>383</v>
      </c>
      <c r="G157" s="10">
        <v>2.34</v>
      </c>
      <c r="H157" s="163"/>
      <c r="I157" s="86">
        <f t="shared" si="25"/>
        <v>2.34</v>
      </c>
      <c r="J157" s="86"/>
      <c r="K157" s="87">
        <f t="shared" si="31"/>
        <v>2.34</v>
      </c>
      <c r="L157" s="34">
        <f t="shared" si="26"/>
        <v>2457000</v>
      </c>
      <c r="M157" s="191" t="s">
        <v>786</v>
      </c>
      <c r="N157" s="34">
        <f t="shared" si="32"/>
        <v>691031.25</v>
      </c>
      <c r="O157" s="34">
        <f t="shared" si="28"/>
        <v>514500</v>
      </c>
      <c r="P157" s="10">
        <v>26</v>
      </c>
      <c r="Q157" s="67">
        <v>26</v>
      </c>
      <c r="R157" s="164">
        <f t="shared" si="34"/>
        <v>691031.25</v>
      </c>
      <c r="S157" s="34">
        <f t="shared" si="29"/>
        <v>691031.25</v>
      </c>
      <c r="T157" s="108"/>
      <c r="U157" s="34">
        <f t="shared" si="33"/>
        <v>0</v>
      </c>
      <c r="V157" s="79"/>
      <c r="W157" s="34">
        <f t="shared" si="27"/>
        <v>0</v>
      </c>
      <c r="X157" s="34">
        <f t="shared" si="24"/>
        <v>24570</v>
      </c>
      <c r="Y157" s="51">
        <f t="shared" si="35"/>
        <v>715601.25</v>
      </c>
      <c r="Z157" s="11" t="str">
        <f t="shared" si="30"/>
        <v>147</v>
      </c>
      <c r="AA157" s="118" t="s">
        <v>823</v>
      </c>
      <c r="AB157" s="171" t="s">
        <v>1142</v>
      </c>
      <c r="AC157" s="161"/>
    </row>
    <row r="158" spans="1:29" s="114" customFormat="1" ht="24" customHeight="1">
      <c r="A158" s="33" t="s">
        <v>636</v>
      </c>
      <c r="B158" s="37" t="s">
        <v>1176</v>
      </c>
      <c r="C158" s="38" t="s">
        <v>1175</v>
      </c>
      <c r="D158" s="38"/>
      <c r="E158" s="67" t="s">
        <v>143</v>
      </c>
      <c r="F158" s="80" t="s">
        <v>1345</v>
      </c>
      <c r="G158" s="10">
        <v>2.67</v>
      </c>
      <c r="H158" s="163"/>
      <c r="I158" s="86">
        <f t="shared" si="25"/>
        <v>2.67</v>
      </c>
      <c r="J158" s="86"/>
      <c r="K158" s="87">
        <f t="shared" si="31"/>
        <v>2.67</v>
      </c>
      <c r="L158" s="34">
        <f t="shared" si="26"/>
        <v>2803500</v>
      </c>
      <c r="M158" s="191" t="s">
        <v>858</v>
      </c>
      <c r="N158" s="34">
        <f t="shared" si="32"/>
        <v>1401750</v>
      </c>
      <c r="O158" s="34">
        <f t="shared" si="28"/>
        <v>1050000</v>
      </c>
      <c r="P158" s="10">
        <v>26</v>
      </c>
      <c r="Q158" s="67">
        <v>26</v>
      </c>
      <c r="R158" s="164">
        <f t="shared" si="34"/>
        <v>1401750</v>
      </c>
      <c r="S158" s="34">
        <f t="shared" si="29"/>
        <v>1401750</v>
      </c>
      <c r="T158" s="108"/>
      <c r="U158" s="34">
        <f t="shared" si="33"/>
        <v>0</v>
      </c>
      <c r="V158" s="79"/>
      <c r="W158" s="34">
        <f t="shared" si="27"/>
        <v>0</v>
      </c>
      <c r="X158" s="34">
        <f t="shared" si="24"/>
        <v>28035</v>
      </c>
      <c r="Y158" s="51">
        <f t="shared" si="35"/>
        <v>1429785</v>
      </c>
      <c r="Z158" s="11" t="str">
        <f t="shared" si="30"/>
        <v>148</v>
      </c>
      <c r="AA158" s="132"/>
      <c r="AB158" s="171" t="s">
        <v>1143</v>
      </c>
      <c r="AC158" s="161"/>
    </row>
    <row r="159" spans="1:29" s="114" customFormat="1" ht="24" customHeight="1">
      <c r="A159" s="33" t="s">
        <v>637</v>
      </c>
      <c r="B159" s="37" t="s">
        <v>938</v>
      </c>
      <c r="C159" s="38" t="s">
        <v>731</v>
      </c>
      <c r="D159" s="38"/>
      <c r="E159" s="67" t="s">
        <v>732</v>
      </c>
      <c r="F159" s="202">
        <v>1603205286594</v>
      </c>
      <c r="G159" s="10">
        <f>2.34*85%</f>
        <v>1.9889999999999999</v>
      </c>
      <c r="H159" s="163"/>
      <c r="I159" s="86">
        <f t="shared" si="25"/>
        <v>1.9889999999999999</v>
      </c>
      <c r="J159" s="86"/>
      <c r="K159" s="87">
        <f t="shared" si="31"/>
        <v>1.9889999999999999</v>
      </c>
      <c r="L159" s="34">
        <f t="shared" si="26"/>
        <v>2088449.9999999998</v>
      </c>
      <c r="M159" s="191" t="s">
        <v>858</v>
      </c>
      <c r="N159" s="34">
        <f t="shared" si="32"/>
        <v>1044224.9999999999</v>
      </c>
      <c r="O159" s="34">
        <f>IF(M159="A",1050000,IF(M159="B",735000,IF(M159="C",514500,0)))</f>
        <v>1050000</v>
      </c>
      <c r="P159" s="10">
        <v>26</v>
      </c>
      <c r="Q159" s="67">
        <v>26</v>
      </c>
      <c r="R159" s="164">
        <f>IF(N159&gt;O159,N159,O159)</f>
        <v>1050000</v>
      </c>
      <c r="S159" s="34">
        <f>IF(Q159&gt;=P159,R159,R159/P159*Q159)</f>
        <v>1050000</v>
      </c>
      <c r="T159" s="108"/>
      <c r="U159" s="34">
        <f t="shared" si="33"/>
        <v>0</v>
      </c>
      <c r="V159" s="79"/>
      <c r="W159" s="34">
        <f t="shared" si="27"/>
        <v>0</v>
      </c>
      <c r="X159" s="34">
        <f>(K159*0.01*$H$7)+(T159*1%*$H$7)+(V159*1%*$H$7)</f>
        <v>20884.499999999996</v>
      </c>
      <c r="Y159" s="51">
        <f>(S159+U159+W159+X159)</f>
        <v>1070884.5</v>
      </c>
      <c r="Z159" s="11" t="str">
        <f t="shared" si="30"/>
        <v>149</v>
      </c>
      <c r="AA159" s="132"/>
      <c r="AB159" s="171" t="s">
        <v>1144</v>
      </c>
      <c r="AC159" s="161"/>
    </row>
    <row r="160" spans="1:29" s="114" customFormat="1" ht="24" customHeight="1">
      <c r="A160" s="33" t="s">
        <v>638</v>
      </c>
      <c r="B160" s="37" t="s">
        <v>729</v>
      </c>
      <c r="C160" s="38" t="s">
        <v>728</v>
      </c>
      <c r="D160" s="38"/>
      <c r="E160" s="203" t="s">
        <v>730</v>
      </c>
      <c r="F160" s="80" t="s">
        <v>771</v>
      </c>
      <c r="G160" s="10">
        <f>2.67*85%</f>
        <v>2.2694999999999999</v>
      </c>
      <c r="H160" s="163"/>
      <c r="I160" s="86">
        <f t="shared" si="25"/>
        <v>2.2694999999999999</v>
      </c>
      <c r="J160" s="86"/>
      <c r="K160" s="87">
        <f t="shared" si="31"/>
        <v>2.2694999999999999</v>
      </c>
      <c r="L160" s="34">
        <f t="shared" si="26"/>
        <v>2382975</v>
      </c>
      <c r="M160" s="191" t="s">
        <v>858</v>
      </c>
      <c r="N160" s="34">
        <f t="shared" si="32"/>
        <v>1191487.5</v>
      </c>
      <c r="O160" s="34">
        <f t="shared" si="28"/>
        <v>1050000</v>
      </c>
      <c r="P160" s="10">
        <v>26</v>
      </c>
      <c r="Q160" s="67">
        <v>26</v>
      </c>
      <c r="R160" s="164">
        <f t="shared" si="34"/>
        <v>1191487.5</v>
      </c>
      <c r="S160" s="34">
        <f t="shared" si="29"/>
        <v>1191487.5</v>
      </c>
      <c r="T160" s="108"/>
      <c r="U160" s="34">
        <f t="shared" si="33"/>
        <v>0</v>
      </c>
      <c r="V160" s="79"/>
      <c r="W160" s="34">
        <f t="shared" si="27"/>
        <v>0</v>
      </c>
      <c r="X160" s="34">
        <f t="shared" si="24"/>
        <v>23829.75</v>
      </c>
      <c r="Y160" s="51">
        <f t="shared" si="35"/>
        <v>1215317.25</v>
      </c>
      <c r="Z160" s="11" t="str">
        <f t="shared" si="30"/>
        <v>150</v>
      </c>
      <c r="AA160" s="132"/>
      <c r="AB160" s="171" t="s">
        <v>1145</v>
      </c>
      <c r="AC160" s="161"/>
    </row>
    <row r="161" spans="1:29" s="114" customFormat="1" ht="29.25" customHeight="1">
      <c r="A161" s="33" t="s">
        <v>639</v>
      </c>
      <c r="B161" s="37" t="s">
        <v>961</v>
      </c>
      <c r="C161" s="38" t="s">
        <v>1026</v>
      </c>
      <c r="D161" s="38" t="s">
        <v>549</v>
      </c>
      <c r="E161" s="67" t="s">
        <v>159</v>
      </c>
      <c r="F161" s="80" t="s">
        <v>1360</v>
      </c>
      <c r="G161" s="191">
        <v>3.33</v>
      </c>
      <c r="H161" s="163"/>
      <c r="I161" s="86">
        <f t="shared" si="25"/>
        <v>3.33</v>
      </c>
      <c r="J161" s="86">
        <v>0.45</v>
      </c>
      <c r="K161" s="87">
        <f t="shared" si="31"/>
        <v>3.7800000000000002</v>
      </c>
      <c r="L161" s="34">
        <f t="shared" si="26"/>
        <v>3969000.0000000005</v>
      </c>
      <c r="M161" s="191" t="s">
        <v>858</v>
      </c>
      <c r="N161" s="34">
        <f t="shared" si="32"/>
        <v>1984500.0000000002</v>
      </c>
      <c r="O161" s="34">
        <f t="shared" si="28"/>
        <v>1050000</v>
      </c>
      <c r="P161" s="10">
        <v>26</v>
      </c>
      <c r="Q161" s="67">
        <v>26</v>
      </c>
      <c r="R161" s="164">
        <f t="shared" si="34"/>
        <v>1984500.0000000002</v>
      </c>
      <c r="S161" s="34">
        <f t="shared" si="29"/>
        <v>1984500.0000000002</v>
      </c>
      <c r="T161" s="108"/>
      <c r="U161" s="34">
        <f t="shared" si="33"/>
        <v>0</v>
      </c>
      <c r="V161" s="79"/>
      <c r="W161" s="34">
        <f t="shared" si="27"/>
        <v>0</v>
      </c>
      <c r="X161" s="34">
        <f t="shared" si="24"/>
        <v>39690</v>
      </c>
      <c r="Y161" s="51">
        <f t="shared" si="35"/>
        <v>2024190.0000000002</v>
      </c>
      <c r="Z161" s="11" t="str">
        <f t="shared" si="30"/>
        <v>151</v>
      </c>
      <c r="AA161" s="118"/>
      <c r="AB161" s="171" t="s">
        <v>812</v>
      </c>
      <c r="AC161" s="161"/>
    </row>
    <row r="162" spans="1:29" s="114" customFormat="1" ht="21.75" customHeight="1">
      <c r="A162" s="33" t="s">
        <v>640</v>
      </c>
      <c r="B162" s="37" t="s">
        <v>1027</v>
      </c>
      <c r="C162" s="38" t="s">
        <v>1028</v>
      </c>
      <c r="D162" s="38"/>
      <c r="E162" s="67" t="s">
        <v>161</v>
      </c>
      <c r="F162" s="80" t="s">
        <v>42</v>
      </c>
      <c r="G162" s="10">
        <v>4.9800000000000004</v>
      </c>
      <c r="H162" s="163"/>
      <c r="I162" s="86">
        <f t="shared" si="25"/>
        <v>4.9800000000000004</v>
      </c>
      <c r="J162" s="86">
        <v>0.25</v>
      </c>
      <c r="K162" s="87">
        <f t="shared" si="31"/>
        <v>5.23</v>
      </c>
      <c r="L162" s="34">
        <f t="shared" si="26"/>
        <v>5491500</v>
      </c>
      <c r="M162" s="191" t="s">
        <v>858</v>
      </c>
      <c r="N162" s="34">
        <f t="shared" si="32"/>
        <v>2745750</v>
      </c>
      <c r="O162" s="34">
        <f t="shared" si="28"/>
        <v>1050000</v>
      </c>
      <c r="P162" s="10">
        <v>26</v>
      </c>
      <c r="Q162" s="67">
        <v>26</v>
      </c>
      <c r="R162" s="164">
        <f t="shared" si="34"/>
        <v>2745750</v>
      </c>
      <c r="S162" s="34">
        <f t="shared" si="29"/>
        <v>2745750</v>
      </c>
      <c r="T162" s="108"/>
      <c r="U162" s="34">
        <f t="shared" si="33"/>
        <v>0</v>
      </c>
      <c r="V162" s="79"/>
      <c r="W162" s="34">
        <f t="shared" si="27"/>
        <v>0</v>
      </c>
      <c r="X162" s="34">
        <f t="shared" si="24"/>
        <v>54915.000000000007</v>
      </c>
      <c r="Y162" s="51">
        <f t="shared" si="35"/>
        <v>2800665</v>
      </c>
      <c r="Z162" s="11" t="str">
        <f t="shared" si="30"/>
        <v>152</v>
      </c>
      <c r="AA162" s="118"/>
      <c r="AB162" s="171" t="s">
        <v>813</v>
      </c>
      <c r="AC162" s="161"/>
    </row>
    <row r="163" spans="1:29" s="114" customFormat="1" ht="21.75" customHeight="1">
      <c r="A163" s="33" t="s">
        <v>641</v>
      </c>
      <c r="B163" s="37" t="s">
        <v>1029</v>
      </c>
      <c r="C163" s="155" t="s">
        <v>1030</v>
      </c>
      <c r="D163" s="38"/>
      <c r="E163" s="67" t="s">
        <v>162</v>
      </c>
      <c r="F163" s="90" t="s">
        <v>1362</v>
      </c>
      <c r="G163" s="10">
        <v>4.8899999999999997</v>
      </c>
      <c r="H163" s="163"/>
      <c r="I163" s="86">
        <f t="shared" si="25"/>
        <v>4.8899999999999997</v>
      </c>
      <c r="J163" s="86">
        <v>0</v>
      </c>
      <c r="K163" s="87">
        <f t="shared" si="31"/>
        <v>4.8899999999999997</v>
      </c>
      <c r="L163" s="34">
        <f t="shared" si="26"/>
        <v>5134500</v>
      </c>
      <c r="M163" s="191" t="s">
        <v>858</v>
      </c>
      <c r="N163" s="34">
        <f t="shared" si="32"/>
        <v>2567250</v>
      </c>
      <c r="O163" s="34">
        <f t="shared" si="28"/>
        <v>1050000</v>
      </c>
      <c r="P163" s="10">
        <v>21</v>
      </c>
      <c r="Q163" s="67">
        <v>26</v>
      </c>
      <c r="R163" s="164">
        <f t="shared" si="34"/>
        <v>2567250</v>
      </c>
      <c r="S163" s="34">
        <f t="shared" si="29"/>
        <v>2567250</v>
      </c>
      <c r="T163" s="108"/>
      <c r="U163" s="34">
        <f t="shared" si="33"/>
        <v>0</v>
      </c>
      <c r="V163" s="79"/>
      <c r="W163" s="34">
        <f t="shared" si="27"/>
        <v>0</v>
      </c>
      <c r="X163" s="34">
        <f t="shared" si="24"/>
        <v>51345</v>
      </c>
      <c r="Y163" s="51">
        <f t="shared" si="35"/>
        <v>2618595</v>
      </c>
      <c r="Z163" s="11" t="str">
        <f t="shared" si="30"/>
        <v>153</v>
      </c>
      <c r="AA163" s="118"/>
      <c r="AB163" s="171" t="s">
        <v>814</v>
      </c>
      <c r="AC163" s="161"/>
    </row>
    <row r="164" spans="1:29" s="114" customFormat="1" ht="27.75" customHeight="1">
      <c r="A164" s="33" t="s">
        <v>642</v>
      </c>
      <c r="B164" s="37" t="s">
        <v>1031</v>
      </c>
      <c r="C164" s="38" t="s">
        <v>1032</v>
      </c>
      <c r="D164" s="38"/>
      <c r="E164" s="67" t="s">
        <v>163</v>
      </c>
      <c r="F164" s="90" t="s">
        <v>1363</v>
      </c>
      <c r="G164" s="10">
        <v>3.99</v>
      </c>
      <c r="H164" s="163"/>
      <c r="I164" s="86">
        <f t="shared" si="25"/>
        <v>3.99</v>
      </c>
      <c r="J164" s="86">
        <v>0.25</v>
      </c>
      <c r="K164" s="87">
        <f t="shared" si="31"/>
        <v>4.24</v>
      </c>
      <c r="L164" s="34">
        <f t="shared" si="26"/>
        <v>4452000</v>
      </c>
      <c r="M164" s="191" t="s">
        <v>858</v>
      </c>
      <c r="N164" s="34">
        <f t="shared" si="32"/>
        <v>2226000</v>
      </c>
      <c r="O164" s="34">
        <f t="shared" si="28"/>
        <v>1050000</v>
      </c>
      <c r="P164" s="10">
        <v>26</v>
      </c>
      <c r="Q164" s="67">
        <v>26</v>
      </c>
      <c r="R164" s="164">
        <f t="shared" si="34"/>
        <v>2226000</v>
      </c>
      <c r="S164" s="34">
        <f t="shared" si="29"/>
        <v>2226000</v>
      </c>
      <c r="T164" s="108"/>
      <c r="U164" s="34">
        <f t="shared" si="33"/>
        <v>0</v>
      </c>
      <c r="V164" s="79"/>
      <c r="W164" s="34">
        <f t="shared" si="27"/>
        <v>0</v>
      </c>
      <c r="X164" s="34">
        <f t="shared" si="24"/>
        <v>44520</v>
      </c>
      <c r="Y164" s="51">
        <f t="shared" si="35"/>
        <v>2270520</v>
      </c>
      <c r="Z164" s="11" t="str">
        <f t="shared" si="30"/>
        <v>154</v>
      </c>
      <c r="AA164" s="132"/>
      <c r="AB164" s="171" t="s">
        <v>815</v>
      </c>
      <c r="AC164" s="161"/>
    </row>
    <row r="165" spans="1:29" s="114" customFormat="1" ht="30.75" customHeight="1">
      <c r="A165" s="33" t="s">
        <v>643</v>
      </c>
      <c r="B165" s="37" t="s">
        <v>1033</v>
      </c>
      <c r="C165" s="38" t="s">
        <v>884</v>
      </c>
      <c r="D165" s="38"/>
      <c r="E165" s="67" t="s">
        <v>164</v>
      </c>
      <c r="F165" s="80" t="s">
        <v>1364</v>
      </c>
      <c r="G165" s="10">
        <v>3.99</v>
      </c>
      <c r="H165" s="163"/>
      <c r="I165" s="86">
        <f t="shared" si="25"/>
        <v>3.99</v>
      </c>
      <c r="J165" s="86">
        <v>0.25</v>
      </c>
      <c r="K165" s="87">
        <f t="shared" si="31"/>
        <v>4.24</v>
      </c>
      <c r="L165" s="34">
        <f t="shared" si="26"/>
        <v>4452000</v>
      </c>
      <c r="M165" s="191" t="s">
        <v>858</v>
      </c>
      <c r="N165" s="34">
        <f t="shared" si="32"/>
        <v>2226000</v>
      </c>
      <c r="O165" s="34">
        <f t="shared" si="28"/>
        <v>1050000</v>
      </c>
      <c r="P165" s="10">
        <v>26</v>
      </c>
      <c r="Q165" s="67">
        <v>26</v>
      </c>
      <c r="R165" s="164">
        <f t="shared" si="34"/>
        <v>2226000</v>
      </c>
      <c r="S165" s="34">
        <f t="shared" si="29"/>
        <v>2226000</v>
      </c>
      <c r="T165" s="108"/>
      <c r="U165" s="34">
        <f t="shared" si="33"/>
        <v>0</v>
      </c>
      <c r="V165" s="79"/>
      <c r="W165" s="34">
        <f t="shared" si="27"/>
        <v>0</v>
      </c>
      <c r="X165" s="34">
        <f t="shared" si="24"/>
        <v>44520</v>
      </c>
      <c r="Y165" s="51">
        <f t="shared" si="35"/>
        <v>2270520</v>
      </c>
      <c r="Z165" s="11" t="str">
        <f t="shared" si="30"/>
        <v>155</v>
      </c>
      <c r="AA165" s="118"/>
      <c r="AB165" s="171" t="s">
        <v>816</v>
      </c>
      <c r="AC165" s="161"/>
    </row>
    <row r="166" spans="1:29" s="329" customFormat="1" ht="24">
      <c r="A166" s="33" t="s">
        <v>644</v>
      </c>
      <c r="B166" s="314" t="s">
        <v>1036</v>
      </c>
      <c r="C166" s="315" t="s">
        <v>1037</v>
      </c>
      <c r="D166" s="315"/>
      <c r="E166" s="303" t="s">
        <v>166</v>
      </c>
      <c r="F166" s="316" t="s">
        <v>1366</v>
      </c>
      <c r="G166" s="317">
        <v>3.33</v>
      </c>
      <c r="H166" s="318"/>
      <c r="I166" s="319">
        <f t="shared" si="25"/>
        <v>3.33</v>
      </c>
      <c r="J166" s="319">
        <v>0.35</v>
      </c>
      <c r="K166" s="320">
        <f t="shared" si="31"/>
        <v>3.68</v>
      </c>
      <c r="L166" s="321">
        <f t="shared" si="26"/>
        <v>3864000</v>
      </c>
      <c r="M166" s="191" t="s">
        <v>858</v>
      </c>
      <c r="N166" s="34">
        <f t="shared" si="32"/>
        <v>1932000</v>
      </c>
      <c r="O166" s="321">
        <f t="shared" si="28"/>
        <v>1050000</v>
      </c>
      <c r="P166" s="317">
        <v>26</v>
      </c>
      <c r="Q166" s="303">
        <v>20</v>
      </c>
      <c r="R166" s="322">
        <f t="shared" si="34"/>
        <v>1932000</v>
      </c>
      <c r="S166" s="321">
        <f t="shared" si="29"/>
        <v>1486153.8461538462</v>
      </c>
      <c r="T166" s="323"/>
      <c r="U166" s="321">
        <f t="shared" si="33"/>
        <v>0</v>
      </c>
      <c r="V166" s="324"/>
      <c r="W166" s="321">
        <f t="shared" si="27"/>
        <v>0</v>
      </c>
      <c r="X166" s="321">
        <f t="shared" si="24"/>
        <v>38640</v>
      </c>
      <c r="Y166" s="325">
        <f t="shared" si="35"/>
        <v>1524793.8461538462</v>
      </c>
      <c r="Z166" s="326" t="str">
        <f t="shared" si="30"/>
        <v>156</v>
      </c>
      <c r="AA166" s="327" t="s">
        <v>806</v>
      </c>
      <c r="AB166" s="171" t="s">
        <v>817</v>
      </c>
      <c r="AC166" s="328"/>
    </row>
    <row r="167" spans="1:29" s="114" customFormat="1" ht="21.75" customHeight="1">
      <c r="A167" s="33" t="s">
        <v>645</v>
      </c>
      <c r="B167" s="37" t="s">
        <v>1038</v>
      </c>
      <c r="C167" s="38" t="s">
        <v>1039</v>
      </c>
      <c r="D167" s="38"/>
      <c r="E167" s="67" t="s">
        <v>167</v>
      </c>
      <c r="F167" s="90" t="s">
        <v>1367</v>
      </c>
      <c r="G167" s="10">
        <v>3</v>
      </c>
      <c r="H167" s="163"/>
      <c r="I167" s="86">
        <f t="shared" si="25"/>
        <v>3</v>
      </c>
      <c r="J167" s="86">
        <v>0</v>
      </c>
      <c r="K167" s="87">
        <f t="shared" si="31"/>
        <v>3</v>
      </c>
      <c r="L167" s="34">
        <f t="shared" si="26"/>
        <v>3150000</v>
      </c>
      <c r="M167" s="191" t="s">
        <v>858</v>
      </c>
      <c r="N167" s="34">
        <f t="shared" si="32"/>
        <v>1575000</v>
      </c>
      <c r="O167" s="34">
        <f t="shared" si="28"/>
        <v>1050000</v>
      </c>
      <c r="P167" s="10">
        <v>26</v>
      </c>
      <c r="Q167" s="67">
        <v>26</v>
      </c>
      <c r="R167" s="164">
        <f t="shared" si="34"/>
        <v>1575000</v>
      </c>
      <c r="S167" s="34">
        <f t="shared" si="29"/>
        <v>1575000</v>
      </c>
      <c r="T167" s="108"/>
      <c r="U167" s="34">
        <f t="shared" si="33"/>
        <v>0</v>
      </c>
      <c r="V167" s="79"/>
      <c r="W167" s="34">
        <f t="shared" si="27"/>
        <v>0</v>
      </c>
      <c r="X167" s="34">
        <f t="shared" si="24"/>
        <v>31500</v>
      </c>
      <c r="Y167" s="51">
        <f t="shared" si="35"/>
        <v>1606500</v>
      </c>
      <c r="Z167" s="11" t="str">
        <f t="shared" si="30"/>
        <v>157</v>
      </c>
      <c r="AA167" s="132"/>
      <c r="AB167" s="171" t="s">
        <v>818</v>
      </c>
      <c r="AC167" s="161"/>
    </row>
    <row r="168" spans="1:29" s="114" customFormat="1" ht="20.25" customHeight="1">
      <c r="A168" s="33" t="s">
        <v>646</v>
      </c>
      <c r="B168" s="37" t="s">
        <v>1040</v>
      </c>
      <c r="C168" s="38" t="s">
        <v>1041</v>
      </c>
      <c r="D168" s="38"/>
      <c r="E168" s="67" t="s">
        <v>168</v>
      </c>
      <c r="F168" s="90" t="s">
        <v>1368</v>
      </c>
      <c r="G168" s="10">
        <v>3</v>
      </c>
      <c r="H168" s="163"/>
      <c r="I168" s="86">
        <f t="shared" si="25"/>
        <v>3</v>
      </c>
      <c r="J168" s="86">
        <v>0.35</v>
      </c>
      <c r="K168" s="87">
        <f t="shared" si="31"/>
        <v>3.35</v>
      </c>
      <c r="L168" s="34">
        <f t="shared" si="26"/>
        <v>3517500</v>
      </c>
      <c r="M168" s="191" t="s">
        <v>858</v>
      </c>
      <c r="N168" s="34">
        <f t="shared" si="32"/>
        <v>1758750</v>
      </c>
      <c r="O168" s="34">
        <f t="shared" si="28"/>
        <v>1050000</v>
      </c>
      <c r="P168" s="10">
        <v>26</v>
      </c>
      <c r="Q168" s="67">
        <v>26</v>
      </c>
      <c r="R168" s="164">
        <f t="shared" si="34"/>
        <v>1758750</v>
      </c>
      <c r="S168" s="34">
        <f t="shared" si="29"/>
        <v>1758750</v>
      </c>
      <c r="T168" s="108"/>
      <c r="U168" s="34">
        <f t="shared" si="33"/>
        <v>0</v>
      </c>
      <c r="V168" s="79"/>
      <c r="W168" s="34">
        <f t="shared" si="27"/>
        <v>0</v>
      </c>
      <c r="X168" s="34">
        <f t="shared" si="24"/>
        <v>35175</v>
      </c>
      <c r="Y168" s="51">
        <f t="shared" si="35"/>
        <v>1793925</v>
      </c>
      <c r="Z168" s="11" t="str">
        <f t="shared" si="30"/>
        <v>158</v>
      </c>
      <c r="AA168" s="118"/>
      <c r="AB168" s="171" t="s">
        <v>819</v>
      </c>
      <c r="AC168" s="161"/>
    </row>
    <row r="169" spans="1:29" s="114" customFormat="1" ht="20.25" customHeight="1">
      <c r="A169" s="33" t="s">
        <v>647</v>
      </c>
      <c r="B169" s="37" t="s">
        <v>1042</v>
      </c>
      <c r="C169" s="38" t="s">
        <v>1043</v>
      </c>
      <c r="D169" s="38"/>
      <c r="E169" s="67" t="s">
        <v>169</v>
      </c>
      <c r="F169" s="90" t="s">
        <v>1369</v>
      </c>
      <c r="G169" s="10">
        <v>3</v>
      </c>
      <c r="H169" s="163"/>
      <c r="I169" s="86">
        <f t="shared" si="25"/>
        <v>3</v>
      </c>
      <c r="J169" s="86">
        <v>0</v>
      </c>
      <c r="K169" s="87">
        <f t="shared" si="31"/>
        <v>3</v>
      </c>
      <c r="L169" s="34">
        <f t="shared" si="26"/>
        <v>3150000</v>
      </c>
      <c r="M169" s="191" t="s">
        <v>858</v>
      </c>
      <c r="N169" s="34">
        <f t="shared" si="32"/>
        <v>1575000</v>
      </c>
      <c r="O169" s="34">
        <f t="shared" si="28"/>
        <v>1050000</v>
      </c>
      <c r="P169" s="10">
        <v>26</v>
      </c>
      <c r="Q169" s="67">
        <v>26</v>
      </c>
      <c r="R169" s="164">
        <f t="shared" si="34"/>
        <v>1575000</v>
      </c>
      <c r="S169" s="34">
        <f t="shared" si="29"/>
        <v>1575000</v>
      </c>
      <c r="T169" s="108"/>
      <c r="U169" s="34">
        <f t="shared" si="33"/>
        <v>0</v>
      </c>
      <c r="V169" s="79"/>
      <c r="W169" s="34">
        <f t="shared" si="27"/>
        <v>0</v>
      </c>
      <c r="X169" s="34">
        <f t="shared" si="24"/>
        <v>31500</v>
      </c>
      <c r="Y169" s="51">
        <f t="shared" si="35"/>
        <v>1606500</v>
      </c>
      <c r="Z169" s="11" t="str">
        <f t="shared" si="30"/>
        <v>159</v>
      </c>
      <c r="AA169" s="118"/>
      <c r="AB169" s="171" t="s">
        <v>820</v>
      </c>
      <c r="AC169" s="161"/>
    </row>
    <row r="170" spans="1:29" s="114" customFormat="1" ht="21.75" customHeight="1">
      <c r="A170" s="33" t="s">
        <v>648</v>
      </c>
      <c r="B170" s="37" t="s">
        <v>997</v>
      </c>
      <c r="C170" s="38" t="s">
        <v>998</v>
      </c>
      <c r="D170" s="38"/>
      <c r="E170" s="67" t="s">
        <v>171</v>
      </c>
      <c r="F170" s="80" t="s">
        <v>1371</v>
      </c>
      <c r="G170" s="10">
        <v>4.32</v>
      </c>
      <c r="H170" s="163"/>
      <c r="I170" s="86">
        <f t="shared" si="25"/>
        <v>4.32</v>
      </c>
      <c r="J170" s="86">
        <v>0</v>
      </c>
      <c r="K170" s="87">
        <f t="shared" si="31"/>
        <v>4.32</v>
      </c>
      <c r="L170" s="34">
        <f t="shared" si="26"/>
        <v>4536000</v>
      </c>
      <c r="M170" s="191" t="s">
        <v>858</v>
      </c>
      <c r="N170" s="34">
        <f t="shared" si="32"/>
        <v>2268000</v>
      </c>
      <c r="O170" s="34">
        <f t="shared" si="28"/>
        <v>1050000</v>
      </c>
      <c r="P170" s="10">
        <v>26</v>
      </c>
      <c r="Q170" s="67">
        <v>26</v>
      </c>
      <c r="R170" s="164">
        <f t="shared" si="34"/>
        <v>2268000</v>
      </c>
      <c r="S170" s="34">
        <f t="shared" si="29"/>
        <v>2268000</v>
      </c>
      <c r="T170" s="141"/>
      <c r="U170" s="34">
        <f t="shared" si="33"/>
        <v>0</v>
      </c>
      <c r="V170" s="79"/>
      <c r="W170" s="34">
        <f t="shared" si="27"/>
        <v>0</v>
      </c>
      <c r="X170" s="34">
        <f t="shared" si="24"/>
        <v>45360</v>
      </c>
      <c r="Y170" s="51">
        <f t="shared" si="35"/>
        <v>2313360</v>
      </c>
      <c r="Z170" s="11" t="str">
        <f t="shared" si="30"/>
        <v>160</v>
      </c>
      <c r="AA170" s="132"/>
      <c r="AB170" s="171" t="s">
        <v>1119</v>
      </c>
      <c r="AC170" s="161"/>
    </row>
    <row r="171" spans="1:29" s="114" customFormat="1" ht="24.75" customHeight="1">
      <c r="A171" s="33" t="s">
        <v>649</v>
      </c>
      <c r="B171" s="37" t="s">
        <v>1008</v>
      </c>
      <c r="C171" s="38" t="s">
        <v>1009</v>
      </c>
      <c r="D171" s="38"/>
      <c r="E171" s="67" t="s">
        <v>172</v>
      </c>
      <c r="F171" s="80" t="s">
        <v>1372</v>
      </c>
      <c r="G171" s="10">
        <v>2.67</v>
      </c>
      <c r="H171" s="163"/>
      <c r="I171" s="86">
        <f t="shared" si="25"/>
        <v>2.67</v>
      </c>
      <c r="J171" s="86"/>
      <c r="K171" s="87">
        <f t="shared" si="31"/>
        <v>2.67</v>
      </c>
      <c r="L171" s="34">
        <f t="shared" si="26"/>
        <v>2803500</v>
      </c>
      <c r="M171" s="191" t="s">
        <v>858</v>
      </c>
      <c r="N171" s="34">
        <f t="shared" si="32"/>
        <v>1401750</v>
      </c>
      <c r="O171" s="34">
        <f t="shared" si="28"/>
        <v>1050000</v>
      </c>
      <c r="P171" s="10">
        <v>26</v>
      </c>
      <c r="Q171" s="67">
        <v>26</v>
      </c>
      <c r="R171" s="164">
        <f t="shared" si="34"/>
        <v>1401750</v>
      </c>
      <c r="S171" s="34">
        <f t="shared" si="29"/>
        <v>1401750</v>
      </c>
      <c r="T171" s="108"/>
      <c r="U171" s="34">
        <f t="shared" si="33"/>
        <v>0</v>
      </c>
      <c r="V171" s="79"/>
      <c r="W171" s="34">
        <f t="shared" si="27"/>
        <v>0</v>
      </c>
      <c r="X171" s="34">
        <f t="shared" si="24"/>
        <v>28035</v>
      </c>
      <c r="Y171" s="51">
        <f t="shared" si="35"/>
        <v>1429785</v>
      </c>
      <c r="Z171" s="11" t="str">
        <f t="shared" si="30"/>
        <v>161</v>
      </c>
      <c r="AA171" s="132"/>
      <c r="AB171" s="171" t="s">
        <v>1120</v>
      </c>
      <c r="AC171" s="161"/>
    </row>
    <row r="172" spans="1:29" s="114" customFormat="1" ht="22.5" customHeight="1">
      <c r="A172" s="33" t="s">
        <v>650</v>
      </c>
      <c r="B172" s="37" t="s">
        <v>995</v>
      </c>
      <c r="C172" s="38" t="s">
        <v>996</v>
      </c>
      <c r="D172" s="38"/>
      <c r="E172" s="67" t="s">
        <v>173</v>
      </c>
      <c r="F172" s="80" t="s">
        <v>1373</v>
      </c>
      <c r="G172" s="10">
        <v>4.9800000000000004</v>
      </c>
      <c r="H172" s="229">
        <v>0.06</v>
      </c>
      <c r="I172" s="86">
        <f t="shared" si="25"/>
        <v>5.2788000000000004</v>
      </c>
      <c r="J172" s="86">
        <v>0</v>
      </c>
      <c r="K172" s="87">
        <f t="shared" si="31"/>
        <v>5.2788000000000004</v>
      </c>
      <c r="L172" s="34">
        <f t="shared" si="26"/>
        <v>5542740</v>
      </c>
      <c r="M172" s="191" t="s">
        <v>858</v>
      </c>
      <c r="N172" s="34">
        <f t="shared" si="32"/>
        <v>2771370</v>
      </c>
      <c r="O172" s="34">
        <f t="shared" si="28"/>
        <v>1050000</v>
      </c>
      <c r="P172" s="10">
        <v>26</v>
      </c>
      <c r="Q172" s="67">
        <v>26</v>
      </c>
      <c r="R172" s="164">
        <f t="shared" si="34"/>
        <v>2771370</v>
      </c>
      <c r="S172" s="34">
        <f t="shared" si="29"/>
        <v>2771370</v>
      </c>
      <c r="T172" s="108"/>
      <c r="U172" s="34">
        <f t="shared" si="33"/>
        <v>0</v>
      </c>
      <c r="V172" s="79"/>
      <c r="W172" s="34">
        <f t="shared" si="27"/>
        <v>0</v>
      </c>
      <c r="X172" s="34">
        <f t="shared" si="24"/>
        <v>55427.4</v>
      </c>
      <c r="Y172" s="51">
        <f t="shared" si="35"/>
        <v>2826797.4</v>
      </c>
      <c r="Z172" s="11" t="str">
        <f t="shared" si="30"/>
        <v>162</v>
      </c>
      <c r="AA172" s="132"/>
      <c r="AB172" s="171" t="s">
        <v>1121</v>
      </c>
      <c r="AC172" s="161"/>
    </row>
    <row r="173" spans="1:29" s="114" customFormat="1" ht="22.5" customHeight="1">
      <c r="A173" s="33" t="s">
        <v>651</v>
      </c>
      <c r="B173" s="37" t="s">
        <v>1001</v>
      </c>
      <c r="C173" s="38" t="s">
        <v>920</v>
      </c>
      <c r="D173" s="38"/>
      <c r="E173" s="67" t="s">
        <v>174</v>
      </c>
      <c r="F173" s="90" t="s">
        <v>1374</v>
      </c>
      <c r="G173" s="10">
        <v>3.99</v>
      </c>
      <c r="H173" s="163"/>
      <c r="I173" s="86">
        <f t="shared" si="25"/>
        <v>3.99</v>
      </c>
      <c r="J173" s="86">
        <v>0</v>
      </c>
      <c r="K173" s="87">
        <f t="shared" si="31"/>
        <v>3.99</v>
      </c>
      <c r="L173" s="34">
        <f t="shared" si="26"/>
        <v>4189500</v>
      </c>
      <c r="M173" s="191" t="s">
        <v>858</v>
      </c>
      <c r="N173" s="34">
        <f t="shared" si="32"/>
        <v>2094750</v>
      </c>
      <c r="O173" s="34">
        <f t="shared" si="28"/>
        <v>1050000</v>
      </c>
      <c r="P173" s="10">
        <v>26</v>
      </c>
      <c r="Q173" s="67">
        <v>26</v>
      </c>
      <c r="R173" s="164">
        <f t="shared" si="34"/>
        <v>2094750</v>
      </c>
      <c r="S173" s="34">
        <f t="shared" si="29"/>
        <v>2094750</v>
      </c>
      <c r="T173" s="108"/>
      <c r="U173" s="34">
        <f t="shared" si="33"/>
        <v>0</v>
      </c>
      <c r="V173" s="79"/>
      <c r="W173" s="34">
        <f t="shared" si="27"/>
        <v>0</v>
      </c>
      <c r="X173" s="34">
        <f t="shared" si="24"/>
        <v>41895.000000000007</v>
      </c>
      <c r="Y173" s="51">
        <f t="shared" si="35"/>
        <v>2136645</v>
      </c>
      <c r="Z173" s="11" t="str">
        <f t="shared" si="30"/>
        <v>163</v>
      </c>
      <c r="AA173" s="118"/>
      <c r="AB173" s="171" t="s">
        <v>1122</v>
      </c>
      <c r="AC173" s="161"/>
    </row>
    <row r="174" spans="1:29" s="114" customFormat="1" ht="21" customHeight="1">
      <c r="A174" s="33" t="s">
        <v>652</v>
      </c>
      <c r="B174" s="37" t="s">
        <v>993</v>
      </c>
      <c r="C174" s="38" t="s">
        <v>994</v>
      </c>
      <c r="D174" s="38"/>
      <c r="E174" s="67" t="s">
        <v>175</v>
      </c>
      <c r="F174" s="80" t="s">
        <v>1375</v>
      </c>
      <c r="G174" s="10">
        <v>4.9800000000000004</v>
      </c>
      <c r="H174" s="229">
        <v>0.1</v>
      </c>
      <c r="I174" s="86">
        <f t="shared" si="25"/>
        <v>5.4780000000000006</v>
      </c>
      <c r="J174" s="86">
        <v>0.25</v>
      </c>
      <c r="K174" s="87">
        <f t="shared" si="31"/>
        <v>5.7280000000000006</v>
      </c>
      <c r="L174" s="34">
        <f t="shared" si="26"/>
        <v>6014400.0000000009</v>
      </c>
      <c r="M174" s="191" t="s">
        <v>858</v>
      </c>
      <c r="N174" s="34">
        <f t="shared" si="32"/>
        <v>3007200.0000000005</v>
      </c>
      <c r="O174" s="34">
        <f t="shared" si="28"/>
        <v>1050000</v>
      </c>
      <c r="P174" s="10">
        <v>26</v>
      </c>
      <c r="Q174" s="67">
        <v>26</v>
      </c>
      <c r="R174" s="164">
        <f t="shared" si="34"/>
        <v>3007200.0000000005</v>
      </c>
      <c r="S174" s="34">
        <f t="shared" si="29"/>
        <v>3007200.0000000005</v>
      </c>
      <c r="T174" s="108"/>
      <c r="U174" s="34">
        <f t="shared" si="33"/>
        <v>0</v>
      </c>
      <c r="V174" s="79"/>
      <c r="W174" s="34">
        <f t="shared" si="27"/>
        <v>0</v>
      </c>
      <c r="X174" s="34">
        <f t="shared" si="24"/>
        <v>60144.000000000007</v>
      </c>
      <c r="Y174" s="51">
        <f t="shared" si="35"/>
        <v>3067344.0000000005</v>
      </c>
      <c r="Z174" s="11" t="str">
        <f t="shared" si="30"/>
        <v>164</v>
      </c>
      <c r="AA174" s="118"/>
      <c r="AB174" s="171" t="s">
        <v>1123</v>
      </c>
      <c r="AC174" s="161"/>
    </row>
    <row r="175" spans="1:29" s="114" customFormat="1" ht="15.75">
      <c r="A175" s="33" t="s">
        <v>726</v>
      </c>
      <c r="B175" s="37" t="s">
        <v>991</v>
      </c>
      <c r="C175" s="38" t="s">
        <v>992</v>
      </c>
      <c r="D175" s="38"/>
      <c r="E175" s="67" t="s">
        <v>176</v>
      </c>
      <c r="F175" s="80" t="s">
        <v>1376</v>
      </c>
      <c r="G175" s="10">
        <v>4.9800000000000004</v>
      </c>
      <c r="H175" s="229">
        <v>0.06</v>
      </c>
      <c r="I175" s="86">
        <f t="shared" si="25"/>
        <v>5.2788000000000004</v>
      </c>
      <c r="J175" s="86">
        <v>0</v>
      </c>
      <c r="K175" s="87">
        <f t="shared" si="31"/>
        <v>5.2788000000000004</v>
      </c>
      <c r="L175" s="34">
        <f t="shared" si="26"/>
        <v>5542740</v>
      </c>
      <c r="M175" s="191" t="s">
        <v>858</v>
      </c>
      <c r="N175" s="34">
        <f t="shared" si="32"/>
        <v>2771370</v>
      </c>
      <c r="O175" s="34">
        <f t="shared" si="28"/>
        <v>1050000</v>
      </c>
      <c r="P175" s="10">
        <v>26</v>
      </c>
      <c r="Q175" s="67">
        <v>26</v>
      </c>
      <c r="R175" s="164">
        <f t="shared" si="34"/>
        <v>2771370</v>
      </c>
      <c r="S175" s="34">
        <f t="shared" si="29"/>
        <v>2771370</v>
      </c>
      <c r="T175" s="108"/>
      <c r="U175" s="34">
        <f t="shared" si="33"/>
        <v>0</v>
      </c>
      <c r="V175" s="79"/>
      <c r="W175" s="34">
        <f t="shared" si="27"/>
        <v>0</v>
      </c>
      <c r="X175" s="34">
        <f t="shared" si="24"/>
        <v>55427.4</v>
      </c>
      <c r="Y175" s="51">
        <f t="shared" si="35"/>
        <v>2826797.4</v>
      </c>
      <c r="Z175" s="11" t="str">
        <f t="shared" si="30"/>
        <v>165</v>
      </c>
      <c r="AA175" s="118"/>
      <c r="AB175" s="171" t="s">
        <v>1124</v>
      </c>
      <c r="AC175" s="161"/>
    </row>
    <row r="176" spans="1:29" s="114" customFormat="1" ht="20.25" customHeight="1">
      <c r="A176" s="33" t="s">
        <v>653</v>
      </c>
      <c r="B176" s="37" t="s">
        <v>999</v>
      </c>
      <c r="C176" s="38" t="s">
        <v>1000</v>
      </c>
      <c r="D176" s="38"/>
      <c r="E176" s="67" t="s">
        <v>177</v>
      </c>
      <c r="F176" s="80" t="s">
        <v>1377</v>
      </c>
      <c r="G176" s="10">
        <v>3.99</v>
      </c>
      <c r="H176" s="163"/>
      <c r="I176" s="86">
        <f t="shared" si="25"/>
        <v>3.99</v>
      </c>
      <c r="J176" s="86">
        <v>0.25</v>
      </c>
      <c r="K176" s="87">
        <f t="shared" si="31"/>
        <v>4.24</v>
      </c>
      <c r="L176" s="34">
        <f t="shared" si="26"/>
        <v>4452000</v>
      </c>
      <c r="M176" s="191" t="s">
        <v>858</v>
      </c>
      <c r="N176" s="34">
        <f t="shared" si="32"/>
        <v>2226000</v>
      </c>
      <c r="O176" s="34">
        <f t="shared" si="28"/>
        <v>1050000</v>
      </c>
      <c r="P176" s="10">
        <v>26</v>
      </c>
      <c r="Q176" s="67">
        <v>26</v>
      </c>
      <c r="R176" s="164">
        <f t="shared" si="34"/>
        <v>2226000</v>
      </c>
      <c r="S176" s="34">
        <f t="shared" si="29"/>
        <v>2226000</v>
      </c>
      <c r="T176" s="108"/>
      <c r="U176" s="34">
        <f t="shared" si="33"/>
        <v>0</v>
      </c>
      <c r="V176" s="79"/>
      <c r="W176" s="34">
        <f t="shared" si="27"/>
        <v>0</v>
      </c>
      <c r="X176" s="34">
        <f t="shared" si="24"/>
        <v>44520</v>
      </c>
      <c r="Y176" s="51">
        <f t="shared" si="35"/>
        <v>2270520</v>
      </c>
      <c r="Z176" s="11" t="str">
        <f t="shared" si="30"/>
        <v>166</v>
      </c>
      <c r="AA176" s="132"/>
      <c r="AB176" s="171" t="s">
        <v>1125</v>
      </c>
      <c r="AC176" s="161"/>
    </row>
    <row r="177" spans="1:29" s="114" customFormat="1" ht="21" customHeight="1">
      <c r="A177" s="33" t="s">
        <v>654</v>
      </c>
      <c r="B177" s="37" t="s">
        <v>1234</v>
      </c>
      <c r="C177" s="38" t="s">
        <v>1214</v>
      </c>
      <c r="D177" s="38"/>
      <c r="E177" s="67" t="s">
        <v>178</v>
      </c>
      <c r="F177" s="80" t="s">
        <v>1378</v>
      </c>
      <c r="G177" s="10">
        <v>2.67</v>
      </c>
      <c r="H177" s="163"/>
      <c r="I177" s="86">
        <f t="shared" si="25"/>
        <v>2.67</v>
      </c>
      <c r="J177" s="86"/>
      <c r="K177" s="87">
        <f t="shared" si="31"/>
        <v>2.67</v>
      </c>
      <c r="L177" s="34">
        <f t="shared" si="26"/>
        <v>2803500</v>
      </c>
      <c r="M177" s="191" t="s">
        <v>858</v>
      </c>
      <c r="N177" s="34">
        <f t="shared" si="32"/>
        <v>1401750</v>
      </c>
      <c r="O177" s="34">
        <f t="shared" si="28"/>
        <v>1050000</v>
      </c>
      <c r="P177" s="10">
        <v>26</v>
      </c>
      <c r="Q177" s="67">
        <v>26</v>
      </c>
      <c r="R177" s="164">
        <f t="shared" si="34"/>
        <v>1401750</v>
      </c>
      <c r="S177" s="34">
        <f t="shared" si="29"/>
        <v>1401750</v>
      </c>
      <c r="T177" s="108"/>
      <c r="U177" s="34">
        <f t="shared" si="33"/>
        <v>0</v>
      </c>
      <c r="V177" s="79"/>
      <c r="W177" s="34">
        <f t="shared" si="27"/>
        <v>0</v>
      </c>
      <c r="X177" s="34">
        <f t="shared" si="24"/>
        <v>28035</v>
      </c>
      <c r="Y177" s="51">
        <f t="shared" si="35"/>
        <v>1429785</v>
      </c>
      <c r="Z177" s="11" t="str">
        <f t="shared" si="30"/>
        <v>167</v>
      </c>
      <c r="AA177" s="132"/>
      <c r="AB177" s="171" t="s">
        <v>1126</v>
      </c>
      <c r="AC177" s="161"/>
    </row>
    <row r="178" spans="1:29" s="114" customFormat="1" ht="26.25" customHeight="1">
      <c r="A178" s="33" t="s">
        <v>655</v>
      </c>
      <c r="B178" s="37" t="s">
        <v>1251</v>
      </c>
      <c r="C178" s="38" t="s">
        <v>1009</v>
      </c>
      <c r="D178" s="38"/>
      <c r="E178" s="67" t="s">
        <v>179</v>
      </c>
      <c r="F178" s="80" t="s">
        <v>1379</v>
      </c>
      <c r="G178" s="10">
        <v>2.67</v>
      </c>
      <c r="H178" s="163"/>
      <c r="I178" s="86">
        <f t="shared" si="25"/>
        <v>2.67</v>
      </c>
      <c r="J178" s="86"/>
      <c r="K178" s="87">
        <f t="shared" si="31"/>
        <v>2.67</v>
      </c>
      <c r="L178" s="34">
        <f t="shared" si="26"/>
        <v>2803500</v>
      </c>
      <c r="M178" s="191" t="s">
        <v>858</v>
      </c>
      <c r="N178" s="34">
        <f t="shared" si="32"/>
        <v>1401750</v>
      </c>
      <c r="O178" s="34">
        <f>IF(M178="A",1050000,IF(M178="B",735000,IF(M178="C",514500,0)))</f>
        <v>1050000</v>
      </c>
      <c r="P178" s="10">
        <v>26</v>
      </c>
      <c r="Q178" s="67">
        <v>26</v>
      </c>
      <c r="R178" s="164">
        <f>IF(N178&gt;O178,N178,O178)</f>
        <v>1401750</v>
      </c>
      <c r="S178" s="34">
        <f t="shared" si="29"/>
        <v>1401750</v>
      </c>
      <c r="T178" s="108"/>
      <c r="U178" s="34">
        <f t="shared" si="33"/>
        <v>0</v>
      </c>
      <c r="V178" s="79"/>
      <c r="W178" s="34">
        <f t="shared" si="27"/>
        <v>0</v>
      </c>
      <c r="X178" s="34">
        <f t="shared" si="24"/>
        <v>28035</v>
      </c>
      <c r="Y178" s="51">
        <f t="shared" si="35"/>
        <v>1429785</v>
      </c>
      <c r="Z178" s="11" t="str">
        <f t="shared" si="30"/>
        <v>168</v>
      </c>
      <c r="AA178" s="118"/>
      <c r="AB178" s="171" t="s">
        <v>1127</v>
      </c>
      <c r="AC178" s="161"/>
    </row>
    <row r="179" spans="1:29" s="114" customFormat="1" ht="24" customHeight="1">
      <c r="A179" s="33" t="s">
        <v>656</v>
      </c>
      <c r="B179" s="37" t="s">
        <v>938</v>
      </c>
      <c r="C179" s="169" t="s">
        <v>364</v>
      </c>
      <c r="D179" s="169"/>
      <c r="E179" s="67" t="s">
        <v>336</v>
      </c>
      <c r="F179" s="80" t="s">
        <v>386</v>
      </c>
      <c r="G179" s="10">
        <v>2.34</v>
      </c>
      <c r="H179" s="163"/>
      <c r="I179" s="86">
        <f t="shared" si="25"/>
        <v>2.34</v>
      </c>
      <c r="J179" s="86"/>
      <c r="K179" s="87">
        <f t="shared" si="31"/>
        <v>2.34</v>
      </c>
      <c r="L179" s="34">
        <f t="shared" si="26"/>
        <v>2457000</v>
      </c>
      <c r="M179" s="191" t="s">
        <v>858</v>
      </c>
      <c r="N179" s="34">
        <f t="shared" si="32"/>
        <v>1228500</v>
      </c>
      <c r="O179" s="34">
        <f t="shared" si="28"/>
        <v>1050000</v>
      </c>
      <c r="P179" s="10">
        <v>26</v>
      </c>
      <c r="Q179" s="67">
        <v>26</v>
      </c>
      <c r="R179" s="164">
        <f t="shared" si="34"/>
        <v>1228500</v>
      </c>
      <c r="S179" s="34">
        <f t="shared" si="29"/>
        <v>1228500</v>
      </c>
      <c r="T179" s="108"/>
      <c r="U179" s="34">
        <f t="shared" si="33"/>
        <v>0</v>
      </c>
      <c r="V179" s="79"/>
      <c r="W179" s="34">
        <f t="shared" si="27"/>
        <v>0</v>
      </c>
      <c r="X179" s="34">
        <f t="shared" si="24"/>
        <v>24570</v>
      </c>
      <c r="Y179" s="51">
        <f t="shared" si="35"/>
        <v>1253070</v>
      </c>
      <c r="Z179" s="11" t="str">
        <f t="shared" si="30"/>
        <v>169</v>
      </c>
      <c r="AA179" s="132"/>
      <c r="AB179" s="171" t="s">
        <v>1131</v>
      </c>
      <c r="AC179" s="161"/>
    </row>
    <row r="180" spans="1:29" s="114" customFormat="1" ht="21.75" customHeight="1">
      <c r="A180" s="33" t="s">
        <v>657</v>
      </c>
      <c r="B180" s="37" t="s">
        <v>961</v>
      </c>
      <c r="C180" s="38" t="s">
        <v>891</v>
      </c>
      <c r="D180" s="38"/>
      <c r="E180" s="67" t="s">
        <v>337</v>
      </c>
      <c r="F180" s="80" t="s">
        <v>387</v>
      </c>
      <c r="G180" s="10">
        <v>2.34</v>
      </c>
      <c r="H180" s="163"/>
      <c r="I180" s="86">
        <f t="shared" si="25"/>
        <v>2.34</v>
      </c>
      <c r="J180" s="86"/>
      <c r="K180" s="87">
        <f t="shared" si="31"/>
        <v>2.34</v>
      </c>
      <c r="L180" s="34">
        <f t="shared" si="26"/>
        <v>2457000</v>
      </c>
      <c r="M180" s="191" t="s">
        <v>858</v>
      </c>
      <c r="N180" s="34">
        <f t="shared" si="32"/>
        <v>1228500</v>
      </c>
      <c r="O180" s="34">
        <f t="shared" si="28"/>
        <v>1050000</v>
      </c>
      <c r="P180" s="10">
        <v>26</v>
      </c>
      <c r="Q180" s="67">
        <v>26</v>
      </c>
      <c r="R180" s="164">
        <f t="shared" si="34"/>
        <v>1228500</v>
      </c>
      <c r="S180" s="34">
        <f t="shared" si="29"/>
        <v>1228500</v>
      </c>
      <c r="T180" s="108"/>
      <c r="U180" s="34">
        <f t="shared" si="33"/>
        <v>0</v>
      </c>
      <c r="V180" s="79"/>
      <c r="W180" s="34">
        <f t="shared" si="27"/>
        <v>0</v>
      </c>
      <c r="X180" s="34">
        <f t="shared" si="24"/>
        <v>24570</v>
      </c>
      <c r="Y180" s="51">
        <f t="shared" si="35"/>
        <v>1253070</v>
      </c>
      <c r="Z180" s="11" t="str">
        <f t="shared" si="30"/>
        <v>170</v>
      </c>
      <c r="AA180" s="118"/>
      <c r="AB180" s="171" t="s">
        <v>1132</v>
      </c>
      <c r="AC180" s="161"/>
    </row>
    <row r="181" spans="1:29" s="114" customFormat="1" ht="21.75" customHeight="1">
      <c r="A181" s="33" t="s">
        <v>658</v>
      </c>
      <c r="B181" s="37" t="s">
        <v>1236</v>
      </c>
      <c r="C181" s="38" t="s">
        <v>880</v>
      </c>
      <c r="D181" s="38"/>
      <c r="E181" s="67" t="s">
        <v>338</v>
      </c>
      <c r="F181" s="80" t="s">
        <v>388</v>
      </c>
      <c r="G181" s="10">
        <v>2.34</v>
      </c>
      <c r="H181" s="163"/>
      <c r="I181" s="86">
        <f t="shared" si="25"/>
        <v>2.34</v>
      </c>
      <c r="J181" s="86"/>
      <c r="K181" s="87">
        <f t="shared" si="31"/>
        <v>2.34</v>
      </c>
      <c r="L181" s="34">
        <f t="shared" si="26"/>
        <v>2457000</v>
      </c>
      <c r="M181" s="191" t="s">
        <v>858</v>
      </c>
      <c r="N181" s="34">
        <f t="shared" si="32"/>
        <v>1228500</v>
      </c>
      <c r="O181" s="34">
        <f t="shared" si="28"/>
        <v>1050000</v>
      </c>
      <c r="P181" s="10">
        <v>26</v>
      </c>
      <c r="Q181" s="67">
        <v>26</v>
      </c>
      <c r="R181" s="164">
        <f t="shared" si="34"/>
        <v>1228500</v>
      </c>
      <c r="S181" s="34">
        <f t="shared" si="29"/>
        <v>1228500</v>
      </c>
      <c r="T181" s="108"/>
      <c r="U181" s="34">
        <f t="shared" si="33"/>
        <v>0</v>
      </c>
      <c r="V181" s="79"/>
      <c r="W181" s="34">
        <f t="shared" si="27"/>
        <v>0</v>
      </c>
      <c r="X181" s="34">
        <f t="shared" si="24"/>
        <v>24570</v>
      </c>
      <c r="Y181" s="51">
        <f t="shared" si="35"/>
        <v>1253070</v>
      </c>
      <c r="Z181" s="11" t="str">
        <f t="shared" si="30"/>
        <v>171</v>
      </c>
      <c r="AA181" s="118"/>
      <c r="AB181" s="171" t="s">
        <v>1133</v>
      </c>
      <c r="AC181" s="161"/>
    </row>
    <row r="182" spans="1:29" s="114" customFormat="1" ht="24">
      <c r="A182" s="33" t="s">
        <v>659</v>
      </c>
      <c r="B182" s="37" t="s">
        <v>454</v>
      </c>
      <c r="C182" s="38" t="s">
        <v>455</v>
      </c>
      <c r="D182" s="38"/>
      <c r="E182" s="67" t="s">
        <v>457</v>
      </c>
      <c r="F182" s="80" t="s">
        <v>456</v>
      </c>
      <c r="G182" s="10">
        <f>2.34</f>
        <v>2.34</v>
      </c>
      <c r="H182" s="163"/>
      <c r="I182" s="86">
        <f t="shared" si="25"/>
        <v>2.34</v>
      </c>
      <c r="J182" s="86"/>
      <c r="K182" s="87">
        <f t="shared" si="31"/>
        <v>2.34</v>
      </c>
      <c r="L182" s="34">
        <f t="shared" si="26"/>
        <v>2457000</v>
      </c>
      <c r="M182" s="191" t="s">
        <v>525</v>
      </c>
      <c r="N182" s="34">
        <f t="shared" si="32"/>
        <v>921375</v>
      </c>
      <c r="O182" s="34">
        <f t="shared" si="28"/>
        <v>735000</v>
      </c>
      <c r="P182" s="10">
        <v>26</v>
      </c>
      <c r="Q182" s="67">
        <v>26</v>
      </c>
      <c r="R182" s="164">
        <f t="shared" si="34"/>
        <v>921375</v>
      </c>
      <c r="S182" s="34">
        <f t="shared" si="29"/>
        <v>921375</v>
      </c>
      <c r="T182" s="108"/>
      <c r="U182" s="34">
        <f t="shared" si="33"/>
        <v>0</v>
      </c>
      <c r="V182" s="79"/>
      <c r="W182" s="34">
        <f t="shared" si="27"/>
        <v>0</v>
      </c>
      <c r="X182" s="34">
        <f t="shared" si="24"/>
        <v>24570</v>
      </c>
      <c r="Y182" s="51">
        <f t="shared" si="35"/>
        <v>945945</v>
      </c>
      <c r="Z182" s="11" t="str">
        <f t="shared" si="30"/>
        <v>172</v>
      </c>
      <c r="AA182" s="132" t="s">
        <v>821</v>
      </c>
      <c r="AB182" s="171" t="s">
        <v>1142</v>
      </c>
      <c r="AC182" s="161"/>
    </row>
    <row r="183" spans="1:29" s="114" customFormat="1" ht="19.5" customHeight="1">
      <c r="A183" s="33" t="s">
        <v>660</v>
      </c>
      <c r="B183" s="37" t="s">
        <v>287</v>
      </c>
      <c r="C183" s="155" t="s">
        <v>883</v>
      </c>
      <c r="D183" s="155"/>
      <c r="E183" s="67" t="s">
        <v>339</v>
      </c>
      <c r="F183" s="107">
        <v>1603205182178</v>
      </c>
      <c r="G183" s="191">
        <v>2.41</v>
      </c>
      <c r="H183" s="163"/>
      <c r="I183" s="86">
        <f t="shared" si="25"/>
        <v>2.41</v>
      </c>
      <c r="J183" s="86"/>
      <c r="K183" s="87">
        <f t="shared" si="31"/>
        <v>2.41</v>
      </c>
      <c r="L183" s="34">
        <f t="shared" si="26"/>
        <v>2530500</v>
      </c>
      <c r="M183" s="191" t="s">
        <v>858</v>
      </c>
      <c r="N183" s="34">
        <f t="shared" si="32"/>
        <v>1265250</v>
      </c>
      <c r="O183" s="34">
        <f t="shared" si="28"/>
        <v>1050000</v>
      </c>
      <c r="P183" s="10">
        <v>21</v>
      </c>
      <c r="Q183" s="67">
        <v>23</v>
      </c>
      <c r="R183" s="164">
        <f t="shared" si="34"/>
        <v>1265250</v>
      </c>
      <c r="S183" s="34">
        <f t="shared" si="29"/>
        <v>1265250</v>
      </c>
      <c r="T183" s="108"/>
      <c r="U183" s="34">
        <f t="shared" si="33"/>
        <v>0</v>
      </c>
      <c r="V183" s="79"/>
      <c r="W183" s="34">
        <f t="shared" si="27"/>
        <v>0</v>
      </c>
      <c r="X183" s="34">
        <f t="shared" si="24"/>
        <v>25305.000000000004</v>
      </c>
      <c r="Y183" s="51">
        <f t="shared" si="35"/>
        <v>1290555</v>
      </c>
      <c r="Z183" s="11" t="str">
        <f t="shared" si="30"/>
        <v>173</v>
      </c>
      <c r="AA183" s="132"/>
      <c r="AB183" s="171" t="s">
        <v>1143</v>
      </c>
      <c r="AC183" s="161"/>
    </row>
    <row r="184" spans="1:29" s="114" customFormat="1" ht="22.5" customHeight="1">
      <c r="A184" s="33" t="s">
        <v>661</v>
      </c>
      <c r="B184" s="37" t="s">
        <v>742</v>
      </c>
      <c r="C184" s="38" t="s">
        <v>876</v>
      </c>
      <c r="D184" s="155"/>
      <c r="E184" s="205" t="s">
        <v>741</v>
      </c>
      <c r="F184" s="206" t="s">
        <v>743</v>
      </c>
      <c r="G184" s="10">
        <f>2.34*85%</f>
        <v>1.9889999999999999</v>
      </c>
      <c r="H184" s="163"/>
      <c r="I184" s="86">
        <f t="shared" si="25"/>
        <v>1.9889999999999999</v>
      </c>
      <c r="J184" s="86"/>
      <c r="K184" s="87">
        <f t="shared" si="31"/>
        <v>1.9889999999999999</v>
      </c>
      <c r="L184" s="34">
        <f t="shared" si="26"/>
        <v>2088449.9999999998</v>
      </c>
      <c r="M184" s="191" t="s">
        <v>858</v>
      </c>
      <c r="N184" s="34">
        <f t="shared" si="32"/>
        <v>1044224.9999999999</v>
      </c>
      <c r="O184" s="34">
        <f>IF(M184="A",1050000,IF(M184="B",735000,IF(M184="C",514500,0)))</f>
        <v>1050000</v>
      </c>
      <c r="P184" s="10">
        <v>26</v>
      </c>
      <c r="Q184" s="67">
        <v>26</v>
      </c>
      <c r="R184" s="164">
        <f>IF(N184&gt;O184,N184,O184)</f>
        <v>1050000</v>
      </c>
      <c r="S184" s="34">
        <f>IF(Q184&gt;=P184,R184,R184/P184*Q184)</f>
        <v>1050000</v>
      </c>
      <c r="T184" s="108"/>
      <c r="U184" s="34">
        <f t="shared" si="33"/>
        <v>0</v>
      </c>
      <c r="V184" s="79"/>
      <c r="W184" s="34">
        <f t="shared" si="27"/>
        <v>0</v>
      </c>
      <c r="X184" s="34">
        <f>(K184*0.01*$H$7)+(T184*1%*$H$7)+(V184*1%*$H$7)</f>
        <v>20884.499999999996</v>
      </c>
      <c r="Y184" s="51">
        <f>(S184+U184+W184+X184)</f>
        <v>1070884.5</v>
      </c>
      <c r="Z184" s="11" t="str">
        <f t="shared" si="30"/>
        <v>174</v>
      </c>
      <c r="AA184" s="132"/>
      <c r="AB184" s="171" t="s">
        <v>1144</v>
      </c>
      <c r="AC184" s="161"/>
    </row>
    <row r="185" spans="1:29" s="114" customFormat="1" ht="22.5" customHeight="1">
      <c r="A185" s="33" t="s">
        <v>662</v>
      </c>
      <c r="B185" s="37" t="s">
        <v>1002</v>
      </c>
      <c r="C185" s="38" t="s">
        <v>886</v>
      </c>
      <c r="D185" s="155"/>
      <c r="E185" s="205" t="s">
        <v>744</v>
      </c>
      <c r="F185" s="207">
        <v>1603205357641</v>
      </c>
      <c r="G185" s="10">
        <f>2.67*85%</f>
        <v>2.2694999999999999</v>
      </c>
      <c r="H185" s="163"/>
      <c r="I185" s="86">
        <f t="shared" si="25"/>
        <v>2.2694999999999999</v>
      </c>
      <c r="J185" s="86"/>
      <c r="K185" s="87">
        <f t="shared" si="31"/>
        <v>2.2694999999999999</v>
      </c>
      <c r="L185" s="34">
        <f t="shared" si="26"/>
        <v>2382975</v>
      </c>
      <c r="M185" s="191" t="s">
        <v>858</v>
      </c>
      <c r="N185" s="34">
        <f t="shared" si="32"/>
        <v>1191487.5</v>
      </c>
      <c r="O185" s="34">
        <f>IF(M185="A",1050000,IF(M185="B",735000,IF(M185="C",514500,0)))</f>
        <v>1050000</v>
      </c>
      <c r="P185" s="10">
        <v>26</v>
      </c>
      <c r="Q185" s="67">
        <v>26</v>
      </c>
      <c r="R185" s="164">
        <f>IF(N185&gt;O185,N185,O185)</f>
        <v>1191487.5</v>
      </c>
      <c r="S185" s="34">
        <f>IF(Q185&gt;=P185,R185,R185/P185*Q185)</f>
        <v>1191487.5</v>
      </c>
      <c r="T185" s="108"/>
      <c r="U185" s="34">
        <f t="shared" si="33"/>
        <v>0</v>
      </c>
      <c r="V185" s="79"/>
      <c r="W185" s="34">
        <f t="shared" si="27"/>
        <v>0</v>
      </c>
      <c r="X185" s="34">
        <f>(K185*0.01*$H$7)+(T185*1%*$H$7)+(V185*1%*$H$7)</f>
        <v>23829.75</v>
      </c>
      <c r="Y185" s="51">
        <f>(S185+U185+W185+X185)</f>
        <v>1215317.25</v>
      </c>
      <c r="Z185" s="11" t="str">
        <f t="shared" si="30"/>
        <v>175</v>
      </c>
      <c r="AA185" s="132"/>
      <c r="AB185" s="171" t="s">
        <v>1145</v>
      </c>
      <c r="AC185" s="161"/>
    </row>
    <row r="186" spans="1:29" s="114" customFormat="1" ht="22.5" customHeight="1">
      <c r="A186" s="33" t="s">
        <v>663</v>
      </c>
      <c r="B186" s="37" t="s">
        <v>467</v>
      </c>
      <c r="C186" s="38" t="s">
        <v>746</v>
      </c>
      <c r="D186" s="155"/>
      <c r="E186" s="205" t="s">
        <v>745</v>
      </c>
      <c r="F186" s="207">
        <v>1603205357120</v>
      </c>
      <c r="G186" s="10">
        <f>2.34*85%</f>
        <v>1.9889999999999999</v>
      </c>
      <c r="H186" s="163"/>
      <c r="I186" s="86">
        <f>G186+(G186*H186)</f>
        <v>1.9889999999999999</v>
      </c>
      <c r="J186" s="86"/>
      <c r="K186" s="87">
        <f>I186+J186</f>
        <v>1.9889999999999999</v>
      </c>
      <c r="L186" s="34">
        <f t="shared" si="26"/>
        <v>2088449.9999999998</v>
      </c>
      <c r="M186" s="191" t="s">
        <v>858</v>
      </c>
      <c r="N186" s="34">
        <f t="shared" si="32"/>
        <v>1044224.9999999999</v>
      </c>
      <c r="O186" s="34">
        <f>IF(M186="A",1050000,IF(M186="B",735000,IF(M186="C",514500,0)))</f>
        <v>1050000</v>
      </c>
      <c r="P186" s="10">
        <v>26</v>
      </c>
      <c r="Q186" s="67">
        <v>26</v>
      </c>
      <c r="R186" s="164">
        <f>IF(N186&gt;O186,N186,O186)</f>
        <v>1050000</v>
      </c>
      <c r="S186" s="34">
        <f>IF(Q186&gt;=P186,R186,R186/P186*Q186)</f>
        <v>1050000</v>
      </c>
      <c r="T186" s="108"/>
      <c r="U186" s="34">
        <f t="shared" si="33"/>
        <v>0</v>
      </c>
      <c r="V186" s="79"/>
      <c r="W186" s="34">
        <f t="shared" si="27"/>
        <v>0</v>
      </c>
      <c r="X186" s="34">
        <f>(K186*0.01*$H$7)+(T186*1%*$H$7)+(V186*1%*$H$7)</f>
        <v>20884.499999999996</v>
      </c>
      <c r="Y186" s="51">
        <f>(S186+U186+W186+X186)</f>
        <v>1070884.5</v>
      </c>
      <c r="Z186" s="11" t="str">
        <f t="shared" si="30"/>
        <v>176</v>
      </c>
      <c r="AA186" s="132"/>
      <c r="AB186" s="171" t="s">
        <v>1146</v>
      </c>
      <c r="AC186" s="161"/>
    </row>
    <row r="187" spans="1:29" s="114" customFormat="1" ht="15.75">
      <c r="A187" s="33" t="s">
        <v>664</v>
      </c>
      <c r="B187" s="37" t="s">
        <v>904</v>
      </c>
      <c r="C187" s="155" t="s">
        <v>905</v>
      </c>
      <c r="D187" s="155"/>
      <c r="E187" s="67" t="s">
        <v>60</v>
      </c>
      <c r="F187" s="90" t="s">
        <v>1261</v>
      </c>
      <c r="G187" s="10">
        <v>4.32</v>
      </c>
      <c r="H187" s="163"/>
      <c r="I187" s="86">
        <f>G187+(G187*H187)</f>
        <v>4.32</v>
      </c>
      <c r="J187" s="86">
        <v>0</v>
      </c>
      <c r="K187" s="87">
        <f>I187+J187</f>
        <v>4.32</v>
      </c>
      <c r="L187" s="34">
        <f>K187*$H$7</f>
        <v>4536000</v>
      </c>
      <c r="M187" s="191" t="s">
        <v>858</v>
      </c>
      <c r="N187" s="34">
        <f t="shared" si="32"/>
        <v>2268000</v>
      </c>
      <c r="O187" s="34">
        <f>IF(M187="A",1050000,IF(M187="B",735000,IF(M187="C",514500,0)))</f>
        <v>1050000</v>
      </c>
      <c r="P187" s="10">
        <v>21</v>
      </c>
      <c r="Q187" s="67">
        <v>26</v>
      </c>
      <c r="R187" s="164">
        <f>IF(N187&gt;O187,N187,O187)</f>
        <v>2268000</v>
      </c>
      <c r="S187" s="34">
        <f>IF(Q187&gt;=P187,R187,R187/P187*Q187)</f>
        <v>2268000</v>
      </c>
      <c r="T187" s="108"/>
      <c r="U187" s="34">
        <f>T187*$H$7*0.5</f>
        <v>0</v>
      </c>
      <c r="V187" s="79"/>
      <c r="W187" s="34">
        <f>V187*$H$7*0.5</f>
        <v>0</v>
      </c>
      <c r="X187" s="34">
        <f>(K187*0.01*$H$7)+(T187*1%*$H$7)+(V187*1%*$H$7)</f>
        <v>45360</v>
      </c>
      <c r="Y187" s="51">
        <f>(S187+U187+W187+X187)</f>
        <v>2313360</v>
      </c>
      <c r="Z187" s="11" t="str">
        <f>A187</f>
        <v>177</v>
      </c>
      <c r="AA187" s="118"/>
      <c r="AB187" s="171" t="s">
        <v>1147</v>
      </c>
      <c r="AC187" s="161"/>
    </row>
    <row r="188" spans="1:29" s="114" customFormat="1" ht="18" customHeight="1">
      <c r="A188" s="33" t="s">
        <v>665</v>
      </c>
      <c r="B188" s="37" t="s">
        <v>989</v>
      </c>
      <c r="C188" s="38" t="s">
        <v>990</v>
      </c>
      <c r="D188" s="38" t="s">
        <v>550</v>
      </c>
      <c r="E188" s="67" t="s">
        <v>182</v>
      </c>
      <c r="F188" s="80" t="s">
        <v>1382</v>
      </c>
      <c r="G188" s="10">
        <v>4.9800000000000004</v>
      </c>
      <c r="H188" s="229">
        <v>0.06</v>
      </c>
      <c r="I188" s="86">
        <f t="shared" si="25"/>
        <v>5.2788000000000004</v>
      </c>
      <c r="J188" s="86">
        <v>0.45</v>
      </c>
      <c r="K188" s="87">
        <f t="shared" si="31"/>
        <v>5.7288000000000006</v>
      </c>
      <c r="L188" s="34">
        <f t="shared" si="26"/>
        <v>6015240.0000000009</v>
      </c>
      <c r="M188" s="191" t="s">
        <v>858</v>
      </c>
      <c r="N188" s="34">
        <f t="shared" si="32"/>
        <v>3007620.0000000005</v>
      </c>
      <c r="O188" s="34">
        <f t="shared" si="28"/>
        <v>1050000</v>
      </c>
      <c r="P188" s="10">
        <v>26</v>
      </c>
      <c r="Q188" s="67">
        <v>26</v>
      </c>
      <c r="R188" s="164">
        <f t="shared" si="34"/>
        <v>3007620.0000000005</v>
      </c>
      <c r="S188" s="34">
        <f t="shared" si="29"/>
        <v>3007620.0000000005</v>
      </c>
      <c r="T188" s="108"/>
      <c r="U188" s="34">
        <f t="shared" si="33"/>
        <v>0</v>
      </c>
      <c r="V188" s="79"/>
      <c r="W188" s="34">
        <f t="shared" si="27"/>
        <v>0</v>
      </c>
      <c r="X188" s="34">
        <f t="shared" ref="X188:X250" si="36">(K188*0.01*$H$7)+(T188*1%*$H$7)+(V188*1%*$H$7)</f>
        <v>60152.400000000009</v>
      </c>
      <c r="Y188" s="51">
        <f t="shared" si="35"/>
        <v>3067772.4000000004</v>
      </c>
      <c r="Z188" s="11" t="str">
        <f t="shared" si="30"/>
        <v>178</v>
      </c>
      <c r="AA188" s="132"/>
      <c r="AB188" s="171" t="s">
        <v>812</v>
      </c>
      <c r="AC188" s="161"/>
    </row>
    <row r="189" spans="1:29" s="114" customFormat="1" ht="18" customHeight="1">
      <c r="A189" s="33" t="s">
        <v>666</v>
      </c>
      <c r="B189" s="37" t="s">
        <v>862</v>
      </c>
      <c r="C189" s="38" t="s">
        <v>1046</v>
      </c>
      <c r="D189" s="38"/>
      <c r="E189" s="67" t="s">
        <v>181</v>
      </c>
      <c r="F189" s="90" t="s">
        <v>1381</v>
      </c>
      <c r="G189" s="10">
        <v>3.99</v>
      </c>
      <c r="H189" s="163"/>
      <c r="I189" s="86">
        <f t="shared" si="25"/>
        <v>3.99</v>
      </c>
      <c r="J189" s="86">
        <v>0.35</v>
      </c>
      <c r="K189" s="87">
        <f t="shared" si="31"/>
        <v>4.34</v>
      </c>
      <c r="L189" s="34">
        <f t="shared" si="26"/>
        <v>4557000</v>
      </c>
      <c r="M189" s="191" t="s">
        <v>858</v>
      </c>
      <c r="N189" s="34">
        <f t="shared" si="32"/>
        <v>2278500</v>
      </c>
      <c r="O189" s="34">
        <f t="shared" si="28"/>
        <v>1050000</v>
      </c>
      <c r="P189" s="10">
        <v>26</v>
      </c>
      <c r="Q189" s="67">
        <v>26</v>
      </c>
      <c r="R189" s="164">
        <f t="shared" si="34"/>
        <v>2278500</v>
      </c>
      <c r="S189" s="34">
        <f t="shared" si="29"/>
        <v>2278500</v>
      </c>
      <c r="T189" s="108"/>
      <c r="U189" s="34">
        <f t="shared" si="33"/>
        <v>0</v>
      </c>
      <c r="V189" s="79"/>
      <c r="W189" s="34">
        <f t="shared" si="27"/>
        <v>0</v>
      </c>
      <c r="X189" s="34">
        <f t="shared" si="36"/>
        <v>45570</v>
      </c>
      <c r="Y189" s="51">
        <f t="shared" si="35"/>
        <v>2324070</v>
      </c>
      <c r="Z189" s="11" t="str">
        <f t="shared" si="30"/>
        <v>179</v>
      </c>
      <c r="AA189" s="132"/>
      <c r="AB189" s="171" t="s">
        <v>813</v>
      </c>
      <c r="AC189" s="161"/>
    </row>
    <row r="190" spans="1:29" s="114" customFormat="1" ht="18" customHeight="1">
      <c r="A190" s="33" t="s">
        <v>667</v>
      </c>
      <c r="B190" s="37" t="s">
        <v>1047</v>
      </c>
      <c r="C190" s="38" t="s">
        <v>1048</v>
      </c>
      <c r="D190" s="38"/>
      <c r="E190" s="67" t="s">
        <v>183</v>
      </c>
      <c r="F190" s="80" t="s">
        <v>1383</v>
      </c>
      <c r="G190" s="10">
        <v>4.9800000000000004</v>
      </c>
      <c r="H190" s="229">
        <v>0.06</v>
      </c>
      <c r="I190" s="86">
        <f t="shared" si="25"/>
        <v>5.2788000000000004</v>
      </c>
      <c r="J190" s="86">
        <v>0.25</v>
      </c>
      <c r="K190" s="87">
        <f t="shared" si="31"/>
        <v>5.5288000000000004</v>
      </c>
      <c r="L190" s="34">
        <f t="shared" si="26"/>
        <v>5805240</v>
      </c>
      <c r="M190" s="191" t="s">
        <v>858</v>
      </c>
      <c r="N190" s="34">
        <f t="shared" si="32"/>
        <v>2902620</v>
      </c>
      <c r="O190" s="34">
        <f t="shared" si="28"/>
        <v>1050000</v>
      </c>
      <c r="P190" s="10">
        <v>26</v>
      </c>
      <c r="Q190" s="67">
        <v>26</v>
      </c>
      <c r="R190" s="164">
        <f t="shared" si="34"/>
        <v>2902620</v>
      </c>
      <c r="S190" s="34">
        <f t="shared" si="29"/>
        <v>2902620</v>
      </c>
      <c r="T190" s="108"/>
      <c r="U190" s="34">
        <f t="shared" si="33"/>
        <v>0</v>
      </c>
      <c r="V190" s="79"/>
      <c r="W190" s="34">
        <f t="shared" si="27"/>
        <v>0</v>
      </c>
      <c r="X190" s="34">
        <f t="shared" si="36"/>
        <v>58052.4</v>
      </c>
      <c r="Y190" s="51">
        <f t="shared" si="35"/>
        <v>2960672.4</v>
      </c>
      <c r="Z190" s="11" t="str">
        <f t="shared" si="30"/>
        <v>180</v>
      </c>
      <c r="AA190" s="132"/>
      <c r="AB190" s="171" t="s">
        <v>814</v>
      </c>
      <c r="AC190" s="161"/>
    </row>
    <row r="191" spans="1:29" s="114" customFormat="1" ht="20.25" customHeight="1">
      <c r="A191" s="33" t="s">
        <v>668</v>
      </c>
      <c r="B191" s="37" t="s">
        <v>1047</v>
      </c>
      <c r="C191" s="38" t="s">
        <v>1185</v>
      </c>
      <c r="D191" s="38"/>
      <c r="E191" s="67" t="s">
        <v>184</v>
      </c>
      <c r="F191" s="80" t="s">
        <v>1384</v>
      </c>
      <c r="G191" s="10">
        <v>3.99</v>
      </c>
      <c r="H191" s="163"/>
      <c r="I191" s="86">
        <f t="shared" si="25"/>
        <v>3.99</v>
      </c>
      <c r="J191" s="86">
        <v>0</v>
      </c>
      <c r="K191" s="87">
        <f t="shared" si="31"/>
        <v>3.99</v>
      </c>
      <c r="L191" s="34">
        <f t="shared" si="26"/>
        <v>4189500</v>
      </c>
      <c r="M191" s="191" t="s">
        <v>858</v>
      </c>
      <c r="N191" s="34">
        <f t="shared" si="32"/>
        <v>2094750</v>
      </c>
      <c r="O191" s="34">
        <f t="shared" si="28"/>
        <v>1050000</v>
      </c>
      <c r="P191" s="10">
        <v>26</v>
      </c>
      <c r="Q191" s="67">
        <v>26</v>
      </c>
      <c r="R191" s="164">
        <f t="shared" si="34"/>
        <v>2094750</v>
      </c>
      <c r="S191" s="34">
        <f t="shared" si="29"/>
        <v>2094750</v>
      </c>
      <c r="T191" s="108"/>
      <c r="U191" s="34">
        <f t="shared" si="33"/>
        <v>0</v>
      </c>
      <c r="V191" s="79"/>
      <c r="W191" s="34">
        <f t="shared" si="27"/>
        <v>0</v>
      </c>
      <c r="X191" s="34">
        <f t="shared" si="36"/>
        <v>41895.000000000007</v>
      </c>
      <c r="Y191" s="51">
        <f t="shared" si="35"/>
        <v>2136645</v>
      </c>
      <c r="Z191" s="11" t="str">
        <f t="shared" si="30"/>
        <v>181</v>
      </c>
      <c r="AA191" s="132"/>
      <c r="AB191" s="171" t="s">
        <v>815</v>
      </c>
      <c r="AC191" s="161"/>
    </row>
    <row r="192" spans="1:29" s="114" customFormat="1" ht="20.25" customHeight="1">
      <c r="A192" s="33" t="s">
        <v>669</v>
      </c>
      <c r="B192" s="37" t="s">
        <v>969</v>
      </c>
      <c r="C192" s="38" t="s">
        <v>1049</v>
      </c>
      <c r="D192" s="38"/>
      <c r="E192" s="67" t="s">
        <v>185</v>
      </c>
      <c r="F192" s="80" t="s">
        <v>1385</v>
      </c>
      <c r="G192" s="10">
        <v>3.33</v>
      </c>
      <c r="H192" s="163"/>
      <c r="I192" s="86">
        <f t="shared" si="25"/>
        <v>3.33</v>
      </c>
      <c r="J192" s="86">
        <v>0.25</v>
      </c>
      <c r="K192" s="87">
        <f t="shared" si="31"/>
        <v>3.58</v>
      </c>
      <c r="L192" s="34">
        <f t="shared" si="26"/>
        <v>3759000</v>
      </c>
      <c r="M192" s="191" t="s">
        <v>858</v>
      </c>
      <c r="N192" s="34">
        <f t="shared" si="32"/>
        <v>1879500</v>
      </c>
      <c r="O192" s="34">
        <f t="shared" si="28"/>
        <v>1050000</v>
      </c>
      <c r="P192" s="10">
        <v>26</v>
      </c>
      <c r="Q192" s="67">
        <v>26</v>
      </c>
      <c r="R192" s="164">
        <f t="shared" si="34"/>
        <v>1879500</v>
      </c>
      <c r="S192" s="34">
        <f t="shared" si="29"/>
        <v>1879500</v>
      </c>
      <c r="T192" s="108"/>
      <c r="U192" s="34">
        <f t="shared" si="33"/>
        <v>0</v>
      </c>
      <c r="V192" s="79"/>
      <c r="W192" s="34">
        <f t="shared" si="27"/>
        <v>0</v>
      </c>
      <c r="X192" s="34">
        <f t="shared" si="36"/>
        <v>37590</v>
      </c>
      <c r="Y192" s="51">
        <f t="shared" si="35"/>
        <v>1917090</v>
      </c>
      <c r="Z192" s="11" t="str">
        <f t="shared" si="30"/>
        <v>182</v>
      </c>
      <c r="AA192" s="132"/>
      <c r="AB192" s="171" t="s">
        <v>816</v>
      </c>
      <c r="AC192" s="161"/>
    </row>
    <row r="193" spans="1:29" s="114" customFormat="1" ht="21.75" customHeight="1">
      <c r="A193" s="33" t="s">
        <v>670</v>
      </c>
      <c r="B193" s="37" t="s">
        <v>1050</v>
      </c>
      <c r="C193" s="38" t="s">
        <v>1019</v>
      </c>
      <c r="D193" s="38"/>
      <c r="E193" s="67" t="s">
        <v>186</v>
      </c>
      <c r="F193" s="80" t="s">
        <v>1386</v>
      </c>
      <c r="G193" s="10">
        <v>3.33</v>
      </c>
      <c r="H193" s="163"/>
      <c r="I193" s="86">
        <f t="shared" si="25"/>
        <v>3.33</v>
      </c>
      <c r="J193" s="86"/>
      <c r="K193" s="87">
        <f t="shared" si="31"/>
        <v>3.33</v>
      </c>
      <c r="L193" s="34">
        <f t="shared" si="26"/>
        <v>3496500</v>
      </c>
      <c r="M193" s="191" t="s">
        <v>858</v>
      </c>
      <c r="N193" s="34">
        <f t="shared" si="32"/>
        <v>1748250</v>
      </c>
      <c r="O193" s="34">
        <f t="shared" si="28"/>
        <v>1050000</v>
      </c>
      <c r="P193" s="10">
        <v>26</v>
      </c>
      <c r="Q193" s="67">
        <v>26</v>
      </c>
      <c r="R193" s="164">
        <f t="shared" si="34"/>
        <v>1748250</v>
      </c>
      <c r="S193" s="34">
        <f t="shared" si="29"/>
        <v>1748250</v>
      </c>
      <c r="T193" s="108"/>
      <c r="U193" s="34">
        <f t="shared" si="33"/>
        <v>0</v>
      </c>
      <c r="V193" s="79"/>
      <c r="W193" s="34">
        <f t="shared" si="27"/>
        <v>0</v>
      </c>
      <c r="X193" s="34">
        <f t="shared" si="36"/>
        <v>34965</v>
      </c>
      <c r="Y193" s="51">
        <f t="shared" si="35"/>
        <v>1783215</v>
      </c>
      <c r="Z193" s="11" t="str">
        <f t="shared" si="30"/>
        <v>183</v>
      </c>
      <c r="AA193" s="132"/>
      <c r="AB193" s="171" t="s">
        <v>817</v>
      </c>
      <c r="AC193" s="161"/>
    </row>
    <row r="194" spans="1:29" s="114" customFormat="1" ht="20.25" customHeight="1">
      <c r="A194" s="33" t="s">
        <v>671</v>
      </c>
      <c r="B194" s="37" t="s">
        <v>935</v>
      </c>
      <c r="C194" s="38" t="s">
        <v>1051</v>
      </c>
      <c r="D194" s="38"/>
      <c r="E194" s="67" t="s">
        <v>187</v>
      </c>
      <c r="F194" s="80" t="s">
        <v>1387</v>
      </c>
      <c r="G194" s="10">
        <v>3</v>
      </c>
      <c r="H194" s="163"/>
      <c r="I194" s="86">
        <f t="shared" si="25"/>
        <v>3</v>
      </c>
      <c r="J194" s="86">
        <v>0</v>
      </c>
      <c r="K194" s="87">
        <f t="shared" si="31"/>
        <v>3</v>
      </c>
      <c r="L194" s="34">
        <f t="shared" si="26"/>
        <v>3150000</v>
      </c>
      <c r="M194" s="191" t="s">
        <v>858</v>
      </c>
      <c r="N194" s="34">
        <f t="shared" si="32"/>
        <v>1575000</v>
      </c>
      <c r="O194" s="34">
        <f t="shared" si="28"/>
        <v>1050000</v>
      </c>
      <c r="P194" s="10">
        <v>26</v>
      </c>
      <c r="Q194" s="67">
        <v>26</v>
      </c>
      <c r="R194" s="164">
        <f t="shared" si="34"/>
        <v>1575000</v>
      </c>
      <c r="S194" s="34">
        <f t="shared" si="29"/>
        <v>1575000</v>
      </c>
      <c r="T194" s="108"/>
      <c r="U194" s="34">
        <f t="shared" si="33"/>
        <v>0</v>
      </c>
      <c r="V194" s="79"/>
      <c r="W194" s="34">
        <f t="shared" si="27"/>
        <v>0</v>
      </c>
      <c r="X194" s="34">
        <f t="shared" si="36"/>
        <v>31500</v>
      </c>
      <c r="Y194" s="51">
        <f t="shared" si="35"/>
        <v>1606500</v>
      </c>
      <c r="Z194" s="11" t="str">
        <f t="shared" si="30"/>
        <v>184</v>
      </c>
      <c r="AA194" s="132"/>
      <c r="AB194" s="171" t="s">
        <v>818</v>
      </c>
      <c r="AC194" s="161"/>
    </row>
    <row r="195" spans="1:29" s="114" customFormat="1" ht="21" customHeight="1">
      <c r="A195" s="33" t="s">
        <v>672</v>
      </c>
      <c r="B195" s="37" t="s">
        <v>1052</v>
      </c>
      <c r="C195" s="38" t="s">
        <v>1053</v>
      </c>
      <c r="D195" s="38"/>
      <c r="E195" s="67" t="s">
        <v>188</v>
      </c>
      <c r="F195" s="80" t="s">
        <v>1388</v>
      </c>
      <c r="G195" s="10">
        <v>3.33</v>
      </c>
      <c r="H195" s="163"/>
      <c r="I195" s="86">
        <f t="shared" si="25"/>
        <v>3.33</v>
      </c>
      <c r="J195" s="86">
        <v>0</v>
      </c>
      <c r="K195" s="87">
        <f t="shared" si="31"/>
        <v>3.33</v>
      </c>
      <c r="L195" s="34">
        <f t="shared" si="26"/>
        <v>3496500</v>
      </c>
      <c r="M195" s="191" t="s">
        <v>858</v>
      </c>
      <c r="N195" s="34">
        <f t="shared" si="32"/>
        <v>1748250</v>
      </c>
      <c r="O195" s="34">
        <f t="shared" si="28"/>
        <v>1050000</v>
      </c>
      <c r="P195" s="10">
        <v>26</v>
      </c>
      <c r="Q195" s="67">
        <v>26</v>
      </c>
      <c r="R195" s="164">
        <f t="shared" si="34"/>
        <v>1748250</v>
      </c>
      <c r="S195" s="34">
        <f t="shared" si="29"/>
        <v>1748250</v>
      </c>
      <c r="T195" s="108"/>
      <c r="U195" s="34">
        <f t="shared" si="33"/>
        <v>0</v>
      </c>
      <c r="V195" s="79"/>
      <c r="W195" s="34">
        <f t="shared" si="27"/>
        <v>0</v>
      </c>
      <c r="X195" s="34">
        <f t="shared" si="36"/>
        <v>34965</v>
      </c>
      <c r="Y195" s="51">
        <f t="shared" si="35"/>
        <v>1783215</v>
      </c>
      <c r="Z195" s="11" t="str">
        <f t="shared" si="30"/>
        <v>185</v>
      </c>
      <c r="AA195" s="132"/>
      <c r="AB195" s="171" t="s">
        <v>819</v>
      </c>
      <c r="AC195" s="161"/>
    </row>
    <row r="196" spans="1:29" s="114" customFormat="1" ht="20.25" customHeight="1">
      <c r="A196" s="33" t="s">
        <v>673</v>
      </c>
      <c r="B196" s="37" t="s">
        <v>1054</v>
      </c>
      <c r="C196" s="38" t="s">
        <v>1051</v>
      </c>
      <c r="D196" s="38"/>
      <c r="E196" s="67" t="s">
        <v>189</v>
      </c>
      <c r="F196" s="80" t="s">
        <v>1389</v>
      </c>
      <c r="G196" s="10">
        <v>3</v>
      </c>
      <c r="H196" s="163"/>
      <c r="I196" s="86">
        <f t="shared" si="25"/>
        <v>3</v>
      </c>
      <c r="J196" s="86">
        <v>0</v>
      </c>
      <c r="K196" s="87">
        <f t="shared" si="31"/>
        <v>3</v>
      </c>
      <c r="L196" s="34">
        <f t="shared" si="26"/>
        <v>3150000</v>
      </c>
      <c r="M196" s="191" t="s">
        <v>858</v>
      </c>
      <c r="N196" s="34">
        <f t="shared" si="32"/>
        <v>1575000</v>
      </c>
      <c r="O196" s="34">
        <f t="shared" si="28"/>
        <v>1050000</v>
      </c>
      <c r="P196" s="10">
        <v>26</v>
      </c>
      <c r="Q196" s="67">
        <v>26</v>
      </c>
      <c r="R196" s="164">
        <f t="shared" si="34"/>
        <v>1575000</v>
      </c>
      <c r="S196" s="34">
        <f t="shared" si="29"/>
        <v>1575000</v>
      </c>
      <c r="T196" s="108"/>
      <c r="U196" s="34">
        <f t="shared" si="33"/>
        <v>0</v>
      </c>
      <c r="V196" s="79"/>
      <c r="W196" s="34">
        <f t="shared" si="27"/>
        <v>0</v>
      </c>
      <c r="X196" s="34">
        <f t="shared" si="36"/>
        <v>31500</v>
      </c>
      <c r="Y196" s="51">
        <f t="shared" si="35"/>
        <v>1606500</v>
      </c>
      <c r="Z196" s="11" t="str">
        <f t="shared" si="30"/>
        <v>186</v>
      </c>
      <c r="AA196" s="132"/>
      <c r="AB196" s="171" t="s">
        <v>820</v>
      </c>
      <c r="AC196" s="161"/>
    </row>
    <row r="197" spans="1:29" s="114" customFormat="1" ht="19.5" customHeight="1">
      <c r="A197" s="33" t="s">
        <v>674</v>
      </c>
      <c r="B197" s="37" t="s">
        <v>1054</v>
      </c>
      <c r="C197" s="38" t="s">
        <v>1024</v>
      </c>
      <c r="D197" s="38"/>
      <c r="E197" s="67" t="s">
        <v>190</v>
      </c>
      <c r="F197" s="80" t="s">
        <v>1390</v>
      </c>
      <c r="G197" s="88">
        <v>3</v>
      </c>
      <c r="H197" s="163"/>
      <c r="I197" s="167">
        <f t="shared" si="25"/>
        <v>3</v>
      </c>
      <c r="J197" s="86">
        <v>0.2</v>
      </c>
      <c r="K197" s="87">
        <f t="shared" si="31"/>
        <v>3.2</v>
      </c>
      <c r="L197" s="34">
        <f t="shared" si="26"/>
        <v>3360000</v>
      </c>
      <c r="M197" s="191" t="s">
        <v>858</v>
      </c>
      <c r="N197" s="34">
        <f t="shared" si="32"/>
        <v>1680000</v>
      </c>
      <c r="O197" s="34">
        <f t="shared" si="28"/>
        <v>1050000</v>
      </c>
      <c r="P197" s="10">
        <v>26</v>
      </c>
      <c r="Q197" s="67">
        <v>26</v>
      </c>
      <c r="R197" s="164">
        <f t="shared" si="34"/>
        <v>1680000</v>
      </c>
      <c r="S197" s="34">
        <f t="shared" si="29"/>
        <v>1680000</v>
      </c>
      <c r="T197" s="108"/>
      <c r="U197" s="34">
        <f t="shared" si="33"/>
        <v>0</v>
      </c>
      <c r="V197" s="79"/>
      <c r="W197" s="34">
        <f t="shared" si="27"/>
        <v>0</v>
      </c>
      <c r="X197" s="34">
        <f t="shared" si="36"/>
        <v>33600</v>
      </c>
      <c r="Y197" s="51">
        <f t="shared" si="35"/>
        <v>1713600</v>
      </c>
      <c r="Z197" s="11" t="str">
        <f t="shared" si="30"/>
        <v>187</v>
      </c>
      <c r="AA197" s="132"/>
      <c r="AB197" s="171" t="s">
        <v>1119</v>
      </c>
      <c r="AC197" s="161"/>
    </row>
    <row r="198" spans="1:29" s="114" customFormat="1" ht="20.25" customHeight="1">
      <c r="A198" s="33" t="s">
        <v>675</v>
      </c>
      <c r="B198" s="37" t="s">
        <v>1055</v>
      </c>
      <c r="C198" s="38" t="s">
        <v>1056</v>
      </c>
      <c r="D198" s="38"/>
      <c r="E198" s="67" t="s">
        <v>191</v>
      </c>
      <c r="F198" s="80" t="s">
        <v>1391</v>
      </c>
      <c r="G198" s="10">
        <v>2.67</v>
      </c>
      <c r="H198" s="163"/>
      <c r="I198" s="86">
        <f t="shared" si="25"/>
        <v>2.67</v>
      </c>
      <c r="J198" s="86">
        <v>0.25</v>
      </c>
      <c r="K198" s="87">
        <f t="shared" si="31"/>
        <v>2.92</v>
      </c>
      <c r="L198" s="34">
        <f t="shared" si="26"/>
        <v>3066000</v>
      </c>
      <c r="M198" s="191" t="s">
        <v>858</v>
      </c>
      <c r="N198" s="34">
        <f t="shared" si="32"/>
        <v>1533000</v>
      </c>
      <c r="O198" s="34">
        <f t="shared" si="28"/>
        <v>1050000</v>
      </c>
      <c r="P198" s="10">
        <v>26</v>
      </c>
      <c r="Q198" s="67">
        <v>26</v>
      </c>
      <c r="R198" s="164">
        <f t="shared" si="34"/>
        <v>1533000</v>
      </c>
      <c r="S198" s="34">
        <f t="shared" si="29"/>
        <v>1533000</v>
      </c>
      <c r="T198" s="108"/>
      <c r="U198" s="34">
        <f t="shared" si="33"/>
        <v>0</v>
      </c>
      <c r="V198" s="79"/>
      <c r="W198" s="34">
        <f t="shared" si="27"/>
        <v>0</v>
      </c>
      <c r="X198" s="34">
        <f t="shared" si="36"/>
        <v>30660</v>
      </c>
      <c r="Y198" s="51">
        <f t="shared" si="35"/>
        <v>1563660</v>
      </c>
      <c r="Z198" s="11" t="str">
        <f t="shared" si="30"/>
        <v>188</v>
      </c>
      <c r="AA198" s="132"/>
      <c r="AB198" s="171" t="s">
        <v>1120</v>
      </c>
      <c r="AC198" s="161"/>
    </row>
    <row r="199" spans="1:29" s="114" customFormat="1" ht="22.5" customHeight="1">
      <c r="A199" s="33" t="s">
        <v>676</v>
      </c>
      <c r="B199" s="37" t="s">
        <v>1057</v>
      </c>
      <c r="C199" s="38" t="s">
        <v>1058</v>
      </c>
      <c r="D199" s="38"/>
      <c r="E199" s="67" t="s">
        <v>192</v>
      </c>
      <c r="F199" s="80" t="s">
        <v>1392</v>
      </c>
      <c r="G199" s="88">
        <v>3</v>
      </c>
      <c r="H199" s="163"/>
      <c r="I199" s="167">
        <f t="shared" si="25"/>
        <v>3</v>
      </c>
      <c r="J199" s="86">
        <v>0</v>
      </c>
      <c r="K199" s="87">
        <f t="shared" si="31"/>
        <v>3</v>
      </c>
      <c r="L199" s="34">
        <f t="shared" si="26"/>
        <v>3150000</v>
      </c>
      <c r="M199" s="191" t="s">
        <v>858</v>
      </c>
      <c r="N199" s="34">
        <f t="shared" si="32"/>
        <v>1575000</v>
      </c>
      <c r="O199" s="34">
        <f t="shared" si="28"/>
        <v>1050000</v>
      </c>
      <c r="P199" s="10">
        <v>26</v>
      </c>
      <c r="Q199" s="67">
        <v>26</v>
      </c>
      <c r="R199" s="164">
        <f t="shared" si="34"/>
        <v>1575000</v>
      </c>
      <c r="S199" s="34">
        <f t="shared" si="29"/>
        <v>1575000</v>
      </c>
      <c r="T199" s="108"/>
      <c r="U199" s="34">
        <f t="shared" si="33"/>
        <v>0</v>
      </c>
      <c r="V199" s="79"/>
      <c r="W199" s="34">
        <f t="shared" si="27"/>
        <v>0</v>
      </c>
      <c r="X199" s="34">
        <f t="shared" si="36"/>
        <v>31500</v>
      </c>
      <c r="Y199" s="51">
        <f t="shared" si="35"/>
        <v>1606500</v>
      </c>
      <c r="Z199" s="11" t="str">
        <f t="shared" si="30"/>
        <v>189</v>
      </c>
      <c r="AA199" s="132"/>
      <c r="AB199" s="171" t="s">
        <v>1121</v>
      </c>
      <c r="AC199" s="161"/>
    </row>
    <row r="200" spans="1:29" s="114" customFormat="1" ht="20.25" customHeight="1">
      <c r="A200" s="33" t="s">
        <v>677</v>
      </c>
      <c r="B200" s="37" t="s">
        <v>1004</v>
      </c>
      <c r="C200" s="38" t="s">
        <v>1005</v>
      </c>
      <c r="D200" s="38"/>
      <c r="E200" s="67" t="s">
        <v>194</v>
      </c>
      <c r="F200" s="80" t="s">
        <v>1394</v>
      </c>
      <c r="G200" s="10">
        <v>4.9800000000000004</v>
      </c>
      <c r="H200" s="163"/>
      <c r="I200" s="86">
        <f t="shared" si="25"/>
        <v>4.9800000000000004</v>
      </c>
      <c r="J200" s="86">
        <v>0</v>
      </c>
      <c r="K200" s="87">
        <f t="shared" si="31"/>
        <v>4.9800000000000004</v>
      </c>
      <c r="L200" s="34">
        <f t="shared" si="26"/>
        <v>5229000</v>
      </c>
      <c r="M200" s="191" t="s">
        <v>858</v>
      </c>
      <c r="N200" s="34">
        <f t="shared" si="32"/>
        <v>2614500</v>
      </c>
      <c r="O200" s="34">
        <f t="shared" si="28"/>
        <v>1050000</v>
      </c>
      <c r="P200" s="10">
        <v>26</v>
      </c>
      <c r="Q200" s="67">
        <v>26</v>
      </c>
      <c r="R200" s="164">
        <f t="shared" si="34"/>
        <v>2614500</v>
      </c>
      <c r="S200" s="34">
        <f t="shared" si="29"/>
        <v>2614500</v>
      </c>
      <c r="T200" s="108"/>
      <c r="U200" s="34">
        <f t="shared" si="33"/>
        <v>0</v>
      </c>
      <c r="V200" s="79"/>
      <c r="W200" s="34">
        <f t="shared" si="27"/>
        <v>0</v>
      </c>
      <c r="X200" s="34">
        <f t="shared" si="36"/>
        <v>52290.000000000007</v>
      </c>
      <c r="Y200" s="51">
        <f t="shared" si="35"/>
        <v>2666790</v>
      </c>
      <c r="Z200" s="11" t="str">
        <f t="shared" si="30"/>
        <v>190</v>
      </c>
      <c r="AA200" s="132"/>
      <c r="AB200" s="171" t="s">
        <v>1122</v>
      </c>
      <c r="AC200" s="161"/>
    </row>
    <row r="201" spans="1:29" s="114" customFormat="1" ht="19.5" customHeight="1">
      <c r="A201" s="33" t="s">
        <v>678</v>
      </c>
      <c r="B201" s="37" t="s">
        <v>895</v>
      </c>
      <c r="C201" s="38" t="s">
        <v>1006</v>
      </c>
      <c r="D201" s="38"/>
      <c r="E201" s="67" t="s">
        <v>195</v>
      </c>
      <c r="F201" s="80" t="s">
        <v>1395</v>
      </c>
      <c r="G201" s="10">
        <v>4.9800000000000004</v>
      </c>
      <c r="H201" s="229">
        <v>0.06</v>
      </c>
      <c r="I201" s="86">
        <f t="shared" si="25"/>
        <v>5.2788000000000004</v>
      </c>
      <c r="J201" s="86">
        <v>0</v>
      </c>
      <c r="K201" s="87">
        <f t="shared" si="31"/>
        <v>5.2788000000000004</v>
      </c>
      <c r="L201" s="34">
        <f t="shared" si="26"/>
        <v>5542740</v>
      </c>
      <c r="M201" s="191" t="s">
        <v>858</v>
      </c>
      <c r="N201" s="34">
        <f t="shared" si="32"/>
        <v>2771370</v>
      </c>
      <c r="O201" s="34">
        <f t="shared" si="28"/>
        <v>1050000</v>
      </c>
      <c r="P201" s="10">
        <v>26</v>
      </c>
      <c r="Q201" s="67">
        <v>26</v>
      </c>
      <c r="R201" s="164">
        <f t="shared" si="34"/>
        <v>2771370</v>
      </c>
      <c r="S201" s="34">
        <f t="shared" si="29"/>
        <v>2771370</v>
      </c>
      <c r="T201" s="108"/>
      <c r="U201" s="34">
        <f t="shared" si="33"/>
        <v>0</v>
      </c>
      <c r="V201" s="79"/>
      <c r="W201" s="34">
        <f t="shared" si="27"/>
        <v>0</v>
      </c>
      <c r="X201" s="34">
        <f t="shared" si="36"/>
        <v>55427.4</v>
      </c>
      <c r="Y201" s="51">
        <f t="shared" si="35"/>
        <v>2826797.4</v>
      </c>
      <c r="Z201" s="11" t="str">
        <f t="shared" si="30"/>
        <v>191</v>
      </c>
      <c r="AA201" s="118"/>
      <c r="AB201" s="171" t="s">
        <v>1123</v>
      </c>
      <c r="AC201" s="161"/>
    </row>
    <row r="202" spans="1:29" s="114" customFormat="1" ht="20.25" customHeight="1">
      <c r="A202" s="33" t="s">
        <v>679</v>
      </c>
      <c r="B202" s="37" t="s">
        <v>1007</v>
      </c>
      <c r="C202" s="38" t="s">
        <v>885</v>
      </c>
      <c r="D202" s="38"/>
      <c r="E202" s="67" t="s">
        <v>196</v>
      </c>
      <c r="F202" s="80" t="s">
        <v>1396</v>
      </c>
      <c r="G202" s="10">
        <v>3.33</v>
      </c>
      <c r="H202" s="163"/>
      <c r="I202" s="86">
        <f t="shared" si="25"/>
        <v>3.33</v>
      </c>
      <c r="J202" s="86">
        <v>0.25</v>
      </c>
      <c r="K202" s="87">
        <f t="shared" si="31"/>
        <v>3.58</v>
      </c>
      <c r="L202" s="34">
        <f t="shared" si="26"/>
        <v>3759000</v>
      </c>
      <c r="M202" s="191" t="s">
        <v>858</v>
      </c>
      <c r="N202" s="34">
        <f t="shared" si="32"/>
        <v>1879500</v>
      </c>
      <c r="O202" s="34">
        <f t="shared" si="28"/>
        <v>1050000</v>
      </c>
      <c r="P202" s="10">
        <v>26</v>
      </c>
      <c r="Q202" s="67">
        <v>26</v>
      </c>
      <c r="R202" s="164">
        <f t="shared" si="34"/>
        <v>1879500</v>
      </c>
      <c r="S202" s="34">
        <f t="shared" si="29"/>
        <v>1879500</v>
      </c>
      <c r="T202" s="108"/>
      <c r="U202" s="34">
        <f t="shared" si="33"/>
        <v>0</v>
      </c>
      <c r="V202" s="79"/>
      <c r="W202" s="34">
        <f t="shared" si="27"/>
        <v>0</v>
      </c>
      <c r="X202" s="34">
        <f t="shared" si="36"/>
        <v>37590</v>
      </c>
      <c r="Y202" s="51">
        <f t="shared" si="35"/>
        <v>1917090</v>
      </c>
      <c r="Z202" s="11" t="str">
        <f t="shared" si="30"/>
        <v>192</v>
      </c>
      <c r="AA202" s="132"/>
      <c r="AB202" s="171" t="s">
        <v>1124</v>
      </c>
      <c r="AC202" s="161"/>
    </row>
    <row r="203" spans="1:29" s="114" customFormat="1" ht="19.5" customHeight="1">
      <c r="A203" s="33" t="s">
        <v>680</v>
      </c>
      <c r="B203" s="37" t="s">
        <v>1002</v>
      </c>
      <c r="C203" s="38" t="s">
        <v>1003</v>
      </c>
      <c r="D203" s="38"/>
      <c r="E203" s="67" t="s">
        <v>197</v>
      </c>
      <c r="F203" s="80" t="s">
        <v>1397</v>
      </c>
      <c r="G203" s="10">
        <v>4.9800000000000004</v>
      </c>
      <c r="H203" s="229">
        <v>0.06</v>
      </c>
      <c r="I203" s="86">
        <f t="shared" ref="I203:I253" si="37">G203+(G203*H203)</f>
        <v>5.2788000000000004</v>
      </c>
      <c r="J203" s="86">
        <v>0</v>
      </c>
      <c r="K203" s="87">
        <f t="shared" si="31"/>
        <v>5.2788000000000004</v>
      </c>
      <c r="L203" s="34">
        <f t="shared" ref="L203:L253" si="38">K203*$H$7</f>
        <v>5542740</v>
      </c>
      <c r="M203" s="191" t="s">
        <v>858</v>
      </c>
      <c r="N203" s="34">
        <f t="shared" si="32"/>
        <v>2771370</v>
      </c>
      <c r="O203" s="34">
        <f t="shared" si="28"/>
        <v>1050000</v>
      </c>
      <c r="P203" s="10">
        <v>26</v>
      </c>
      <c r="Q203" s="67">
        <v>26</v>
      </c>
      <c r="R203" s="164">
        <f t="shared" si="34"/>
        <v>2771370</v>
      </c>
      <c r="S203" s="34">
        <f t="shared" si="29"/>
        <v>2771370</v>
      </c>
      <c r="T203" s="108"/>
      <c r="U203" s="34">
        <f t="shared" si="33"/>
        <v>0</v>
      </c>
      <c r="V203" s="79"/>
      <c r="W203" s="34">
        <f t="shared" ref="W203:W253" si="39">V203*$H$7*0.5</f>
        <v>0</v>
      </c>
      <c r="X203" s="34">
        <f t="shared" si="36"/>
        <v>55427.4</v>
      </c>
      <c r="Y203" s="51">
        <f t="shared" si="35"/>
        <v>2826797.4</v>
      </c>
      <c r="Z203" s="11" t="str">
        <f t="shared" si="30"/>
        <v>193</v>
      </c>
      <c r="AA203" s="132"/>
      <c r="AB203" s="171" t="s">
        <v>1125</v>
      </c>
      <c r="AC203" s="161"/>
    </row>
    <row r="204" spans="1:29" s="114" customFormat="1" ht="24.75" customHeight="1">
      <c r="A204" s="33" t="s">
        <v>681</v>
      </c>
      <c r="B204" s="37" t="s">
        <v>288</v>
      </c>
      <c r="C204" s="38" t="s">
        <v>947</v>
      </c>
      <c r="D204" s="38"/>
      <c r="E204" s="67" t="s">
        <v>340</v>
      </c>
      <c r="F204" s="80" t="s">
        <v>389</v>
      </c>
      <c r="G204" s="10">
        <v>2.34</v>
      </c>
      <c r="H204" s="163"/>
      <c r="I204" s="86">
        <f t="shared" si="37"/>
        <v>2.34</v>
      </c>
      <c r="J204" s="86"/>
      <c r="K204" s="87">
        <f>I204+J204</f>
        <v>2.34</v>
      </c>
      <c r="L204" s="34">
        <f t="shared" si="38"/>
        <v>2457000</v>
      </c>
      <c r="M204" s="191" t="s">
        <v>858</v>
      </c>
      <c r="N204" s="34">
        <f t="shared" si="32"/>
        <v>1228500</v>
      </c>
      <c r="O204" s="34">
        <f t="shared" ref="O204:O250" si="40">IF(M204="A",1050000,IF(M204="B",735000,IF(M204="C",514500,0)))</f>
        <v>1050000</v>
      </c>
      <c r="P204" s="10">
        <v>26</v>
      </c>
      <c r="Q204" s="67">
        <v>26</v>
      </c>
      <c r="R204" s="164">
        <f t="shared" si="34"/>
        <v>1228500</v>
      </c>
      <c r="S204" s="34">
        <f t="shared" ref="S204:S250" si="41">IF(Q204&gt;=P204,R204,R204/P204*Q204)</f>
        <v>1228500</v>
      </c>
      <c r="T204" s="108"/>
      <c r="U204" s="34">
        <f t="shared" si="33"/>
        <v>0</v>
      </c>
      <c r="V204" s="79"/>
      <c r="W204" s="34">
        <f t="shared" si="39"/>
        <v>0</v>
      </c>
      <c r="X204" s="34">
        <f t="shared" si="36"/>
        <v>24570</v>
      </c>
      <c r="Y204" s="51">
        <f t="shared" si="35"/>
        <v>1253070</v>
      </c>
      <c r="Z204" s="11" t="str">
        <f t="shared" si="30"/>
        <v>194</v>
      </c>
      <c r="AA204" s="132"/>
      <c r="AB204" s="171" t="s">
        <v>1126</v>
      </c>
      <c r="AC204" s="161"/>
    </row>
    <row r="205" spans="1:29" s="114" customFormat="1" ht="20.25" customHeight="1">
      <c r="A205" s="33" t="s">
        <v>682</v>
      </c>
      <c r="B205" s="37" t="s">
        <v>1201</v>
      </c>
      <c r="C205" s="38" t="s">
        <v>1199</v>
      </c>
      <c r="D205" s="38"/>
      <c r="E205" s="67" t="s">
        <v>132</v>
      </c>
      <c r="F205" s="80" t="s">
        <v>1334</v>
      </c>
      <c r="G205" s="88">
        <v>3</v>
      </c>
      <c r="H205" s="163"/>
      <c r="I205" s="167">
        <f>G205+(G205*H205)</f>
        <v>3</v>
      </c>
      <c r="J205" s="86">
        <v>0</v>
      </c>
      <c r="K205" s="87">
        <f>I205+J205</f>
        <v>3</v>
      </c>
      <c r="L205" s="34">
        <f>K205*$H$7</f>
        <v>3150000</v>
      </c>
      <c r="M205" s="191" t="s">
        <v>858</v>
      </c>
      <c r="N205" s="34">
        <f t="shared" ref="N205:N253" si="42">IF(M205="A",L205*0.5,IF(M205="B",L205*0.5*0.75,IF(M205="C",L205*0.5*0.75*0.75,0)))</f>
        <v>1575000</v>
      </c>
      <c r="O205" s="34">
        <f t="shared" si="40"/>
        <v>1050000</v>
      </c>
      <c r="P205" s="10">
        <v>26</v>
      </c>
      <c r="Q205" s="67">
        <v>26</v>
      </c>
      <c r="R205" s="164">
        <f t="shared" si="34"/>
        <v>1575000</v>
      </c>
      <c r="S205" s="34">
        <f t="shared" si="41"/>
        <v>1575000</v>
      </c>
      <c r="T205" s="108"/>
      <c r="U205" s="34">
        <f t="shared" ref="U205:U249" si="43">T205*$H$7*0.5</f>
        <v>0</v>
      </c>
      <c r="V205" s="79"/>
      <c r="W205" s="34">
        <f t="shared" si="39"/>
        <v>0</v>
      </c>
      <c r="X205" s="34">
        <f t="shared" si="36"/>
        <v>31500</v>
      </c>
      <c r="Y205" s="51">
        <f t="shared" si="35"/>
        <v>1606500</v>
      </c>
      <c r="Z205" s="11" t="str">
        <f t="shared" ref="Z205:Z253" si="44">A205</f>
        <v>195</v>
      </c>
      <c r="AA205" s="118"/>
      <c r="AB205" s="171" t="s">
        <v>1127</v>
      </c>
      <c r="AC205" s="161"/>
    </row>
    <row r="206" spans="1:29" s="114" customFormat="1" ht="20.25" customHeight="1">
      <c r="A206" s="33" t="s">
        <v>683</v>
      </c>
      <c r="B206" s="37" t="s">
        <v>458</v>
      </c>
      <c r="C206" s="38" t="s">
        <v>459</v>
      </c>
      <c r="D206" s="38"/>
      <c r="E206" s="67" t="s">
        <v>464</v>
      </c>
      <c r="F206" s="107" t="s">
        <v>462</v>
      </c>
      <c r="G206" s="10">
        <f>2.67</f>
        <v>2.67</v>
      </c>
      <c r="H206" s="163"/>
      <c r="I206" s="86">
        <f>G206+(G206*H206)</f>
        <v>2.67</v>
      </c>
      <c r="J206" s="86"/>
      <c r="K206" s="87">
        <f>I206+J206</f>
        <v>2.67</v>
      </c>
      <c r="L206" s="34">
        <f>K206*$H$7</f>
        <v>2803500</v>
      </c>
      <c r="M206" s="191" t="s">
        <v>858</v>
      </c>
      <c r="N206" s="34">
        <f t="shared" si="42"/>
        <v>1401750</v>
      </c>
      <c r="O206" s="34">
        <f t="shared" si="40"/>
        <v>1050000</v>
      </c>
      <c r="P206" s="10">
        <v>26</v>
      </c>
      <c r="Q206" s="67">
        <v>26</v>
      </c>
      <c r="R206" s="164">
        <f t="shared" si="34"/>
        <v>1401750</v>
      </c>
      <c r="S206" s="34">
        <f t="shared" si="41"/>
        <v>1401750</v>
      </c>
      <c r="T206" s="108"/>
      <c r="U206" s="34">
        <f t="shared" si="43"/>
        <v>0</v>
      </c>
      <c r="V206" s="79"/>
      <c r="W206" s="34">
        <f t="shared" si="39"/>
        <v>0</v>
      </c>
      <c r="X206" s="34">
        <f>(K206*0.01*$H$7)+(T206*1%*$H$7)+(V206*1%*$H$7)</f>
        <v>28035</v>
      </c>
      <c r="Y206" s="51">
        <f t="shared" si="35"/>
        <v>1429785</v>
      </c>
      <c r="Z206" s="11" t="str">
        <f t="shared" si="44"/>
        <v>196</v>
      </c>
      <c r="AA206" s="132"/>
      <c r="AB206" s="171" t="s">
        <v>1131</v>
      </c>
      <c r="AC206" s="161"/>
    </row>
    <row r="207" spans="1:29" s="114" customFormat="1" ht="24" customHeight="1">
      <c r="A207" s="33" t="s">
        <v>684</v>
      </c>
      <c r="B207" s="37" t="s">
        <v>460</v>
      </c>
      <c r="C207" s="38" t="s">
        <v>1207</v>
      </c>
      <c r="D207" s="38"/>
      <c r="E207" s="67" t="s">
        <v>466</v>
      </c>
      <c r="F207" s="107" t="s">
        <v>463</v>
      </c>
      <c r="G207" s="10">
        <v>2.34</v>
      </c>
      <c r="H207" s="163"/>
      <c r="I207" s="86">
        <f>G207+(G207*H207)</f>
        <v>2.34</v>
      </c>
      <c r="J207" s="86"/>
      <c r="K207" s="87">
        <f>I207+J207</f>
        <v>2.34</v>
      </c>
      <c r="L207" s="34">
        <f>K207*$H$7</f>
        <v>2457000</v>
      </c>
      <c r="M207" s="191" t="s">
        <v>858</v>
      </c>
      <c r="N207" s="34">
        <f t="shared" si="42"/>
        <v>1228500</v>
      </c>
      <c r="O207" s="34">
        <f t="shared" si="40"/>
        <v>1050000</v>
      </c>
      <c r="P207" s="10">
        <v>26</v>
      </c>
      <c r="Q207" s="67">
        <v>26</v>
      </c>
      <c r="R207" s="164">
        <f t="shared" si="34"/>
        <v>1228500</v>
      </c>
      <c r="S207" s="34">
        <f t="shared" si="41"/>
        <v>1228500</v>
      </c>
      <c r="T207" s="108"/>
      <c r="U207" s="34">
        <f t="shared" si="43"/>
        <v>0</v>
      </c>
      <c r="V207" s="79"/>
      <c r="W207" s="34">
        <f t="shared" si="39"/>
        <v>0</v>
      </c>
      <c r="X207" s="34">
        <f>(K207*0.01*$H$7)+(T207*1%*$H$7)+(V207*1%*$H$7)</f>
        <v>24570</v>
      </c>
      <c r="Y207" s="51">
        <f t="shared" si="35"/>
        <v>1253070</v>
      </c>
      <c r="Z207" s="11" t="str">
        <f t="shared" si="44"/>
        <v>197</v>
      </c>
      <c r="AA207" s="132"/>
      <c r="AB207" s="171" t="s">
        <v>1132</v>
      </c>
      <c r="AC207" s="161"/>
    </row>
    <row r="208" spans="1:29" s="114" customFormat="1" ht="21" customHeight="1">
      <c r="A208" s="33" t="s">
        <v>685</v>
      </c>
      <c r="B208" s="37" t="s">
        <v>461</v>
      </c>
      <c r="C208" s="38" t="s">
        <v>1019</v>
      </c>
      <c r="D208" s="38"/>
      <c r="E208" s="67" t="s">
        <v>465</v>
      </c>
      <c r="F208" s="107" t="s">
        <v>510</v>
      </c>
      <c r="G208" s="10">
        <v>2.34</v>
      </c>
      <c r="H208" s="163"/>
      <c r="I208" s="86">
        <f>G208+(G208*H208)</f>
        <v>2.34</v>
      </c>
      <c r="J208" s="86"/>
      <c r="K208" s="87">
        <f>I208+J208</f>
        <v>2.34</v>
      </c>
      <c r="L208" s="34">
        <f>K208*$H$7</f>
        <v>2457000</v>
      </c>
      <c r="M208" s="191" t="s">
        <v>858</v>
      </c>
      <c r="N208" s="34">
        <f t="shared" si="42"/>
        <v>1228500</v>
      </c>
      <c r="O208" s="34">
        <f t="shared" si="40"/>
        <v>1050000</v>
      </c>
      <c r="P208" s="10">
        <v>26</v>
      </c>
      <c r="Q208" s="67">
        <v>26</v>
      </c>
      <c r="R208" s="164">
        <f t="shared" si="34"/>
        <v>1228500</v>
      </c>
      <c r="S208" s="34">
        <f t="shared" si="41"/>
        <v>1228500</v>
      </c>
      <c r="T208" s="108"/>
      <c r="U208" s="34">
        <f t="shared" si="43"/>
        <v>0</v>
      </c>
      <c r="V208" s="79"/>
      <c r="W208" s="34">
        <f t="shared" si="39"/>
        <v>0</v>
      </c>
      <c r="X208" s="34">
        <f>(K208*0.01*$H$7)+(T208*1%*$H$7)+(V208*1%*$H$7)</f>
        <v>24570</v>
      </c>
      <c r="Y208" s="51">
        <f t="shared" si="35"/>
        <v>1253070</v>
      </c>
      <c r="Z208" s="11" t="str">
        <f t="shared" si="44"/>
        <v>198</v>
      </c>
      <c r="AA208" s="132"/>
      <c r="AB208" s="171" t="s">
        <v>1133</v>
      </c>
      <c r="AC208" s="161"/>
    </row>
    <row r="209" spans="1:29" s="114" customFormat="1" ht="24" customHeight="1">
      <c r="A209" s="33" t="s">
        <v>686</v>
      </c>
      <c r="B209" s="37" t="s">
        <v>1061</v>
      </c>
      <c r="C209" s="38" t="s">
        <v>917</v>
      </c>
      <c r="D209" s="38"/>
      <c r="E209" s="67" t="s">
        <v>199</v>
      </c>
      <c r="F209" s="80" t="s">
        <v>1399</v>
      </c>
      <c r="G209" s="10">
        <v>4.32</v>
      </c>
      <c r="H209" s="163"/>
      <c r="I209" s="86">
        <f t="shared" si="37"/>
        <v>4.32</v>
      </c>
      <c r="J209" s="86">
        <v>0.25</v>
      </c>
      <c r="K209" s="87">
        <f t="shared" ref="K209:K253" si="45">I209+J209</f>
        <v>4.57</v>
      </c>
      <c r="L209" s="34">
        <f t="shared" si="38"/>
        <v>4798500</v>
      </c>
      <c r="M209" s="191" t="s">
        <v>858</v>
      </c>
      <c r="N209" s="34">
        <f t="shared" si="42"/>
        <v>2399250</v>
      </c>
      <c r="O209" s="34">
        <f t="shared" si="40"/>
        <v>1050000</v>
      </c>
      <c r="P209" s="10">
        <v>26</v>
      </c>
      <c r="Q209" s="67">
        <v>26</v>
      </c>
      <c r="R209" s="164">
        <f t="shared" si="34"/>
        <v>2399250</v>
      </c>
      <c r="S209" s="34">
        <f t="shared" si="41"/>
        <v>2399250</v>
      </c>
      <c r="T209" s="108"/>
      <c r="U209" s="34">
        <f t="shared" si="43"/>
        <v>0</v>
      </c>
      <c r="V209" s="79"/>
      <c r="W209" s="34">
        <f t="shared" si="39"/>
        <v>0</v>
      </c>
      <c r="X209" s="34">
        <f t="shared" si="36"/>
        <v>47985.000000000007</v>
      </c>
      <c r="Y209" s="51">
        <f t="shared" si="35"/>
        <v>2447235</v>
      </c>
      <c r="Z209" s="11" t="str">
        <f t="shared" si="44"/>
        <v>199</v>
      </c>
      <c r="AA209" s="132"/>
      <c r="AB209" s="171" t="s">
        <v>1142</v>
      </c>
      <c r="AC209" s="161"/>
    </row>
    <row r="210" spans="1:29" s="114" customFormat="1" ht="21.75" customHeight="1">
      <c r="A210" s="33" t="s">
        <v>687</v>
      </c>
      <c r="B210" s="37" t="s">
        <v>1062</v>
      </c>
      <c r="C210" s="38" t="s">
        <v>878</v>
      </c>
      <c r="D210" s="38"/>
      <c r="E210" s="67" t="s">
        <v>200</v>
      </c>
      <c r="F210" s="80" t="s">
        <v>1400</v>
      </c>
      <c r="G210" s="10">
        <v>4.6500000000000004</v>
      </c>
      <c r="H210" s="163"/>
      <c r="I210" s="86">
        <f t="shared" si="37"/>
        <v>4.6500000000000004</v>
      </c>
      <c r="J210" s="86">
        <v>0</v>
      </c>
      <c r="K210" s="87">
        <f t="shared" si="45"/>
        <v>4.6500000000000004</v>
      </c>
      <c r="L210" s="34">
        <f t="shared" si="38"/>
        <v>4882500</v>
      </c>
      <c r="M210" s="191" t="s">
        <v>858</v>
      </c>
      <c r="N210" s="34">
        <f t="shared" si="42"/>
        <v>2441250</v>
      </c>
      <c r="O210" s="34">
        <f t="shared" si="40"/>
        <v>1050000</v>
      </c>
      <c r="P210" s="10">
        <v>26</v>
      </c>
      <c r="Q210" s="67">
        <v>26</v>
      </c>
      <c r="R210" s="164">
        <f t="shared" si="34"/>
        <v>2441250</v>
      </c>
      <c r="S210" s="34">
        <f t="shared" si="41"/>
        <v>2441250</v>
      </c>
      <c r="T210" s="108"/>
      <c r="U210" s="34">
        <f t="shared" si="43"/>
        <v>0</v>
      </c>
      <c r="V210" s="79"/>
      <c r="W210" s="34">
        <f t="shared" si="39"/>
        <v>0</v>
      </c>
      <c r="X210" s="34">
        <f t="shared" si="36"/>
        <v>48825.000000000007</v>
      </c>
      <c r="Y210" s="51">
        <f t="shared" si="35"/>
        <v>2490075</v>
      </c>
      <c r="Z210" s="11" t="str">
        <f t="shared" si="44"/>
        <v>200</v>
      </c>
      <c r="AA210" s="132"/>
      <c r="AB210" s="171" t="s">
        <v>1143</v>
      </c>
      <c r="AC210" s="161"/>
    </row>
    <row r="211" spans="1:29" s="114" customFormat="1" ht="22.5" customHeight="1">
      <c r="A211" s="33" t="s">
        <v>688</v>
      </c>
      <c r="B211" s="37" t="s">
        <v>1063</v>
      </c>
      <c r="C211" s="38" t="s">
        <v>1064</v>
      </c>
      <c r="D211" s="38"/>
      <c r="E211" s="67" t="s">
        <v>201</v>
      </c>
      <c r="F211" s="80" t="s">
        <v>1401</v>
      </c>
      <c r="G211" s="10">
        <v>4.32</v>
      </c>
      <c r="H211" s="163"/>
      <c r="I211" s="86">
        <f t="shared" si="37"/>
        <v>4.32</v>
      </c>
      <c r="J211" s="86">
        <v>0.2</v>
      </c>
      <c r="K211" s="87">
        <f t="shared" si="45"/>
        <v>4.5200000000000005</v>
      </c>
      <c r="L211" s="34">
        <f t="shared" si="38"/>
        <v>4746000.0000000009</v>
      </c>
      <c r="M211" s="191" t="s">
        <v>858</v>
      </c>
      <c r="N211" s="34">
        <f t="shared" si="42"/>
        <v>2373000.0000000005</v>
      </c>
      <c r="O211" s="34">
        <f t="shared" si="40"/>
        <v>1050000</v>
      </c>
      <c r="P211" s="10">
        <v>26</v>
      </c>
      <c r="Q211" s="67">
        <v>26</v>
      </c>
      <c r="R211" s="164">
        <f t="shared" si="34"/>
        <v>2373000.0000000005</v>
      </c>
      <c r="S211" s="34">
        <f t="shared" si="41"/>
        <v>2373000.0000000005</v>
      </c>
      <c r="T211" s="108"/>
      <c r="U211" s="34">
        <f t="shared" si="43"/>
        <v>0</v>
      </c>
      <c r="V211" s="79"/>
      <c r="W211" s="34">
        <f t="shared" si="39"/>
        <v>0</v>
      </c>
      <c r="X211" s="34">
        <f t="shared" si="36"/>
        <v>47460.000000000007</v>
      </c>
      <c r="Y211" s="51">
        <f t="shared" si="35"/>
        <v>2420460.0000000005</v>
      </c>
      <c r="Z211" s="11" t="str">
        <f t="shared" si="44"/>
        <v>201</v>
      </c>
      <c r="AA211" s="132"/>
      <c r="AB211" s="171" t="s">
        <v>1144</v>
      </c>
      <c r="AC211" s="161"/>
    </row>
    <row r="212" spans="1:29" s="114" customFormat="1" ht="21" customHeight="1">
      <c r="A212" s="33" t="s">
        <v>689</v>
      </c>
      <c r="B212" s="37" t="s">
        <v>1065</v>
      </c>
      <c r="C212" s="38" t="s">
        <v>1066</v>
      </c>
      <c r="D212" s="38"/>
      <c r="E212" s="67" t="s">
        <v>202</v>
      </c>
      <c r="F212" s="90" t="s">
        <v>1402</v>
      </c>
      <c r="G212" s="10">
        <v>3.99</v>
      </c>
      <c r="H212" s="163"/>
      <c r="I212" s="86">
        <f t="shared" si="37"/>
        <v>3.99</v>
      </c>
      <c r="J212" s="86">
        <v>0</v>
      </c>
      <c r="K212" s="87">
        <f t="shared" si="45"/>
        <v>3.99</v>
      </c>
      <c r="L212" s="34">
        <f t="shared" si="38"/>
        <v>4189500</v>
      </c>
      <c r="M212" s="191" t="s">
        <v>858</v>
      </c>
      <c r="N212" s="34">
        <f t="shared" si="42"/>
        <v>2094750</v>
      </c>
      <c r="O212" s="34">
        <f t="shared" si="40"/>
        <v>1050000</v>
      </c>
      <c r="P212" s="10">
        <v>26</v>
      </c>
      <c r="Q212" s="67">
        <v>26</v>
      </c>
      <c r="R212" s="164">
        <f t="shared" ref="R212:R250" si="46">IF(N212&gt;O212,N212,O212)</f>
        <v>2094750</v>
      </c>
      <c r="S212" s="34">
        <f t="shared" si="41"/>
        <v>2094750</v>
      </c>
      <c r="T212" s="108"/>
      <c r="U212" s="34">
        <f t="shared" si="43"/>
        <v>0</v>
      </c>
      <c r="V212" s="79"/>
      <c r="W212" s="34">
        <f t="shared" si="39"/>
        <v>0</v>
      </c>
      <c r="X212" s="34">
        <f t="shared" si="36"/>
        <v>41895.000000000007</v>
      </c>
      <c r="Y212" s="51">
        <f t="shared" si="35"/>
        <v>2136645</v>
      </c>
      <c r="Z212" s="11" t="str">
        <f t="shared" si="44"/>
        <v>202</v>
      </c>
      <c r="AA212" s="132"/>
      <c r="AB212" s="171" t="s">
        <v>1145</v>
      </c>
      <c r="AC212" s="161"/>
    </row>
    <row r="213" spans="1:29" s="114" customFormat="1" ht="21" customHeight="1">
      <c r="A213" s="33" t="s">
        <v>690</v>
      </c>
      <c r="B213" s="37" t="s">
        <v>1067</v>
      </c>
      <c r="C213" s="38" t="s">
        <v>1019</v>
      </c>
      <c r="D213" s="38"/>
      <c r="E213" s="67" t="s">
        <v>203</v>
      </c>
      <c r="F213" s="80" t="s">
        <v>1403</v>
      </c>
      <c r="G213" s="10">
        <v>3.33</v>
      </c>
      <c r="H213" s="163"/>
      <c r="I213" s="86">
        <f t="shared" si="37"/>
        <v>3.33</v>
      </c>
      <c r="J213" s="86">
        <v>0.25</v>
      </c>
      <c r="K213" s="87">
        <f t="shared" si="45"/>
        <v>3.58</v>
      </c>
      <c r="L213" s="34">
        <f t="shared" si="38"/>
        <v>3759000</v>
      </c>
      <c r="M213" s="191" t="s">
        <v>858</v>
      </c>
      <c r="N213" s="34">
        <f t="shared" si="42"/>
        <v>1879500</v>
      </c>
      <c r="O213" s="34">
        <f t="shared" si="40"/>
        <v>1050000</v>
      </c>
      <c r="P213" s="10">
        <v>26</v>
      </c>
      <c r="Q213" s="67">
        <v>26</v>
      </c>
      <c r="R213" s="164">
        <f t="shared" si="46"/>
        <v>1879500</v>
      </c>
      <c r="S213" s="34">
        <f t="shared" si="41"/>
        <v>1879500</v>
      </c>
      <c r="T213" s="108"/>
      <c r="U213" s="34">
        <f t="shared" si="43"/>
        <v>0</v>
      </c>
      <c r="V213" s="79"/>
      <c r="W213" s="34">
        <f t="shared" si="39"/>
        <v>0</v>
      </c>
      <c r="X213" s="34">
        <f t="shared" si="36"/>
        <v>37590</v>
      </c>
      <c r="Y213" s="51">
        <f t="shared" ref="Y213:Y250" si="47">(S213+U213+W213+X213)</f>
        <v>1917090</v>
      </c>
      <c r="Z213" s="11" t="str">
        <f t="shared" si="44"/>
        <v>203</v>
      </c>
      <c r="AA213" s="132"/>
      <c r="AB213" s="171" t="s">
        <v>1146</v>
      </c>
      <c r="AC213" s="161"/>
    </row>
    <row r="214" spans="1:29" s="114" customFormat="1" ht="15.75">
      <c r="A214" s="33" t="s">
        <v>691</v>
      </c>
      <c r="B214" s="37" t="s">
        <v>1068</v>
      </c>
      <c r="C214" s="38" t="s">
        <v>1069</v>
      </c>
      <c r="D214" s="38"/>
      <c r="E214" s="67" t="s">
        <v>204</v>
      </c>
      <c r="F214" s="80" t="s">
        <v>1404</v>
      </c>
      <c r="G214" s="10">
        <v>3.33</v>
      </c>
      <c r="H214" s="208"/>
      <c r="I214" s="86">
        <f t="shared" si="37"/>
        <v>3.33</v>
      </c>
      <c r="J214" s="86">
        <v>0</v>
      </c>
      <c r="K214" s="87">
        <f t="shared" si="45"/>
        <v>3.33</v>
      </c>
      <c r="L214" s="34">
        <f t="shared" si="38"/>
        <v>3496500</v>
      </c>
      <c r="M214" s="191" t="s">
        <v>858</v>
      </c>
      <c r="N214" s="34">
        <f t="shared" si="42"/>
        <v>1748250</v>
      </c>
      <c r="O214" s="34">
        <f t="shared" si="40"/>
        <v>1050000</v>
      </c>
      <c r="P214" s="10">
        <v>26</v>
      </c>
      <c r="Q214" s="67">
        <v>26</v>
      </c>
      <c r="R214" s="164">
        <f t="shared" si="46"/>
        <v>1748250</v>
      </c>
      <c r="S214" s="34">
        <f t="shared" si="41"/>
        <v>1748250</v>
      </c>
      <c r="T214" s="108"/>
      <c r="U214" s="34">
        <f t="shared" si="43"/>
        <v>0</v>
      </c>
      <c r="V214" s="79"/>
      <c r="W214" s="34">
        <f t="shared" si="39"/>
        <v>0</v>
      </c>
      <c r="X214" s="34">
        <f t="shared" si="36"/>
        <v>34965</v>
      </c>
      <c r="Y214" s="51">
        <f t="shared" si="47"/>
        <v>1783215</v>
      </c>
      <c r="Z214" s="11" t="str">
        <f t="shared" si="44"/>
        <v>204</v>
      </c>
      <c r="AA214" s="118"/>
      <c r="AB214" s="171" t="s">
        <v>1147</v>
      </c>
      <c r="AC214" s="161"/>
    </row>
    <row r="215" spans="1:29" s="352" customFormat="1" ht="27" customHeight="1">
      <c r="A215" s="33" t="s">
        <v>692</v>
      </c>
      <c r="B215" s="336" t="s">
        <v>1070</v>
      </c>
      <c r="C215" s="337" t="s">
        <v>910</v>
      </c>
      <c r="D215" s="337"/>
      <c r="E215" s="304" t="s">
        <v>205</v>
      </c>
      <c r="F215" s="338" t="s">
        <v>1405</v>
      </c>
      <c r="G215" s="339">
        <v>3.33</v>
      </c>
      <c r="H215" s="340"/>
      <c r="I215" s="341">
        <f t="shared" si="37"/>
        <v>3.33</v>
      </c>
      <c r="J215" s="341">
        <v>0.2</v>
      </c>
      <c r="K215" s="342">
        <f t="shared" si="45"/>
        <v>3.5300000000000002</v>
      </c>
      <c r="L215" s="343">
        <f t="shared" si="38"/>
        <v>3706500.0000000005</v>
      </c>
      <c r="M215" s="339" t="s">
        <v>525</v>
      </c>
      <c r="N215" s="34">
        <f t="shared" si="42"/>
        <v>1389937.5000000002</v>
      </c>
      <c r="O215" s="343">
        <f t="shared" si="40"/>
        <v>735000</v>
      </c>
      <c r="P215" s="339">
        <v>26</v>
      </c>
      <c r="Q215" s="304">
        <v>26</v>
      </c>
      <c r="R215" s="344">
        <f t="shared" si="46"/>
        <v>1389937.5000000002</v>
      </c>
      <c r="S215" s="343">
        <f t="shared" si="41"/>
        <v>1389937.5000000002</v>
      </c>
      <c r="T215" s="345"/>
      <c r="U215" s="343">
        <f t="shared" si="43"/>
        <v>0</v>
      </c>
      <c r="V215" s="346"/>
      <c r="W215" s="343">
        <f t="shared" si="39"/>
        <v>0</v>
      </c>
      <c r="X215" s="343">
        <f t="shared" si="36"/>
        <v>37065.000000000007</v>
      </c>
      <c r="Y215" s="347">
        <f t="shared" si="47"/>
        <v>1427002.5000000002</v>
      </c>
      <c r="Z215" s="348" t="str">
        <f t="shared" si="44"/>
        <v>205</v>
      </c>
      <c r="AA215" s="349" t="s">
        <v>822</v>
      </c>
      <c r="AB215" s="350" t="s">
        <v>1148</v>
      </c>
      <c r="AC215" s="351"/>
    </row>
    <row r="216" spans="1:29" s="114" customFormat="1" ht="26.25" customHeight="1">
      <c r="A216" s="33" t="s">
        <v>693</v>
      </c>
      <c r="B216" s="37" t="s">
        <v>1071</v>
      </c>
      <c r="C216" s="38" t="s">
        <v>1072</v>
      </c>
      <c r="D216" s="38"/>
      <c r="E216" s="67" t="s">
        <v>206</v>
      </c>
      <c r="F216" s="90" t="s">
        <v>1406</v>
      </c>
      <c r="G216" s="10">
        <v>3.33</v>
      </c>
      <c r="H216" s="163"/>
      <c r="I216" s="86">
        <f t="shared" si="37"/>
        <v>3.33</v>
      </c>
      <c r="J216" s="86">
        <v>0</v>
      </c>
      <c r="K216" s="87">
        <f t="shared" si="45"/>
        <v>3.33</v>
      </c>
      <c r="L216" s="34">
        <f t="shared" si="38"/>
        <v>3496500</v>
      </c>
      <c r="M216" s="191" t="s">
        <v>858</v>
      </c>
      <c r="N216" s="34">
        <f t="shared" si="42"/>
        <v>1748250</v>
      </c>
      <c r="O216" s="34">
        <f t="shared" si="40"/>
        <v>1050000</v>
      </c>
      <c r="P216" s="10">
        <v>26</v>
      </c>
      <c r="Q216" s="67">
        <v>26</v>
      </c>
      <c r="R216" s="164">
        <f t="shared" si="46"/>
        <v>1748250</v>
      </c>
      <c r="S216" s="34">
        <f t="shared" si="41"/>
        <v>1748250</v>
      </c>
      <c r="T216" s="108"/>
      <c r="U216" s="34">
        <f t="shared" si="43"/>
        <v>0</v>
      </c>
      <c r="V216" s="79"/>
      <c r="W216" s="34">
        <f t="shared" si="39"/>
        <v>0</v>
      </c>
      <c r="X216" s="34">
        <f t="shared" si="36"/>
        <v>34965</v>
      </c>
      <c r="Y216" s="51">
        <f t="shared" si="47"/>
        <v>1783215</v>
      </c>
      <c r="Z216" s="11" t="str">
        <f t="shared" si="44"/>
        <v>206</v>
      </c>
      <c r="AA216" s="118"/>
      <c r="AB216" s="171" t="s">
        <v>1149</v>
      </c>
      <c r="AC216" s="161"/>
    </row>
    <row r="217" spans="1:29" s="114" customFormat="1" ht="23.25" customHeight="1">
      <c r="A217" s="33" t="s">
        <v>694</v>
      </c>
      <c r="B217" s="284" t="s">
        <v>1073</v>
      </c>
      <c r="C217" s="285" t="s">
        <v>873</v>
      </c>
      <c r="D217" s="285"/>
      <c r="E217" s="307" t="s">
        <v>207</v>
      </c>
      <c r="F217" s="287" t="s">
        <v>1407</v>
      </c>
      <c r="G217" s="291">
        <v>3</v>
      </c>
      <c r="H217" s="308"/>
      <c r="I217" s="290">
        <f t="shared" si="37"/>
        <v>3</v>
      </c>
      <c r="J217" s="290">
        <v>0</v>
      </c>
      <c r="K217" s="309">
        <f t="shared" si="45"/>
        <v>3</v>
      </c>
      <c r="L217" s="292">
        <f t="shared" si="38"/>
        <v>3150000</v>
      </c>
      <c r="M217" s="191" t="s">
        <v>785</v>
      </c>
      <c r="N217" s="34">
        <f t="shared" si="42"/>
        <v>0</v>
      </c>
      <c r="O217" s="292">
        <f t="shared" si="40"/>
        <v>0</v>
      </c>
      <c r="P217" s="291">
        <v>0</v>
      </c>
      <c r="Q217" s="307">
        <v>0</v>
      </c>
      <c r="R217" s="310">
        <f t="shared" si="46"/>
        <v>0</v>
      </c>
      <c r="S217" s="292">
        <f t="shared" si="41"/>
        <v>0</v>
      </c>
      <c r="T217" s="311"/>
      <c r="U217" s="292">
        <f t="shared" si="43"/>
        <v>0</v>
      </c>
      <c r="V217" s="296"/>
      <c r="W217" s="292">
        <f t="shared" si="39"/>
        <v>0</v>
      </c>
      <c r="X217" s="292">
        <v>0</v>
      </c>
      <c r="Y217" s="312">
        <f t="shared" si="47"/>
        <v>0</v>
      </c>
      <c r="Z217" s="298" t="str">
        <f t="shared" si="44"/>
        <v>207</v>
      </c>
      <c r="AA217" s="313" t="s">
        <v>782</v>
      </c>
      <c r="AB217" s="171" t="s">
        <v>1150</v>
      </c>
      <c r="AC217" s="161"/>
    </row>
    <row r="218" spans="1:29" s="114" customFormat="1" ht="18" customHeight="1">
      <c r="A218" s="33" t="s">
        <v>695</v>
      </c>
      <c r="B218" s="37" t="s">
        <v>1074</v>
      </c>
      <c r="C218" s="38" t="s">
        <v>1075</v>
      </c>
      <c r="D218" s="38"/>
      <c r="E218" s="67" t="s">
        <v>208</v>
      </c>
      <c r="F218" s="80" t="s">
        <v>1408</v>
      </c>
      <c r="G218" s="10">
        <v>3.33</v>
      </c>
      <c r="H218" s="163"/>
      <c r="I218" s="86">
        <f t="shared" si="37"/>
        <v>3.33</v>
      </c>
      <c r="J218" s="86">
        <v>0</v>
      </c>
      <c r="K218" s="87">
        <f t="shared" si="45"/>
        <v>3.33</v>
      </c>
      <c r="L218" s="34">
        <f t="shared" si="38"/>
        <v>3496500</v>
      </c>
      <c r="M218" s="191" t="s">
        <v>858</v>
      </c>
      <c r="N218" s="34">
        <f t="shared" si="42"/>
        <v>1748250</v>
      </c>
      <c r="O218" s="34">
        <f t="shared" si="40"/>
        <v>1050000</v>
      </c>
      <c r="P218" s="10">
        <v>26</v>
      </c>
      <c r="Q218" s="67">
        <v>26</v>
      </c>
      <c r="R218" s="164">
        <f t="shared" si="46"/>
        <v>1748250</v>
      </c>
      <c r="S218" s="34">
        <f t="shared" si="41"/>
        <v>1748250</v>
      </c>
      <c r="T218" s="108"/>
      <c r="U218" s="34">
        <f t="shared" si="43"/>
        <v>0</v>
      </c>
      <c r="V218" s="79"/>
      <c r="W218" s="34">
        <f t="shared" si="39"/>
        <v>0</v>
      </c>
      <c r="X218" s="34">
        <f t="shared" si="36"/>
        <v>34965</v>
      </c>
      <c r="Y218" s="51">
        <f t="shared" si="47"/>
        <v>1783215</v>
      </c>
      <c r="Z218" s="11" t="str">
        <f t="shared" si="44"/>
        <v>208</v>
      </c>
      <c r="AA218" s="118"/>
      <c r="AB218" s="171" t="s">
        <v>1151</v>
      </c>
      <c r="AC218" s="161"/>
    </row>
    <row r="219" spans="1:29" s="114" customFormat="1" ht="20.25" customHeight="1">
      <c r="A219" s="33" t="s">
        <v>696</v>
      </c>
      <c r="B219" s="37" t="s">
        <v>1076</v>
      </c>
      <c r="C219" s="38" t="s">
        <v>867</v>
      </c>
      <c r="D219" s="38"/>
      <c r="E219" s="67" t="s">
        <v>209</v>
      </c>
      <c r="F219" s="80" t="s">
        <v>1409</v>
      </c>
      <c r="G219" s="10">
        <v>3</v>
      </c>
      <c r="H219" s="163"/>
      <c r="I219" s="86">
        <f t="shared" si="37"/>
        <v>3</v>
      </c>
      <c r="J219" s="86">
        <v>0</v>
      </c>
      <c r="K219" s="87">
        <f t="shared" si="45"/>
        <v>3</v>
      </c>
      <c r="L219" s="34">
        <f t="shared" si="38"/>
        <v>3150000</v>
      </c>
      <c r="M219" s="191" t="s">
        <v>858</v>
      </c>
      <c r="N219" s="34">
        <f t="shared" si="42"/>
        <v>1575000</v>
      </c>
      <c r="O219" s="34">
        <f t="shared" si="40"/>
        <v>1050000</v>
      </c>
      <c r="P219" s="10">
        <v>26</v>
      </c>
      <c r="Q219" s="67">
        <v>26</v>
      </c>
      <c r="R219" s="164">
        <f t="shared" si="46"/>
        <v>1575000</v>
      </c>
      <c r="S219" s="34">
        <f t="shared" si="41"/>
        <v>1575000</v>
      </c>
      <c r="T219" s="108"/>
      <c r="U219" s="34">
        <f t="shared" si="43"/>
        <v>0</v>
      </c>
      <c r="V219" s="79"/>
      <c r="W219" s="34">
        <f t="shared" si="39"/>
        <v>0</v>
      </c>
      <c r="X219" s="34">
        <f t="shared" si="36"/>
        <v>31500</v>
      </c>
      <c r="Y219" s="51">
        <f t="shared" si="47"/>
        <v>1606500</v>
      </c>
      <c r="Z219" s="11" t="str">
        <f t="shared" si="44"/>
        <v>209</v>
      </c>
      <c r="AA219" s="118"/>
      <c r="AB219" s="171" t="s">
        <v>1152</v>
      </c>
      <c r="AC219" s="161"/>
    </row>
    <row r="220" spans="1:29" s="114" customFormat="1" ht="24" customHeight="1">
      <c r="A220" s="33" t="s">
        <v>697</v>
      </c>
      <c r="B220" s="284" t="s">
        <v>1077</v>
      </c>
      <c r="C220" s="285" t="s">
        <v>1078</v>
      </c>
      <c r="D220" s="285"/>
      <c r="E220" s="307" t="s">
        <v>210</v>
      </c>
      <c r="F220" s="287" t="s">
        <v>1410</v>
      </c>
      <c r="G220" s="291">
        <v>3</v>
      </c>
      <c r="H220" s="308"/>
      <c r="I220" s="290">
        <f t="shared" si="37"/>
        <v>3</v>
      </c>
      <c r="J220" s="290">
        <v>0</v>
      </c>
      <c r="K220" s="309">
        <f t="shared" si="45"/>
        <v>3</v>
      </c>
      <c r="L220" s="292">
        <f t="shared" si="38"/>
        <v>3150000</v>
      </c>
      <c r="M220" s="191" t="s">
        <v>785</v>
      </c>
      <c r="N220" s="34">
        <f t="shared" si="42"/>
        <v>0</v>
      </c>
      <c r="O220" s="292">
        <f t="shared" si="40"/>
        <v>0</v>
      </c>
      <c r="P220" s="291">
        <v>0</v>
      </c>
      <c r="Q220" s="307">
        <v>0</v>
      </c>
      <c r="R220" s="310">
        <f t="shared" si="46"/>
        <v>0</v>
      </c>
      <c r="S220" s="292">
        <f t="shared" si="41"/>
        <v>0</v>
      </c>
      <c r="T220" s="311"/>
      <c r="U220" s="292">
        <f t="shared" si="43"/>
        <v>0</v>
      </c>
      <c r="V220" s="296"/>
      <c r="W220" s="292">
        <f t="shared" si="39"/>
        <v>0</v>
      </c>
      <c r="X220" s="292">
        <v>0</v>
      </c>
      <c r="Y220" s="312">
        <f t="shared" si="47"/>
        <v>0</v>
      </c>
      <c r="Z220" s="298" t="str">
        <f t="shared" si="44"/>
        <v>210</v>
      </c>
      <c r="AA220" s="313" t="s">
        <v>784</v>
      </c>
      <c r="AB220" s="171" t="s">
        <v>1153</v>
      </c>
      <c r="AC220" s="161"/>
    </row>
    <row r="221" spans="1:29" s="114" customFormat="1" ht="19.5" customHeight="1">
      <c r="A221" s="33" t="s">
        <v>698</v>
      </c>
      <c r="B221" s="37" t="s">
        <v>1079</v>
      </c>
      <c r="C221" s="38" t="s">
        <v>1024</v>
      </c>
      <c r="D221" s="38"/>
      <c r="E221" s="67" t="s">
        <v>211</v>
      </c>
      <c r="F221" s="80" t="s">
        <v>1411</v>
      </c>
      <c r="G221" s="10">
        <v>2.67</v>
      </c>
      <c r="H221" s="163"/>
      <c r="I221" s="86">
        <f t="shared" si="37"/>
        <v>2.67</v>
      </c>
      <c r="J221" s="86">
        <v>0</v>
      </c>
      <c r="K221" s="87">
        <f t="shared" si="45"/>
        <v>2.67</v>
      </c>
      <c r="L221" s="34">
        <f t="shared" si="38"/>
        <v>2803500</v>
      </c>
      <c r="M221" s="191" t="s">
        <v>858</v>
      </c>
      <c r="N221" s="34">
        <f t="shared" si="42"/>
        <v>1401750</v>
      </c>
      <c r="O221" s="34">
        <f t="shared" si="40"/>
        <v>1050000</v>
      </c>
      <c r="P221" s="10">
        <v>26</v>
      </c>
      <c r="Q221" s="67">
        <v>26</v>
      </c>
      <c r="R221" s="164">
        <f t="shared" si="46"/>
        <v>1401750</v>
      </c>
      <c r="S221" s="34">
        <f t="shared" si="41"/>
        <v>1401750</v>
      </c>
      <c r="T221" s="108"/>
      <c r="U221" s="34">
        <f t="shared" si="43"/>
        <v>0</v>
      </c>
      <c r="V221" s="79"/>
      <c r="W221" s="34">
        <f t="shared" si="39"/>
        <v>0</v>
      </c>
      <c r="X221" s="34">
        <f t="shared" si="36"/>
        <v>28035</v>
      </c>
      <c r="Y221" s="51">
        <f t="shared" si="47"/>
        <v>1429785</v>
      </c>
      <c r="Z221" s="11" t="str">
        <f t="shared" si="44"/>
        <v>211</v>
      </c>
      <c r="AA221" s="132"/>
      <c r="AB221" s="171" t="s">
        <v>1154</v>
      </c>
      <c r="AC221" s="161"/>
    </row>
    <row r="222" spans="1:29" s="114" customFormat="1" ht="19.5" customHeight="1">
      <c r="A222" s="33" t="s">
        <v>699</v>
      </c>
      <c r="B222" s="37" t="s">
        <v>1080</v>
      </c>
      <c r="C222" s="38" t="s">
        <v>1019</v>
      </c>
      <c r="D222" s="38"/>
      <c r="E222" s="67" t="s">
        <v>212</v>
      </c>
      <c r="F222" s="80" t="s">
        <v>1412</v>
      </c>
      <c r="G222" s="10">
        <v>2.67</v>
      </c>
      <c r="H222" s="163"/>
      <c r="I222" s="86">
        <f t="shared" si="37"/>
        <v>2.67</v>
      </c>
      <c r="J222" s="86"/>
      <c r="K222" s="87">
        <f t="shared" si="45"/>
        <v>2.67</v>
      </c>
      <c r="L222" s="34">
        <f t="shared" si="38"/>
        <v>2803500</v>
      </c>
      <c r="M222" s="191" t="s">
        <v>858</v>
      </c>
      <c r="N222" s="34">
        <f t="shared" si="42"/>
        <v>1401750</v>
      </c>
      <c r="O222" s="34">
        <f t="shared" si="40"/>
        <v>1050000</v>
      </c>
      <c r="P222" s="10">
        <v>26</v>
      </c>
      <c r="Q222" s="67">
        <v>26</v>
      </c>
      <c r="R222" s="164">
        <f t="shared" si="46"/>
        <v>1401750</v>
      </c>
      <c r="S222" s="34">
        <f t="shared" si="41"/>
        <v>1401750</v>
      </c>
      <c r="T222" s="108"/>
      <c r="U222" s="34">
        <f t="shared" si="43"/>
        <v>0</v>
      </c>
      <c r="V222" s="79"/>
      <c r="W222" s="34">
        <f t="shared" si="39"/>
        <v>0</v>
      </c>
      <c r="X222" s="34">
        <f t="shared" si="36"/>
        <v>28035</v>
      </c>
      <c r="Y222" s="51">
        <f t="shared" si="47"/>
        <v>1429785</v>
      </c>
      <c r="Z222" s="11" t="str">
        <f t="shared" si="44"/>
        <v>212</v>
      </c>
      <c r="AA222" s="132"/>
      <c r="AB222" s="171" t="s">
        <v>1155</v>
      </c>
      <c r="AC222" s="161"/>
    </row>
    <row r="223" spans="1:29" s="114" customFormat="1" ht="20.25" customHeight="1">
      <c r="A223" s="33" t="s">
        <v>700</v>
      </c>
      <c r="B223" s="37" t="s">
        <v>366</v>
      </c>
      <c r="C223" s="155" t="s">
        <v>883</v>
      </c>
      <c r="D223" s="155"/>
      <c r="E223" s="67" t="s">
        <v>391</v>
      </c>
      <c r="F223" s="80" t="s">
        <v>390</v>
      </c>
      <c r="G223" s="191">
        <v>2.67</v>
      </c>
      <c r="H223" s="163"/>
      <c r="I223" s="86">
        <f t="shared" si="37"/>
        <v>2.67</v>
      </c>
      <c r="J223" s="86"/>
      <c r="K223" s="87">
        <f t="shared" si="45"/>
        <v>2.67</v>
      </c>
      <c r="L223" s="34">
        <f t="shared" si="38"/>
        <v>2803500</v>
      </c>
      <c r="M223" s="191" t="s">
        <v>858</v>
      </c>
      <c r="N223" s="34">
        <f t="shared" si="42"/>
        <v>1401750</v>
      </c>
      <c r="O223" s="34">
        <f t="shared" si="40"/>
        <v>1050000</v>
      </c>
      <c r="P223" s="10">
        <v>21</v>
      </c>
      <c r="Q223" s="67">
        <v>26</v>
      </c>
      <c r="R223" s="164">
        <f t="shared" si="46"/>
        <v>1401750</v>
      </c>
      <c r="S223" s="34">
        <f t="shared" si="41"/>
        <v>1401750</v>
      </c>
      <c r="T223" s="108"/>
      <c r="U223" s="34">
        <f t="shared" si="43"/>
        <v>0</v>
      </c>
      <c r="V223" s="79"/>
      <c r="W223" s="34">
        <f t="shared" si="39"/>
        <v>0</v>
      </c>
      <c r="X223" s="34">
        <f t="shared" si="36"/>
        <v>28035</v>
      </c>
      <c r="Y223" s="51">
        <f t="shared" si="47"/>
        <v>1429785</v>
      </c>
      <c r="Z223" s="11" t="str">
        <f t="shared" si="44"/>
        <v>213</v>
      </c>
      <c r="AA223" s="118"/>
      <c r="AB223" s="171" t="s">
        <v>1156</v>
      </c>
      <c r="AC223" s="161"/>
    </row>
    <row r="224" spans="1:29" s="114" customFormat="1" ht="20.25" customHeight="1">
      <c r="A224" s="33" t="s">
        <v>701</v>
      </c>
      <c r="B224" s="37" t="s">
        <v>1081</v>
      </c>
      <c r="C224" s="38" t="s">
        <v>1035</v>
      </c>
      <c r="D224" s="38" t="s">
        <v>551</v>
      </c>
      <c r="E224" s="67" t="s">
        <v>213</v>
      </c>
      <c r="F224" s="80" t="s">
        <v>1413</v>
      </c>
      <c r="G224" s="10">
        <v>4.9800000000000004</v>
      </c>
      <c r="H224" s="163">
        <v>0.06</v>
      </c>
      <c r="I224" s="86">
        <f t="shared" si="37"/>
        <v>5.2788000000000004</v>
      </c>
      <c r="J224" s="86">
        <v>0.45</v>
      </c>
      <c r="K224" s="87">
        <f t="shared" si="45"/>
        <v>5.7288000000000006</v>
      </c>
      <c r="L224" s="34">
        <f t="shared" si="38"/>
        <v>6015240.0000000009</v>
      </c>
      <c r="M224" s="191" t="s">
        <v>858</v>
      </c>
      <c r="N224" s="34">
        <f t="shared" si="42"/>
        <v>3007620.0000000005</v>
      </c>
      <c r="O224" s="34">
        <f t="shared" si="40"/>
        <v>1050000</v>
      </c>
      <c r="P224" s="10">
        <v>26</v>
      </c>
      <c r="Q224" s="67">
        <v>26</v>
      </c>
      <c r="R224" s="164">
        <f t="shared" si="46"/>
        <v>3007620.0000000005</v>
      </c>
      <c r="S224" s="34">
        <f>IF(Q224&gt;=P224,R224,R224/P224*Q224)</f>
        <v>3007620.0000000005</v>
      </c>
      <c r="T224" s="108"/>
      <c r="U224" s="34">
        <f t="shared" si="43"/>
        <v>0</v>
      </c>
      <c r="V224" s="79"/>
      <c r="W224" s="34">
        <f t="shared" si="39"/>
        <v>0</v>
      </c>
      <c r="X224" s="34">
        <f t="shared" si="36"/>
        <v>60152.400000000009</v>
      </c>
      <c r="Y224" s="51">
        <f t="shared" si="47"/>
        <v>3067772.4000000004</v>
      </c>
      <c r="Z224" s="11" t="str">
        <f t="shared" si="44"/>
        <v>214</v>
      </c>
      <c r="AA224" s="132"/>
      <c r="AB224" s="161" t="s">
        <v>727</v>
      </c>
      <c r="AC224" s="161"/>
    </row>
    <row r="225" spans="1:29" s="114" customFormat="1" ht="20.25" customHeight="1">
      <c r="A225" s="33" t="s">
        <v>702</v>
      </c>
      <c r="B225" s="37" t="s">
        <v>1082</v>
      </c>
      <c r="C225" s="38" t="s">
        <v>1051</v>
      </c>
      <c r="D225" s="38"/>
      <c r="E225" s="67" t="s">
        <v>214</v>
      </c>
      <c r="F225" s="80" t="s">
        <v>1414</v>
      </c>
      <c r="G225" s="10">
        <v>3.33</v>
      </c>
      <c r="H225" s="163"/>
      <c r="I225" s="86">
        <f t="shared" si="37"/>
        <v>3.33</v>
      </c>
      <c r="J225" s="86">
        <v>0</v>
      </c>
      <c r="K225" s="87">
        <f t="shared" si="45"/>
        <v>3.33</v>
      </c>
      <c r="L225" s="34">
        <f t="shared" si="38"/>
        <v>3496500</v>
      </c>
      <c r="M225" s="191" t="s">
        <v>858</v>
      </c>
      <c r="N225" s="34">
        <f t="shared" si="42"/>
        <v>1748250</v>
      </c>
      <c r="O225" s="34">
        <f t="shared" si="40"/>
        <v>1050000</v>
      </c>
      <c r="P225" s="10">
        <v>26</v>
      </c>
      <c r="Q225" s="67">
        <v>26</v>
      </c>
      <c r="R225" s="164">
        <f t="shared" si="46"/>
        <v>1748250</v>
      </c>
      <c r="S225" s="34">
        <f>IF(Q225&gt;=P225,R225,R225/P225*Q225)</f>
        <v>1748250</v>
      </c>
      <c r="T225" s="108"/>
      <c r="U225" s="34">
        <f t="shared" si="43"/>
        <v>0</v>
      </c>
      <c r="V225" s="79"/>
      <c r="W225" s="34">
        <f t="shared" si="39"/>
        <v>0</v>
      </c>
      <c r="X225" s="34">
        <f t="shared" si="36"/>
        <v>34965</v>
      </c>
      <c r="Y225" s="51">
        <f t="shared" si="47"/>
        <v>1783215</v>
      </c>
      <c r="Z225" s="11" t="str">
        <f t="shared" si="44"/>
        <v>215</v>
      </c>
      <c r="AA225" s="132"/>
      <c r="AB225" s="236"/>
      <c r="AC225" s="161"/>
    </row>
    <row r="226" spans="1:29" s="114" customFormat="1" ht="27" customHeight="1">
      <c r="A226" s="33" t="s">
        <v>703</v>
      </c>
      <c r="B226" s="37" t="s">
        <v>1015</v>
      </c>
      <c r="C226" s="38" t="s">
        <v>1083</v>
      </c>
      <c r="D226" s="38"/>
      <c r="E226" s="67" t="s">
        <v>215</v>
      </c>
      <c r="F226" s="80" t="s">
        <v>1415</v>
      </c>
      <c r="G226" s="10">
        <v>3.33</v>
      </c>
      <c r="H226" s="163"/>
      <c r="I226" s="86">
        <f t="shared" si="37"/>
        <v>3.33</v>
      </c>
      <c r="J226" s="86">
        <v>0.25</v>
      </c>
      <c r="K226" s="87">
        <f t="shared" si="45"/>
        <v>3.58</v>
      </c>
      <c r="L226" s="34">
        <f t="shared" si="38"/>
        <v>3759000</v>
      </c>
      <c r="M226" s="191" t="s">
        <v>858</v>
      </c>
      <c r="N226" s="34">
        <f t="shared" si="42"/>
        <v>1879500</v>
      </c>
      <c r="O226" s="34">
        <f t="shared" si="40"/>
        <v>1050000</v>
      </c>
      <c r="P226" s="10">
        <v>26</v>
      </c>
      <c r="Q226" s="67">
        <v>26</v>
      </c>
      <c r="R226" s="164">
        <f t="shared" si="46"/>
        <v>1879500</v>
      </c>
      <c r="S226" s="34">
        <f>IF(Q226&gt;=P226,R226,R226/P226*Q226)</f>
        <v>1879500</v>
      </c>
      <c r="T226" s="108"/>
      <c r="U226" s="34">
        <f t="shared" si="43"/>
        <v>0</v>
      </c>
      <c r="V226" s="79"/>
      <c r="W226" s="34">
        <f t="shared" si="39"/>
        <v>0</v>
      </c>
      <c r="X226" s="34">
        <f t="shared" si="36"/>
        <v>37590</v>
      </c>
      <c r="Y226" s="51">
        <f t="shared" si="47"/>
        <v>1917090</v>
      </c>
      <c r="Z226" s="11" t="str">
        <f t="shared" si="44"/>
        <v>216</v>
      </c>
      <c r="AA226" s="118"/>
      <c r="AB226" s="161"/>
      <c r="AC226" s="161"/>
    </row>
    <row r="227" spans="1:29" s="114" customFormat="1" ht="15.75">
      <c r="A227" s="33" t="s">
        <v>704</v>
      </c>
      <c r="B227" s="37" t="s">
        <v>1084</v>
      </c>
      <c r="C227" s="38" t="s">
        <v>887</v>
      </c>
      <c r="D227" s="38"/>
      <c r="E227" s="67" t="s">
        <v>216</v>
      </c>
      <c r="F227" s="80" t="s">
        <v>1416</v>
      </c>
      <c r="G227" s="10">
        <v>3</v>
      </c>
      <c r="H227" s="163"/>
      <c r="I227" s="86">
        <f t="shared" si="37"/>
        <v>3</v>
      </c>
      <c r="J227" s="86">
        <v>0.25</v>
      </c>
      <c r="K227" s="87">
        <f t="shared" si="45"/>
        <v>3.25</v>
      </c>
      <c r="L227" s="34">
        <f t="shared" si="38"/>
        <v>3412500</v>
      </c>
      <c r="M227" s="191" t="s">
        <v>858</v>
      </c>
      <c r="N227" s="34">
        <f t="shared" si="42"/>
        <v>1706250</v>
      </c>
      <c r="O227" s="34">
        <f t="shared" si="40"/>
        <v>1050000</v>
      </c>
      <c r="P227" s="10">
        <v>26</v>
      </c>
      <c r="Q227" s="67">
        <v>26</v>
      </c>
      <c r="R227" s="164">
        <f t="shared" si="46"/>
        <v>1706250</v>
      </c>
      <c r="S227" s="34">
        <f>IF(Q227&gt;=P227,R227,R227/P227*Q227)</f>
        <v>1706250</v>
      </c>
      <c r="T227" s="108"/>
      <c r="U227" s="34">
        <f t="shared" si="43"/>
        <v>0</v>
      </c>
      <c r="V227" s="79"/>
      <c r="W227" s="34">
        <f t="shared" si="39"/>
        <v>0</v>
      </c>
      <c r="X227" s="34">
        <f t="shared" si="36"/>
        <v>34125</v>
      </c>
      <c r="Y227" s="51">
        <f t="shared" si="47"/>
        <v>1740375</v>
      </c>
      <c r="Z227" s="11" t="str">
        <f t="shared" si="44"/>
        <v>217</v>
      </c>
      <c r="AA227" s="118"/>
      <c r="AB227" s="161"/>
      <c r="AC227" s="161"/>
    </row>
    <row r="228" spans="1:29" s="114" customFormat="1" ht="28.5" customHeight="1">
      <c r="A228" s="33" t="s">
        <v>705</v>
      </c>
      <c r="B228" s="284" t="s">
        <v>1085</v>
      </c>
      <c r="C228" s="285" t="s">
        <v>949</v>
      </c>
      <c r="D228" s="285"/>
      <c r="E228" s="307" t="s">
        <v>217</v>
      </c>
      <c r="F228" s="287" t="s">
        <v>1417</v>
      </c>
      <c r="G228" s="291">
        <v>3</v>
      </c>
      <c r="H228" s="308"/>
      <c r="I228" s="290">
        <f t="shared" si="37"/>
        <v>3</v>
      </c>
      <c r="J228" s="290">
        <v>0.25</v>
      </c>
      <c r="K228" s="309">
        <f t="shared" si="45"/>
        <v>3.25</v>
      </c>
      <c r="L228" s="292">
        <f t="shared" si="38"/>
        <v>3412500</v>
      </c>
      <c r="M228" s="191" t="s">
        <v>858</v>
      </c>
      <c r="N228" s="34">
        <f t="shared" si="42"/>
        <v>1706250</v>
      </c>
      <c r="O228" s="292">
        <f t="shared" si="40"/>
        <v>1050000</v>
      </c>
      <c r="P228" s="291">
        <v>26</v>
      </c>
      <c r="Q228" s="307">
        <v>3</v>
      </c>
      <c r="R228" s="310">
        <f t="shared" si="46"/>
        <v>1706250</v>
      </c>
      <c r="S228" s="292">
        <f t="shared" si="41"/>
        <v>196875</v>
      </c>
      <c r="T228" s="311"/>
      <c r="U228" s="292">
        <f t="shared" si="43"/>
        <v>0</v>
      </c>
      <c r="V228" s="296"/>
      <c r="W228" s="292">
        <f t="shared" si="39"/>
        <v>0</v>
      </c>
      <c r="X228" s="292">
        <f t="shared" si="36"/>
        <v>34125</v>
      </c>
      <c r="Y228" s="312">
        <f t="shared" si="47"/>
        <v>231000</v>
      </c>
      <c r="Z228" s="298" t="str">
        <f t="shared" si="44"/>
        <v>218</v>
      </c>
      <c r="AA228" s="313" t="s">
        <v>807</v>
      </c>
      <c r="AB228" s="161" t="s">
        <v>727</v>
      </c>
      <c r="AC228" s="161"/>
    </row>
    <row r="229" spans="1:29" s="114" customFormat="1" ht="26.25" customHeight="1">
      <c r="A229" s="33" t="s">
        <v>706</v>
      </c>
      <c r="B229" s="37" t="s">
        <v>1249</v>
      </c>
      <c r="C229" s="38" t="s">
        <v>981</v>
      </c>
      <c r="D229" s="38"/>
      <c r="E229" s="67" t="s">
        <v>218</v>
      </c>
      <c r="F229" s="80" t="s">
        <v>1418</v>
      </c>
      <c r="G229" s="10">
        <v>3</v>
      </c>
      <c r="H229" s="163"/>
      <c r="I229" s="86">
        <f t="shared" si="37"/>
        <v>3</v>
      </c>
      <c r="J229" s="86">
        <v>0.25</v>
      </c>
      <c r="K229" s="87">
        <f t="shared" si="45"/>
        <v>3.25</v>
      </c>
      <c r="L229" s="34">
        <f t="shared" si="38"/>
        <v>3412500</v>
      </c>
      <c r="M229" s="191" t="s">
        <v>858</v>
      </c>
      <c r="N229" s="34">
        <f t="shared" si="42"/>
        <v>1706250</v>
      </c>
      <c r="O229" s="34">
        <f t="shared" si="40"/>
        <v>1050000</v>
      </c>
      <c r="P229" s="10">
        <v>26</v>
      </c>
      <c r="Q229" s="67">
        <v>26</v>
      </c>
      <c r="R229" s="164">
        <f t="shared" si="46"/>
        <v>1706250</v>
      </c>
      <c r="S229" s="34">
        <f t="shared" si="41"/>
        <v>1706250</v>
      </c>
      <c r="T229" s="108"/>
      <c r="U229" s="34">
        <f t="shared" si="43"/>
        <v>0</v>
      </c>
      <c r="V229" s="79"/>
      <c r="W229" s="34">
        <f t="shared" si="39"/>
        <v>0</v>
      </c>
      <c r="X229" s="34">
        <f t="shared" si="36"/>
        <v>34125</v>
      </c>
      <c r="Y229" s="51">
        <f t="shared" si="47"/>
        <v>1740375</v>
      </c>
      <c r="Z229" s="11" t="str">
        <f t="shared" si="44"/>
        <v>219</v>
      </c>
      <c r="AA229" s="118"/>
      <c r="AB229" s="161"/>
      <c r="AC229" s="161"/>
    </row>
    <row r="230" spans="1:29" s="114" customFormat="1" ht="22.5" customHeight="1">
      <c r="A230" s="33" t="s">
        <v>707</v>
      </c>
      <c r="B230" s="37" t="s">
        <v>1027</v>
      </c>
      <c r="C230" s="38" t="s">
        <v>863</v>
      </c>
      <c r="D230" s="38"/>
      <c r="E230" s="67" t="s">
        <v>342</v>
      </c>
      <c r="F230" s="80" t="s">
        <v>392</v>
      </c>
      <c r="G230" s="10">
        <v>2.34</v>
      </c>
      <c r="H230" s="163"/>
      <c r="I230" s="86">
        <f t="shared" si="37"/>
        <v>2.34</v>
      </c>
      <c r="J230" s="86"/>
      <c r="K230" s="87">
        <f>I230+J230</f>
        <v>2.34</v>
      </c>
      <c r="L230" s="34">
        <f t="shared" si="38"/>
        <v>2457000</v>
      </c>
      <c r="M230" s="191" t="s">
        <v>858</v>
      </c>
      <c r="N230" s="34">
        <f t="shared" si="42"/>
        <v>1228500</v>
      </c>
      <c r="O230" s="34">
        <f t="shared" si="40"/>
        <v>1050000</v>
      </c>
      <c r="P230" s="10">
        <v>26</v>
      </c>
      <c r="Q230" s="67">
        <v>26</v>
      </c>
      <c r="R230" s="164">
        <f t="shared" si="46"/>
        <v>1228500</v>
      </c>
      <c r="S230" s="34">
        <f t="shared" si="41"/>
        <v>1228500</v>
      </c>
      <c r="T230" s="108"/>
      <c r="U230" s="34">
        <f t="shared" si="43"/>
        <v>0</v>
      </c>
      <c r="V230" s="79"/>
      <c r="W230" s="34">
        <f t="shared" si="39"/>
        <v>0</v>
      </c>
      <c r="X230" s="34">
        <f t="shared" si="36"/>
        <v>24570</v>
      </c>
      <c r="Y230" s="51">
        <f t="shared" si="47"/>
        <v>1253070</v>
      </c>
      <c r="Z230" s="11" t="str">
        <f t="shared" si="44"/>
        <v>220</v>
      </c>
      <c r="AA230" s="132"/>
      <c r="AB230" s="161"/>
      <c r="AC230" s="161"/>
    </row>
    <row r="231" spans="1:29" s="114" customFormat="1" ht="23.25" customHeight="1">
      <c r="A231" s="33" t="s">
        <v>708</v>
      </c>
      <c r="B231" s="37" t="s">
        <v>500</v>
      </c>
      <c r="C231" s="38" t="s">
        <v>501</v>
      </c>
      <c r="D231" s="38"/>
      <c r="E231" s="67" t="s">
        <v>502</v>
      </c>
      <c r="F231" s="107">
        <v>1603205246186</v>
      </c>
      <c r="G231" s="10">
        <v>3.99</v>
      </c>
      <c r="H231" s="163"/>
      <c r="I231" s="86">
        <f>G231+(G231*H231)</f>
        <v>3.99</v>
      </c>
      <c r="J231" s="86"/>
      <c r="K231" s="87">
        <f>I231+J231</f>
        <v>3.99</v>
      </c>
      <c r="L231" s="34">
        <f>K231*$H$7</f>
        <v>4189500</v>
      </c>
      <c r="M231" s="191" t="s">
        <v>858</v>
      </c>
      <c r="N231" s="34">
        <f t="shared" si="42"/>
        <v>2094750</v>
      </c>
      <c r="O231" s="34">
        <f t="shared" si="40"/>
        <v>1050000</v>
      </c>
      <c r="P231" s="10">
        <v>26</v>
      </c>
      <c r="Q231" s="67">
        <v>26</v>
      </c>
      <c r="R231" s="164">
        <f t="shared" si="46"/>
        <v>2094750</v>
      </c>
      <c r="S231" s="34">
        <f>IF(Q231&gt;=P231,R231,R231/P231*Q231)</f>
        <v>2094750</v>
      </c>
      <c r="T231" s="108"/>
      <c r="U231" s="34">
        <f t="shared" si="43"/>
        <v>0</v>
      </c>
      <c r="V231" s="79"/>
      <c r="W231" s="34">
        <f>V231*$H$7*0.5</f>
        <v>0</v>
      </c>
      <c r="X231" s="34">
        <f>(K231*0.01*$H$7)+(T231*1%*$H$7)+(V231*1%*$H$7)</f>
        <v>41895.000000000007</v>
      </c>
      <c r="Y231" s="51">
        <f t="shared" si="47"/>
        <v>2136645</v>
      </c>
      <c r="Z231" s="11" t="str">
        <f t="shared" si="44"/>
        <v>221</v>
      </c>
      <c r="AA231" s="132"/>
      <c r="AB231" s="161"/>
      <c r="AC231" s="161"/>
    </row>
    <row r="232" spans="1:29" s="114" customFormat="1" ht="24" customHeight="1">
      <c r="A232" s="33" t="s">
        <v>709</v>
      </c>
      <c r="B232" s="37" t="s">
        <v>1234</v>
      </c>
      <c r="C232" s="38" t="s">
        <v>1013</v>
      </c>
      <c r="D232" s="38"/>
      <c r="E232" s="67" t="s">
        <v>512</v>
      </c>
      <c r="F232" s="107" t="s">
        <v>511</v>
      </c>
      <c r="G232" s="10">
        <v>2.34</v>
      </c>
      <c r="H232" s="163"/>
      <c r="I232" s="86">
        <f>G232+(G232*H232)</f>
        <v>2.34</v>
      </c>
      <c r="J232" s="86"/>
      <c r="K232" s="87">
        <f>I232+J232</f>
        <v>2.34</v>
      </c>
      <c r="L232" s="34">
        <f>K232*$H$7</f>
        <v>2457000</v>
      </c>
      <c r="M232" s="191" t="s">
        <v>786</v>
      </c>
      <c r="N232" s="34">
        <f t="shared" si="42"/>
        <v>691031.25</v>
      </c>
      <c r="O232" s="34">
        <f t="shared" si="40"/>
        <v>514500</v>
      </c>
      <c r="P232" s="10">
        <v>26</v>
      </c>
      <c r="Q232" s="67">
        <v>26</v>
      </c>
      <c r="R232" s="164">
        <f t="shared" si="46"/>
        <v>691031.25</v>
      </c>
      <c r="S232" s="34">
        <f>IF(Q232&gt;=P232,R232,R232/P232*Q232)</f>
        <v>691031.25</v>
      </c>
      <c r="T232" s="108"/>
      <c r="U232" s="34">
        <f t="shared" si="43"/>
        <v>0</v>
      </c>
      <c r="V232" s="79"/>
      <c r="W232" s="34">
        <f>V232*$H$7*0.5</f>
        <v>0</v>
      </c>
      <c r="X232" s="34">
        <f>(K232*0.01*$H$7)+(T232*1%*$H$7)+(V232*1%*$H$7)</f>
        <v>24570</v>
      </c>
      <c r="Y232" s="51">
        <f t="shared" si="47"/>
        <v>715601.25</v>
      </c>
      <c r="Z232" s="11" t="str">
        <f t="shared" si="44"/>
        <v>222</v>
      </c>
      <c r="AA232" s="118" t="s">
        <v>823</v>
      </c>
      <c r="AB232" s="161"/>
      <c r="AC232" s="161"/>
    </row>
    <row r="233" spans="1:29" s="114" customFormat="1" ht="19.5" customHeight="1">
      <c r="A233" s="33" t="s">
        <v>710</v>
      </c>
      <c r="B233" s="37" t="s">
        <v>1004</v>
      </c>
      <c r="C233" s="155" t="s">
        <v>962</v>
      </c>
      <c r="D233" s="155"/>
      <c r="E233" s="67" t="s">
        <v>343</v>
      </c>
      <c r="F233" s="107">
        <v>1603205182619</v>
      </c>
      <c r="G233" s="10">
        <v>2.46</v>
      </c>
      <c r="H233" s="163"/>
      <c r="I233" s="86">
        <f t="shared" si="37"/>
        <v>2.46</v>
      </c>
      <c r="J233" s="86"/>
      <c r="K233" s="87">
        <f>I233+J233</f>
        <v>2.46</v>
      </c>
      <c r="L233" s="34">
        <f t="shared" si="38"/>
        <v>2583000</v>
      </c>
      <c r="M233" s="191" t="s">
        <v>858</v>
      </c>
      <c r="N233" s="34">
        <f t="shared" si="42"/>
        <v>1291500</v>
      </c>
      <c r="O233" s="34">
        <f t="shared" si="40"/>
        <v>1050000</v>
      </c>
      <c r="P233" s="10">
        <v>21</v>
      </c>
      <c r="Q233" s="67">
        <v>26</v>
      </c>
      <c r="R233" s="164">
        <f t="shared" si="46"/>
        <v>1291500</v>
      </c>
      <c r="S233" s="34">
        <f t="shared" si="41"/>
        <v>1291500</v>
      </c>
      <c r="T233" s="108"/>
      <c r="U233" s="34">
        <f t="shared" si="43"/>
        <v>0</v>
      </c>
      <c r="V233" s="79"/>
      <c r="W233" s="34">
        <f t="shared" si="39"/>
        <v>0</v>
      </c>
      <c r="X233" s="34">
        <f t="shared" si="36"/>
        <v>25830</v>
      </c>
      <c r="Y233" s="51">
        <f t="shared" si="47"/>
        <v>1317330</v>
      </c>
      <c r="Z233" s="11" t="str">
        <f t="shared" si="44"/>
        <v>223</v>
      </c>
      <c r="AA233" s="132"/>
      <c r="AB233" s="161"/>
      <c r="AC233" s="161"/>
    </row>
    <row r="234" spans="1:29" s="114" customFormat="1" ht="15.75">
      <c r="A234" s="33" t="s">
        <v>711</v>
      </c>
      <c r="B234" s="284" t="s">
        <v>938</v>
      </c>
      <c r="C234" s="285" t="s">
        <v>992</v>
      </c>
      <c r="D234" s="285" t="s">
        <v>552</v>
      </c>
      <c r="E234" s="307" t="s">
        <v>219</v>
      </c>
      <c r="F234" s="330" t="s">
        <v>1419</v>
      </c>
      <c r="G234" s="291">
        <v>4.9800000000000004</v>
      </c>
      <c r="H234" s="308">
        <v>7.0000000000000007E-2</v>
      </c>
      <c r="I234" s="290">
        <f t="shared" si="37"/>
        <v>5.3286000000000007</v>
      </c>
      <c r="J234" s="290">
        <v>0.45</v>
      </c>
      <c r="K234" s="309">
        <f t="shared" si="45"/>
        <v>5.7786000000000008</v>
      </c>
      <c r="L234" s="292">
        <f t="shared" si="38"/>
        <v>6067530.0000000009</v>
      </c>
      <c r="M234" s="191" t="s">
        <v>858</v>
      </c>
      <c r="N234" s="34">
        <f t="shared" si="42"/>
        <v>3033765.0000000005</v>
      </c>
      <c r="O234" s="292">
        <f t="shared" si="40"/>
        <v>1050000</v>
      </c>
      <c r="P234" s="291">
        <v>26</v>
      </c>
      <c r="Q234" s="307">
        <v>24</v>
      </c>
      <c r="R234" s="310">
        <f t="shared" si="46"/>
        <v>3033765.0000000005</v>
      </c>
      <c r="S234" s="292">
        <f t="shared" si="41"/>
        <v>2800398.461538462</v>
      </c>
      <c r="T234" s="311"/>
      <c r="U234" s="292">
        <f t="shared" si="43"/>
        <v>0</v>
      </c>
      <c r="V234" s="296"/>
      <c r="W234" s="292">
        <f t="shared" si="39"/>
        <v>0</v>
      </c>
      <c r="X234" s="292">
        <f t="shared" si="36"/>
        <v>60675.30000000001</v>
      </c>
      <c r="Y234" s="312">
        <f t="shared" si="47"/>
        <v>2861073.7615384618</v>
      </c>
      <c r="Z234" s="298" t="str">
        <f t="shared" si="44"/>
        <v>224</v>
      </c>
      <c r="AA234" s="313" t="s">
        <v>780</v>
      </c>
      <c r="AB234" s="171" t="s">
        <v>812</v>
      </c>
      <c r="AC234" s="161"/>
    </row>
    <row r="235" spans="1:29" s="114" customFormat="1" ht="29.25" customHeight="1">
      <c r="A235" s="33" t="s">
        <v>712</v>
      </c>
      <c r="B235" s="37" t="s">
        <v>1086</v>
      </c>
      <c r="C235" s="38" t="s">
        <v>1087</v>
      </c>
      <c r="D235" s="38"/>
      <c r="E235" s="67" t="s">
        <v>220</v>
      </c>
      <c r="F235" s="80" t="s">
        <v>1420</v>
      </c>
      <c r="G235" s="10">
        <v>3.33</v>
      </c>
      <c r="H235" s="163"/>
      <c r="I235" s="86">
        <f t="shared" si="37"/>
        <v>3.33</v>
      </c>
      <c r="J235" s="86">
        <v>0.35</v>
      </c>
      <c r="K235" s="87">
        <f t="shared" si="45"/>
        <v>3.68</v>
      </c>
      <c r="L235" s="34">
        <f t="shared" si="38"/>
        <v>3864000</v>
      </c>
      <c r="M235" s="191" t="s">
        <v>858</v>
      </c>
      <c r="N235" s="34">
        <f t="shared" si="42"/>
        <v>1932000</v>
      </c>
      <c r="O235" s="34">
        <f t="shared" si="40"/>
        <v>1050000</v>
      </c>
      <c r="P235" s="10">
        <v>26</v>
      </c>
      <c r="Q235" s="67">
        <v>26</v>
      </c>
      <c r="R235" s="164">
        <f t="shared" si="46"/>
        <v>1932000</v>
      </c>
      <c r="S235" s="34">
        <f t="shared" si="41"/>
        <v>1932000</v>
      </c>
      <c r="T235" s="108"/>
      <c r="U235" s="34">
        <f t="shared" si="43"/>
        <v>0</v>
      </c>
      <c r="V235" s="79"/>
      <c r="W235" s="34">
        <f t="shared" si="39"/>
        <v>0</v>
      </c>
      <c r="X235" s="34">
        <f t="shared" si="36"/>
        <v>38640</v>
      </c>
      <c r="Y235" s="51">
        <f t="shared" si="47"/>
        <v>1970640</v>
      </c>
      <c r="Z235" s="11" t="str">
        <f t="shared" si="44"/>
        <v>225</v>
      </c>
      <c r="AA235" s="118"/>
      <c r="AB235" s="171" t="s">
        <v>813</v>
      </c>
      <c r="AC235" s="161"/>
    </row>
    <row r="236" spans="1:29" s="114" customFormat="1" ht="15.75">
      <c r="A236" s="33" t="s">
        <v>713</v>
      </c>
      <c r="B236" s="37" t="s">
        <v>969</v>
      </c>
      <c r="C236" s="38" t="s">
        <v>876</v>
      </c>
      <c r="D236" s="38"/>
      <c r="E236" s="67" t="s">
        <v>221</v>
      </c>
      <c r="F236" s="80" t="s">
        <v>0</v>
      </c>
      <c r="G236" s="10">
        <v>3</v>
      </c>
      <c r="H236" s="163"/>
      <c r="I236" s="86">
        <f t="shared" si="37"/>
        <v>3</v>
      </c>
      <c r="J236" s="86">
        <v>0.25</v>
      </c>
      <c r="K236" s="87">
        <f t="shared" si="45"/>
        <v>3.25</v>
      </c>
      <c r="L236" s="34">
        <f t="shared" si="38"/>
        <v>3412500</v>
      </c>
      <c r="M236" s="191" t="s">
        <v>858</v>
      </c>
      <c r="N236" s="34">
        <f t="shared" si="42"/>
        <v>1706250</v>
      </c>
      <c r="O236" s="34">
        <f t="shared" si="40"/>
        <v>1050000</v>
      </c>
      <c r="P236" s="10">
        <v>26</v>
      </c>
      <c r="Q236" s="67">
        <v>24</v>
      </c>
      <c r="R236" s="164">
        <f t="shared" si="46"/>
        <v>1706250</v>
      </c>
      <c r="S236" s="34">
        <f t="shared" si="41"/>
        <v>1575000</v>
      </c>
      <c r="T236" s="108"/>
      <c r="U236" s="34">
        <f t="shared" si="43"/>
        <v>0</v>
      </c>
      <c r="V236" s="79"/>
      <c r="W236" s="34">
        <f t="shared" si="39"/>
        <v>0</v>
      </c>
      <c r="X236" s="34">
        <f t="shared" si="36"/>
        <v>34125</v>
      </c>
      <c r="Y236" s="51">
        <f t="shared" si="47"/>
        <v>1609125</v>
      </c>
      <c r="Z236" s="11" t="str">
        <f t="shared" si="44"/>
        <v>226</v>
      </c>
      <c r="AA236" s="118"/>
      <c r="AB236" s="171" t="s">
        <v>814</v>
      </c>
      <c r="AC236" s="161"/>
    </row>
    <row r="237" spans="1:29" s="114" customFormat="1" ht="25.5" customHeight="1">
      <c r="A237" s="33" t="s">
        <v>714</v>
      </c>
      <c r="B237" s="37" t="s">
        <v>1089</v>
      </c>
      <c r="C237" s="38" t="s">
        <v>1090</v>
      </c>
      <c r="D237" s="38"/>
      <c r="E237" s="67" t="s">
        <v>222</v>
      </c>
      <c r="F237" s="80" t="s">
        <v>1</v>
      </c>
      <c r="G237" s="10">
        <v>2.67</v>
      </c>
      <c r="H237" s="163"/>
      <c r="I237" s="86">
        <f t="shared" si="37"/>
        <v>2.67</v>
      </c>
      <c r="J237" s="86">
        <v>0.25</v>
      </c>
      <c r="K237" s="87">
        <f t="shared" si="45"/>
        <v>2.92</v>
      </c>
      <c r="L237" s="34">
        <f t="shared" si="38"/>
        <v>3066000</v>
      </c>
      <c r="M237" s="191" t="s">
        <v>858</v>
      </c>
      <c r="N237" s="34">
        <f t="shared" si="42"/>
        <v>1533000</v>
      </c>
      <c r="O237" s="34">
        <f t="shared" si="40"/>
        <v>1050000</v>
      </c>
      <c r="P237" s="10">
        <v>26</v>
      </c>
      <c r="Q237" s="67">
        <v>21</v>
      </c>
      <c r="R237" s="164">
        <f t="shared" si="46"/>
        <v>1533000</v>
      </c>
      <c r="S237" s="34">
        <f t="shared" si="41"/>
        <v>1238192.3076923077</v>
      </c>
      <c r="T237" s="108"/>
      <c r="U237" s="34">
        <f t="shared" si="43"/>
        <v>0</v>
      </c>
      <c r="V237" s="79"/>
      <c r="W237" s="34">
        <f t="shared" si="39"/>
        <v>0</v>
      </c>
      <c r="X237" s="34">
        <f t="shared" si="36"/>
        <v>30660</v>
      </c>
      <c r="Y237" s="51">
        <f t="shared" si="47"/>
        <v>1268852.3076923077</v>
      </c>
      <c r="Z237" s="11" t="str">
        <f t="shared" si="44"/>
        <v>227</v>
      </c>
      <c r="AA237" s="118"/>
      <c r="AB237" s="171" t="s">
        <v>815</v>
      </c>
      <c r="AC237" s="161"/>
    </row>
    <row r="238" spans="1:29" s="114" customFormat="1" ht="30.75" customHeight="1">
      <c r="A238" s="33" t="s">
        <v>715</v>
      </c>
      <c r="B238" s="284" t="s">
        <v>1091</v>
      </c>
      <c r="C238" s="285" t="s">
        <v>1092</v>
      </c>
      <c r="D238" s="285"/>
      <c r="E238" s="307" t="s">
        <v>223</v>
      </c>
      <c r="F238" s="287" t="s">
        <v>2</v>
      </c>
      <c r="G238" s="288">
        <v>3</v>
      </c>
      <c r="H238" s="308"/>
      <c r="I238" s="331">
        <f t="shared" si="37"/>
        <v>3</v>
      </c>
      <c r="J238" s="290">
        <v>0</v>
      </c>
      <c r="K238" s="309">
        <f t="shared" si="45"/>
        <v>3</v>
      </c>
      <c r="L238" s="292">
        <f t="shared" si="38"/>
        <v>3150000</v>
      </c>
      <c r="M238" s="191" t="s">
        <v>785</v>
      </c>
      <c r="N238" s="34">
        <f t="shared" si="42"/>
        <v>0</v>
      </c>
      <c r="O238" s="292">
        <f t="shared" si="40"/>
        <v>0</v>
      </c>
      <c r="P238" s="291">
        <v>0</v>
      </c>
      <c r="Q238" s="307">
        <v>0</v>
      </c>
      <c r="R238" s="310">
        <f t="shared" si="46"/>
        <v>0</v>
      </c>
      <c r="S238" s="292">
        <f t="shared" si="41"/>
        <v>0</v>
      </c>
      <c r="T238" s="311"/>
      <c r="U238" s="292">
        <f t="shared" si="43"/>
        <v>0</v>
      </c>
      <c r="V238" s="296"/>
      <c r="W238" s="292">
        <f t="shared" si="39"/>
        <v>0</v>
      </c>
      <c r="X238" s="292">
        <v>0</v>
      </c>
      <c r="Y238" s="312">
        <f t="shared" si="47"/>
        <v>0</v>
      </c>
      <c r="Z238" s="298" t="str">
        <f t="shared" si="44"/>
        <v>228</v>
      </c>
      <c r="AA238" s="313" t="s">
        <v>781</v>
      </c>
      <c r="AB238" s="171" t="s">
        <v>816</v>
      </c>
      <c r="AC238" s="161"/>
    </row>
    <row r="239" spans="1:29" s="114" customFormat="1" ht="30.75" customHeight="1">
      <c r="A239" s="33" t="s">
        <v>716</v>
      </c>
      <c r="B239" s="37" t="s">
        <v>1095</v>
      </c>
      <c r="C239" s="38" t="s">
        <v>970</v>
      </c>
      <c r="D239" s="38"/>
      <c r="E239" s="67" t="s">
        <v>224</v>
      </c>
      <c r="F239" s="80" t="s">
        <v>3</v>
      </c>
      <c r="G239" s="10">
        <v>2.67</v>
      </c>
      <c r="H239" s="163"/>
      <c r="I239" s="86">
        <f t="shared" si="37"/>
        <v>2.67</v>
      </c>
      <c r="J239" s="86">
        <v>0.25</v>
      </c>
      <c r="K239" s="87">
        <f t="shared" si="45"/>
        <v>2.92</v>
      </c>
      <c r="L239" s="34">
        <f t="shared" si="38"/>
        <v>3066000</v>
      </c>
      <c r="M239" s="191" t="s">
        <v>858</v>
      </c>
      <c r="N239" s="34">
        <f t="shared" si="42"/>
        <v>1533000</v>
      </c>
      <c r="O239" s="34">
        <f t="shared" si="40"/>
        <v>1050000</v>
      </c>
      <c r="P239" s="10">
        <v>26</v>
      </c>
      <c r="Q239" s="67">
        <v>26</v>
      </c>
      <c r="R239" s="164">
        <f t="shared" si="46"/>
        <v>1533000</v>
      </c>
      <c r="S239" s="34">
        <f t="shared" si="41"/>
        <v>1533000</v>
      </c>
      <c r="T239" s="108"/>
      <c r="U239" s="34">
        <f t="shared" si="43"/>
        <v>0</v>
      </c>
      <c r="V239" s="79"/>
      <c r="W239" s="34">
        <f t="shared" si="39"/>
        <v>0</v>
      </c>
      <c r="X239" s="34">
        <f t="shared" si="36"/>
        <v>30660</v>
      </c>
      <c r="Y239" s="51">
        <f t="shared" si="47"/>
        <v>1563660</v>
      </c>
      <c r="Z239" s="11" t="str">
        <f t="shared" si="44"/>
        <v>229</v>
      </c>
      <c r="AA239" s="118"/>
      <c r="AB239" s="171" t="s">
        <v>817</v>
      </c>
      <c r="AC239" s="161"/>
    </row>
    <row r="240" spans="1:29" s="114" customFormat="1" ht="26.25" customHeight="1">
      <c r="A240" s="33" t="s">
        <v>717</v>
      </c>
      <c r="B240" s="37" t="s">
        <v>1235</v>
      </c>
      <c r="C240" s="38" t="s">
        <v>1215</v>
      </c>
      <c r="D240" s="38"/>
      <c r="E240" s="67" t="s">
        <v>225</v>
      </c>
      <c r="F240" s="80" t="s">
        <v>4</v>
      </c>
      <c r="G240" s="10">
        <v>2.67</v>
      </c>
      <c r="H240" s="163"/>
      <c r="I240" s="86">
        <f t="shared" si="37"/>
        <v>2.67</v>
      </c>
      <c r="J240" s="86">
        <v>0.25</v>
      </c>
      <c r="K240" s="87">
        <f t="shared" si="45"/>
        <v>2.92</v>
      </c>
      <c r="L240" s="34">
        <f t="shared" si="38"/>
        <v>3066000</v>
      </c>
      <c r="M240" s="191" t="s">
        <v>858</v>
      </c>
      <c r="N240" s="34">
        <f t="shared" si="42"/>
        <v>1533000</v>
      </c>
      <c r="O240" s="34">
        <f t="shared" si="40"/>
        <v>1050000</v>
      </c>
      <c r="P240" s="10">
        <v>26</v>
      </c>
      <c r="Q240" s="67">
        <v>26</v>
      </c>
      <c r="R240" s="164">
        <f t="shared" si="46"/>
        <v>1533000</v>
      </c>
      <c r="S240" s="34">
        <f t="shared" si="41"/>
        <v>1533000</v>
      </c>
      <c r="T240" s="108"/>
      <c r="U240" s="34">
        <f t="shared" si="43"/>
        <v>0</v>
      </c>
      <c r="V240" s="79"/>
      <c r="W240" s="34">
        <f t="shared" si="39"/>
        <v>0</v>
      </c>
      <c r="X240" s="34">
        <f t="shared" si="36"/>
        <v>30660</v>
      </c>
      <c r="Y240" s="51">
        <f t="shared" si="47"/>
        <v>1563660</v>
      </c>
      <c r="Z240" s="11" t="str">
        <f t="shared" si="44"/>
        <v>230</v>
      </c>
      <c r="AA240" s="118"/>
      <c r="AB240" s="171" t="s">
        <v>818</v>
      </c>
      <c r="AC240" s="161"/>
    </row>
    <row r="241" spans="1:29" s="114" customFormat="1" ht="21.75" customHeight="1">
      <c r="A241" s="33" t="s">
        <v>718</v>
      </c>
      <c r="B241" s="37" t="s">
        <v>1236</v>
      </c>
      <c r="C241" s="38" t="s">
        <v>878</v>
      </c>
      <c r="D241" s="38"/>
      <c r="E241" s="67" t="s">
        <v>226</v>
      </c>
      <c r="F241" s="80" t="s">
        <v>5</v>
      </c>
      <c r="G241" s="10">
        <v>2.67</v>
      </c>
      <c r="H241" s="163"/>
      <c r="I241" s="86">
        <f t="shared" si="37"/>
        <v>2.67</v>
      </c>
      <c r="J241" s="86"/>
      <c r="K241" s="87">
        <f t="shared" si="45"/>
        <v>2.67</v>
      </c>
      <c r="L241" s="34">
        <f t="shared" si="38"/>
        <v>2803500</v>
      </c>
      <c r="M241" s="191" t="s">
        <v>858</v>
      </c>
      <c r="N241" s="34">
        <f t="shared" si="42"/>
        <v>1401750</v>
      </c>
      <c r="O241" s="34">
        <f t="shared" si="40"/>
        <v>1050000</v>
      </c>
      <c r="P241" s="10">
        <v>26</v>
      </c>
      <c r="Q241" s="67">
        <v>26</v>
      </c>
      <c r="R241" s="164">
        <f t="shared" si="46"/>
        <v>1401750</v>
      </c>
      <c r="S241" s="34">
        <f t="shared" si="41"/>
        <v>1401750</v>
      </c>
      <c r="T241" s="108"/>
      <c r="U241" s="34">
        <f t="shared" si="43"/>
        <v>0</v>
      </c>
      <c r="V241" s="79"/>
      <c r="W241" s="34">
        <f t="shared" si="39"/>
        <v>0</v>
      </c>
      <c r="X241" s="34">
        <f t="shared" si="36"/>
        <v>28035</v>
      </c>
      <c r="Y241" s="51">
        <f t="shared" si="47"/>
        <v>1429785</v>
      </c>
      <c r="Z241" s="11" t="str">
        <f t="shared" si="44"/>
        <v>231</v>
      </c>
      <c r="AA241" s="118"/>
      <c r="AB241" s="171" t="s">
        <v>819</v>
      </c>
      <c r="AC241" s="161"/>
    </row>
    <row r="242" spans="1:29" s="114" customFormat="1" ht="22.5" customHeight="1">
      <c r="A242" s="33" t="s">
        <v>719</v>
      </c>
      <c r="B242" s="37" t="s">
        <v>1237</v>
      </c>
      <c r="C242" s="38" t="s">
        <v>1204</v>
      </c>
      <c r="D242" s="38"/>
      <c r="E242" s="67" t="s">
        <v>227</v>
      </c>
      <c r="F242" s="80" t="s">
        <v>6</v>
      </c>
      <c r="G242" s="10">
        <v>2.67</v>
      </c>
      <c r="H242" s="163"/>
      <c r="I242" s="86">
        <f t="shared" si="37"/>
        <v>2.67</v>
      </c>
      <c r="J242" s="86"/>
      <c r="K242" s="87">
        <f t="shared" si="45"/>
        <v>2.67</v>
      </c>
      <c r="L242" s="34">
        <f t="shared" si="38"/>
        <v>2803500</v>
      </c>
      <c r="M242" s="191" t="s">
        <v>858</v>
      </c>
      <c r="N242" s="34">
        <f t="shared" si="42"/>
        <v>1401750</v>
      </c>
      <c r="O242" s="34">
        <f t="shared" si="40"/>
        <v>1050000</v>
      </c>
      <c r="P242" s="10">
        <v>26</v>
      </c>
      <c r="Q242" s="67">
        <v>26</v>
      </c>
      <c r="R242" s="164">
        <f t="shared" si="46"/>
        <v>1401750</v>
      </c>
      <c r="S242" s="34">
        <f t="shared" si="41"/>
        <v>1401750</v>
      </c>
      <c r="T242" s="108"/>
      <c r="U242" s="34">
        <f t="shared" si="43"/>
        <v>0</v>
      </c>
      <c r="V242" s="79"/>
      <c r="W242" s="34">
        <f t="shared" si="39"/>
        <v>0</v>
      </c>
      <c r="X242" s="34">
        <f t="shared" si="36"/>
        <v>28035</v>
      </c>
      <c r="Y242" s="51">
        <f t="shared" si="47"/>
        <v>1429785</v>
      </c>
      <c r="Z242" s="11" t="str">
        <f t="shared" si="44"/>
        <v>232</v>
      </c>
      <c r="AA242" s="118"/>
      <c r="AB242" s="171" t="s">
        <v>820</v>
      </c>
      <c r="AC242" s="161"/>
    </row>
    <row r="243" spans="1:29" s="114" customFormat="1" ht="21.75" customHeight="1">
      <c r="A243" s="33" t="s">
        <v>760</v>
      </c>
      <c r="B243" s="37" t="s">
        <v>289</v>
      </c>
      <c r="C243" s="38" t="s">
        <v>868</v>
      </c>
      <c r="D243" s="38"/>
      <c r="E243" s="67" t="s">
        <v>344</v>
      </c>
      <c r="F243" s="80" t="s">
        <v>393</v>
      </c>
      <c r="G243" s="10">
        <v>2.34</v>
      </c>
      <c r="H243" s="163"/>
      <c r="I243" s="86">
        <f t="shared" si="37"/>
        <v>2.34</v>
      </c>
      <c r="J243" s="86"/>
      <c r="K243" s="87">
        <f t="shared" si="45"/>
        <v>2.34</v>
      </c>
      <c r="L243" s="34">
        <f t="shared" si="38"/>
        <v>2457000</v>
      </c>
      <c r="M243" s="191" t="s">
        <v>858</v>
      </c>
      <c r="N243" s="34">
        <f t="shared" si="42"/>
        <v>1228500</v>
      </c>
      <c r="O243" s="34">
        <f t="shared" si="40"/>
        <v>1050000</v>
      </c>
      <c r="P243" s="10">
        <v>26</v>
      </c>
      <c r="Q243" s="67">
        <v>26</v>
      </c>
      <c r="R243" s="164">
        <f t="shared" si="46"/>
        <v>1228500</v>
      </c>
      <c r="S243" s="34">
        <f t="shared" si="41"/>
        <v>1228500</v>
      </c>
      <c r="T243" s="108"/>
      <c r="U243" s="34">
        <f t="shared" si="43"/>
        <v>0</v>
      </c>
      <c r="V243" s="79"/>
      <c r="W243" s="34">
        <f t="shared" si="39"/>
        <v>0</v>
      </c>
      <c r="X243" s="34">
        <f t="shared" si="36"/>
        <v>24570</v>
      </c>
      <c r="Y243" s="51">
        <f t="shared" si="47"/>
        <v>1253070</v>
      </c>
      <c r="Z243" s="11" t="str">
        <f t="shared" si="44"/>
        <v>233</v>
      </c>
      <c r="AA243" s="132"/>
      <c r="AB243" s="171" t="s">
        <v>1119</v>
      </c>
      <c r="AC243" s="161"/>
    </row>
    <row r="244" spans="1:29" s="114" customFormat="1" ht="22.5" customHeight="1">
      <c r="A244" s="33" t="s">
        <v>761</v>
      </c>
      <c r="B244" s="37" t="s">
        <v>1047</v>
      </c>
      <c r="C244" s="38" t="s">
        <v>1212</v>
      </c>
      <c r="D244" s="38"/>
      <c r="E244" s="67" t="s">
        <v>345</v>
      </c>
      <c r="F244" s="80" t="s">
        <v>394</v>
      </c>
      <c r="G244" s="10">
        <v>2.34</v>
      </c>
      <c r="H244" s="163"/>
      <c r="I244" s="86">
        <f>G244+(G244*H244)</f>
        <v>2.34</v>
      </c>
      <c r="J244" s="86"/>
      <c r="K244" s="87">
        <f>I244+J244</f>
        <v>2.34</v>
      </c>
      <c r="L244" s="34">
        <f t="shared" si="38"/>
        <v>2457000</v>
      </c>
      <c r="M244" s="191" t="s">
        <v>858</v>
      </c>
      <c r="N244" s="34">
        <f t="shared" si="42"/>
        <v>1228500</v>
      </c>
      <c r="O244" s="34">
        <f t="shared" si="40"/>
        <v>1050000</v>
      </c>
      <c r="P244" s="10">
        <v>26</v>
      </c>
      <c r="Q244" s="67">
        <v>26</v>
      </c>
      <c r="R244" s="164">
        <f t="shared" si="46"/>
        <v>1228500</v>
      </c>
      <c r="S244" s="34">
        <f t="shared" si="41"/>
        <v>1228500</v>
      </c>
      <c r="T244" s="108"/>
      <c r="U244" s="34">
        <f t="shared" si="43"/>
        <v>0</v>
      </c>
      <c r="V244" s="79"/>
      <c r="W244" s="34">
        <f t="shared" si="39"/>
        <v>0</v>
      </c>
      <c r="X244" s="34">
        <f t="shared" si="36"/>
        <v>24570</v>
      </c>
      <c r="Y244" s="51">
        <f t="shared" si="47"/>
        <v>1253070</v>
      </c>
      <c r="Z244" s="11" t="str">
        <f t="shared" si="44"/>
        <v>234</v>
      </c>
      <c r="AA244" s="132"/>
      <c r="AB244" s="171" t="s">
        <v>1120</v>
      </c>
      <c r="AC244" s="161"/>
    </row>
    <row r="245" spans="1:29" s="114" customFormat="1" ht="27.75" customHeight="1">
      <c r="A245" s="33" t="s">
        <v>762</v>
      </c>
      <c r="B245" s="37" t="s">
        <v>290</v>
      </c>
      <c r="C245" s="38" t="s">
        <v>1218</v>
      </c>
      <c r="D245" s="38"/>
      <c r="E245" s="67" t="s">
        <v>346</v>
      </c>
      <c r="F245" s="80" t="s">
        <v>395</v>
      </c>
      <c r="G245" s="10">
        <v>2.34</v>
      </c>
      <c r="H245" s="163"/>
      <c r="I245" s="86">
        <f>G245+(G245*H245)</f>
        <v>2.34</v>
      </c>
      <c r="J245" s="86"/>
      <c r="K245" s="87">
        <f>I245+J245</f>
        <v>2.34</v>
      </c>
      <c r="L245" s="34">
        <f t="shared" si="38"/>
        <v>2457000</v>
      </c>
      <c r="M245" s="191" t="s">
        <v>858</v>
      </c>
      <c r="N245" s="34">
        <f t="shared" si="42"/>
        <v>1228500</v>
      </c>
      <c r="O245" s="34">
        <f t="shared" si="40"/>
        <v>1050000</v>
      </c>
      <c r="P245" s="10">
        <v>26</v>
      </c>
      <c r="Q245" s="67">
        <v>26</v>
      </c>
      <c r="R245" s="164">
        <f t="shared" si="46"/>
        <v>1228500</v>
      </c>
      <c r="S245" s="34">
        <f t="shared" si="41"/>
        <v>1228500</v>
      </c>
      <c r="T245" s="108"/>
      <c r="U245" s="34">
        <f t="shared" si="43"/>
        <v>0</v>
      </c>
      <c r="V245" s="79"/>
      <c r="W245" s="34">
        <f t="shared" si="39"/>
        <v>0</v>
      </c>
      <c r="X245" s="34">
        <f t="shared" si="36"/>
        <v>24570</v>
      </c>
      <c r="Y245" s="51">
        <f t="shared" si="47"/>
        <v>1253070</v>
      </c>
      <c r="Z245" s="11" t="str">
        <f t="shared" si="44"/>
        <v>235</v>
      </c>
      <c r="AA245" s="132"/>
      <c r="AB245" s="171" t="s">
        <v>1121</v>
      </c>
      <c r="AC245" s="161"/>
    </row>
    <row r="246" spans="1:29" s="114" customFormat="1" ht="27.75" customHeight="1">
      <c r="A246" s="33" t="s">
        <v>763</v>
      </c>
      <c r="B246" s="37" t="s">
        <v>467</v>
      </c>
      <c r="C246" s="38" t="s">
        <v>876</v>
      </c>
      <c r="D246" s="38"/>
      <c r="E246" s="67" t="s">
        <v>470</v>
      </c>
      <c r="F246" s="80" t="s">
        <v>472</v>
      </c>
      <c r="G246" s="10">
        <v>2.34</v>
      </c>
      <c r="H246" s="163"/>
      <c r="I246" s="86">
        <f>G246+(G246*H246)</f>
        <v>2.34</v>
      </c>
      <c r="J246" s="86"/>
      <c r="K246" s="87">
        <f>I246+J246</f>
        <v>2.34</v>
      </c>
      <c r="L246" s="34">
        <f t="shared" si="38"/>
        <v>2457000</v>
      </c>
      <c r="M246" s="191" t="s">
        <v>858</v>
      </c>
      <c r="N246" s="34">
        <f t="shared" si="42"/>
        <v>1228500</v>
      </c>
      <c r="O246" s="34">
        <f t="shared" si="40"/>
        <v>1050000</v>
      </c>
      <c r="P246" s="10">
        <v>26</v>
      </c>
      <c r="Q246" s="67">
        <v>26</v>
      </c>
      <c r="R246" s="164">
        <f t="shared" si="46"/>
        <v>1228500</v>
      </c>
      <c r="S246" s="34">
        <f t="shared" si="41"/>
        <v>1228500</v>
      </c>
      <c r="T246" s="108"/>
      <c r="U246" s="34">
        <f t="shared" si="43"/>
        <v>0</v>
      </c>
      <c r="V246" s="79"/>
      <c r="W246" s="34">
        <f t="shared" si="39"/>
        <v>0</v>
      </c>
      <c r="X246" s="34">
        <f t="shared" si="36"/>
        <v>24570</v>
      </c>
      <c r="Y246" s="51">
        <f t="shared" si="47"/>
        <v>1253070</v>
      </c>
      <c r="Z246" s="11" t="str">
        <f t="shared" si="44"/>
        <v>236</v>
      </c>
      <c r="AA246" s="132"/>
      <c r="AB246" s="171" t="s">
        <v>1122</v>
      </c>
      <c r="AC246" s="161"/>
    </row>
    <row r="247" spans="1:29" s="114" customFormat="1" ht="27.75" customHeight="1">
      <c r="A247" s="33" t="s">
        <v>764</v>
      </c>
      <c r="B247" s="284" t="s">
        <v>468</v>
      </c>
      <c r="C247" s="285" t="s">
        <v>469</v>
      </c>
      <c r="D247" s="285"/>
      <c r="E247" s="307" t="s">
        <v>471</v>
      </c>
      <c r="F247" s="287" t="s">
        <v>473</v>
      </c>
      <c r="G247" s="291">
        <v>2.34</v>
      </c>
      <c r="H247" s="308"/>
      <c r="I247" s="290">
        <f>G247+(G247*H247)</f>
        <v>2.34</v>
      </c>
      <c r="J247" s="290"/>
      <c r="K247" s="309">
        <f>I247+J247</f>
        <v>2.34</v>
      </c>
      <c r="L247" s="292">
        <f t="shared" si="38"/>
        <v>2457000</v>
      </c>
      <c r="M247" s="191" t="s">
        <v>858</v>
      </c>
      <c r="N247" s="34">
        <f t="shared" si="42"/>
        <v>1228500</v>
      </c>
      <c r="O247" s="292">
        <f t="shared" si="40"/>
        <v>1050000</v>
      </c>
      <c r="P247" s="291">
        <v>26</v>
      </c>
      <c r="Q247" s="307">
        <v>25</v>
      </c>
      <c r="R247" s="310">
        <f t="shared" si="46"/>
        <v>1228500</v>
      </c>
      <c r="S247" s="292">
        <f t="shared" si="41"/>
        <v>1181250</v>
      </c>
      <c r="T247" s="311"/>
      <c r="U247" s="292">
        <f t="shared" si="43"/>
        <v>0</v>
      </c>
      <c r="V247" s="296"/>
      <c r="W247" s="292">
        <f t="shared" si="39"/>
        <v>0</v>
      </c>
      <c r="X247" s="292">
        <f t="shared" si="36"/>
        <v>24570</v>
      </c>
      <c r="Y247" s="312">
        <f t="shared" si="47"/>
        <v>1205820</v>
      </c>
      <c r="Z247" s="298" t="str">
        <f t="shared" si="44"/>
        <v>237</v>
      </c>
      <c r="AA247" s="313" t="s">
        <v>783</v>
      </c>
      <c r="AB247" s="171" t="s">
        <v>1123</v>
      </c>
      <c r="AC247" s="161"/>
    </row>
    <row r="248" spans="1:29" s="114" customFormat="1" ht="27.75" customHeight="1">
      <c r="A248" s="33" t="s">
        <v>765</v>
      </c>
      <c r="B248" s="37" t="s">
        <v>489</v>
      </c>
      <c r="C248" s="38" t="s">
        <v>1196</v>
      </c>
      <c r="D248" s="38"/>
      <c r="E248" s="80" t="s">
        <v>491</v>
      </c>
      <c r="F248" s="67" t="s">
        <v>490</v>
      </c>
      <c r="G248" s="10">
        <v>2.34</v>
      </c>
      <c r="H248" s="163"/>
      <c r="I248" s="86">
        <f>G248+(G248*H248)</f>
        <v>2.34</v>
      </c>
      <c r="J248" s="86"/>
      <c r="K248" s="87">
        <f>I248+J248</f>
        <v>2.34</v>
      </c>
      <c r="L248" s="34">
        <f t="shared" si="38"/>
        <v>2457000</v>
      </c>
      <c r="M248" s="191" t="s">
        <v>858</v>
      </c>
      <c r="N248" s="34">
        <f t="shared" si="42"/>
        <v>1228500</v>
      </c>
      <c r="O248" s="34">
        <f t="shared" si="40"/>
        <v>1050000</v>
      </c>
      <c r="P248" s="10">
        <v>26</v>
      </c>
      <c r="Q248" s="67">
        <v>26</v>
      </c>
      <c r="R248" s="164">
        <f t="shared" si="46"/>
        <v>1228500</v>
      </c>
      <c r="S248" s="34">
        <f t="shared" si="41"/>
        <v>1228500</v>
      </c>
      <c r="T248" s="108"/>
      <c r="U248" s="34">
        <f t="shared" si="43"/>
        <v>0</v>
      </c>
      <c r="V248" s="79"/>
      <c r="W248" s="34">
        <f t="shared" si="39"/>
        <v>0</v>
      </c>
      <c r="X248" s="34">
        <f t="shared" si="36"/>
        <v>24570</v>
      </c>
      <c r="Y248" s="51">
        <f t="shared" si="47"/>
        <v>1253070</v>
      </c>
      <c r="Z248" s="11" t="str">
        <f t="shared" si="44"/>
        <v>238</v>
      </c>
      <c r="AA248" s="132"/>
      <c r="AB248" s="171" t="s">
        <v>1124</v>
      </c>
      <c r="AC248" s="161"/>
    </row>
    <row r="249" spans="1:29" s="114" customFormat="1" ht="27.75" customHeight="1">
      <c r="A249" s="33" t="s">
        <v>766</v>
      </c>
      <c r="B249" s="37" t="s">
        <v>935</v>
      </c>
      <c r="C249" s="155" t="s">
        <v>936</v>
      </c>
      <c r="D249" s="155"/>
      <c r="E249" s="67" t="s">
        <v>228</v>
      </c>
      <c r="F249" s="80" t="s">
        <v>7</v>
      </c>
      <c r="G249" s="10">
        <v>4.32</v>
      </c>
      <c r="H249" s="163"/>
      <c r="I249" s="86">
        <f t="shared" si="37"/>
        <v>4.32</v>
      </c>
      <c r="J249" s="86">
        <v>0</v>
      </c>
      <c r="K249" s="87">
        <f t="shared" si="45"/>
        <v>4.32</v>
      </c>
      <c r="L249" s="34">
        <f t="shared" si="38"/>
        <v>4536000</v>
      </c>
      <c r="M249" s="191" t="s">
        <v>858</v>
      </c>
      <c r="N249" s="34">
        <f t="shared" si="42"/>
        <v>2268000</v>
      </c>
      <c r="O249" s="34">
        <f t="shared" si="40"/>
        <v>1050000</v>
      </c>
      <c r="P249" s="10">
        <v>21</v>
      </c>
      <c r="Q249" s="67">
        <v>26</v>
      </c>
      <c r="R249" s="164">
        <f t="shared" si="46"/>
        <v>2268000</v>
      </c>
      <c r="S249" s="34">
        <f t="shared" si="41"/>
        <v>2268000</v>
      </c>
      <c r="T249" s="108"/>
      <c r="U249" s="34">
        <f t="shared" si="43"/>
        <v>0</v>
      </c>
      <c r="V249" s="79"/>
      <c r="W249" s="34">
        <f t="shared" si="39"/>
        <v>0</v>
      </c>
      <c r="X249" s="34">
        <f t="shared" si="36"/>
        <v>45360</v>
      </c>
      <c r="Y249" s="51">
        <f t="shared" si="47"/>
        <v>2313360</v>
      </c>
      <c r="Z249" s="11" t="str">
        <f t="shared" si="44"/>
        <v>239</v>
      </c>
      <c r="AA249" s="132"/>
      <c r="AB249" s="171" t="s">
        <v>1125</v>
      </c>
      <c r="AC249" s="161"/>
    </row>
    <row r="250" spans="1:29" s="114" customFormat="1" ht="27.75" customHeight="1">
      <c r="A250" s="33" t="s">
        <v>767</v>
      </c>
      <c r="B250" s="37" t="s">
        <v>445</v>
      </c>
      <c r="C250" s="155" t="s">
        <v>874</v>
      </c>
      <c r="D250" s="38"/>
      <c r="E250" s="67" t="s">
        <v>347</v>
      </c>
      <c r="F250" s="80" t="s">
        <v>396</v>
      </c>
      <c r="G250" s="10">
        <v>2.2599999999999998</v>
      </c>
      <c r="H250" s="163"/>
      <c r="I250" s="86">
        <f t="shared" si="37"/>
        <v>2.2599999999999998</v>
      </c>
      <c r="J250" s="86"/>
      <c r="K250" s="87">
        <f t="shared" si="45"/>
        <v>2.2599999999999998</v>
      </c>
      <c r="L250" s="34">
        <f t="shared" si="38"/>
        <v>2373000</v>
      </c>
      <c r="M250" s="191" t="s">
        <v>858</v>
      </c>
      <c r="N250" s="34">
        <f t="shared" si="42"/>
        <v>1186500</v>
      </c>
      <c r="O250" s="34">
        <f t="shared" si="40"/>
        <v>1050000</v>
      </c>
      <c r="P250" s="10">
        <v>21</v>
      </c>
      <c r="Q250" s="67">
        <v>26</v>
      </c>
      <c r="R250" s="164">
        <f t="shared" si="46"/>
        <v>1186500</v>
      </c>
      <c r="S250" s="34">
        <f t="shared" si="41"/>
        <v>1186500</v>
      </c>
      <c r="T250" s="108"/>
      <c r="U250" s="34">
        <f>T250*$H$7*0.5</f>
        <v>0</v>
      </c>
      <c r="V250" s="79"/>
      <c r="W250" s="34">
        <f t="shared" si="39"/>
        <v>0</v>
      </c>
      <c r="X250" s="34">
        <f t="shared" si="36"/>
        <v>23730</v>
      </c>
      <c r="Y250" s="51">
        <f t="shared" si="47"/>
        <v>1210230</v>
      </c>
      <c r="Z250" s="11" t="str">
        <f t="shared" si="44"/>
        <v>240</v>
      </c>
      <c r="AA250" s="132"/>
      <c r="AB250" s="171" t="s">
        <v>1126</v>
      </c>
      <c r="AC250" s="161"/>
    </row>
    <row r="251" spans="1:29" s="114" customFormat="1" ht="27.75" customHeight="1">
      <c r="A251" s="33" t="s">
        <v>768</v>
      </c>
      <c r="B251" s="37" t="s">
        <v>458</v>
      </c>
      <c r="C251" s="38" t="s">
        <v>755</v>
      </c>
      <c r="D251" s="38"/>
      <c r="E251" s="205" t="s">
        <v>747</v>
      </c>
      <c r="F251" s="206" t="s">
        <v>750</v>
      </c>
      <c r="G251" s="10">
        <f>2.34*85%</f>
        <v>1.9889999999999999</v>
      </c>
      <c r="H251" s="163"/>
      <c r="I251" s="86">
        <f t="shared" si="37"/>
        <v>1.9889999999999999</v>
      </c>
      <c r="J251" s="86"/>
      <c r="K251" s="87">
        <f t="shared" si="45"/>
        <v>1.9889999999999999</v>
      </c>
      <c r="L251" s="34">
        <f t="shared" si="38"/>
        <v>2088449.9999999998</v>
      </c>
      <c r="M251" s="191" t="s">
        <v>858</v>
      </c>
      <c r="N251" s="34">
        <f t="shared" si="42"/>
        <v>1044224.9999999999</v>
      </c>
      <c r="O251" s="34">
        <f>IF(M251="A",1050000,IF(M251="B",735000,IF(M251="C",514500,0)))</f>
        <v>1050000</v>
      </c>
      <c r="P251" s="10">
        <v>26</v>
      </c>
      <c r="Q251" s="67">
        <v>26</v>
      </c>
      <c r="R251" s="164">
        <f>IF(N251&gt;O251,N251,O251)</f>
        <v>1050000</v>
      </c>
      <c r="S251" s="34">
        <f>IF(Q251&gt;=P251,R251,R251/P251*Q251)</f>
        <v>1050000</v>
      </c>
      <c r="T251" s="108"/>
      <c r="U251" s="34">
        <f>T251*$H$7*0.5</f>
        <v>0</v>
      </c>
      <c r="V251" s="79"/>
      <c r="W251" s="34">
        <f t="shared" si="39"/>
        <v>0</v>
      </c>
      <c r="X251" s="34">
        <f>(K251*0.01*$H$7)+(T251*1%*$H$7)+(V251*1%*$H$7)</f>
        <v>20884.499999999996</v>
      </c>
      <c r="Y251" s="51">
        <f>(S251+U251+W251+X251)</f>
        <v>1070884.5</v>
      </c>
      <c r="Z251" s="11" t="str">
        <f t="shared" si="44"/>
        <v>241</v>
      </c>
      <c r="AA251" s="132"/>
      <c r="AB251" s="171" t="s">
        <v>1127</v>
      </c>
      <c r="AC251" s="161"/>
    </row>
    <row r="252" spans="1:29" s="114" customFormat="1" ht="27.75" customHeight="1">
      <c r="A252" s="33" t="s">
        <v>769</v>
      </c>
      <c r="B252" s="37" t="s">
        <v>753</v>
      </c>
      <c r="C252" s="38" t="s">
        <v>754</v>
      </c>
      <c r="D252" s="38"/>
      <c r="E252" s="205" t="s">
        <v>748</v>
      </c>
      <c r="F252" s="209" t="s">
        <v>751</v>
      </c>
      <c r="G252" s="10">
        <f>2.34*85%</f>
        <v>1.9889999999999999</v>
      </c>
      <c r="H252" s="163"/>
      <c r="I252" s="86">
        <f t="shared" si="37"/>
        <v>1.9889999999999999</v>
      </c>
      <c r="J252" s="86"/>
      <c r="K252" s="87">
        <f t="shared" si="45"/>
        <v>1.9889999999999999</v>
      </c>
      <c r="L252" s="34">
        <f t="shared" si="38"/>
        <v>2088449.9999999998</v>
      </c>
      <c r="M252" s="191" t="s">
        <v>858</v>
      </c>
      <c r="N252" s="34">
        <f t="shared" si="42"/>
        <v>1044224.9999999999</v>
      </c>
      <c r="O252" s="34">
        <f>IF(M252="A",1050000,IF(M252="B",735000,IF(M252="C",514500,0)))</f>
        <v>1050000</v>
      </c>
      <c r="P252" s="10">
        <v>26</v>
      </c>
      <c r="Q252" s="67">
        <v>26</v>
      </c>
      <c r="R252" s="164">
        <f>IF(N252&gt;O252,N252,O252)</f>
        <v>1050000</v>
      </c>
      <c r="S252" s="34">
        <f>IF(Q252&gt;=P252,R252,R252/P252*Q252)</f>
        <v>1050000</v>
      </c>
      <c r="T252" s="108"/>
      <c r="U252" s="34">
        <f>T252*$H$7*0.5</f>
        <v>0</v>
      </c>
      <c r="V252" s="79"/>
      <c r="W252" s="34">
        <f t="shared" si="39"/>
        <v>0</v>
      </c>
      <c r="X252" s="34">
        <f>(K252*0.01*$H$7)+(T252*1%*$H$7)+(V252*1%*$H$7)</f>
        <v>20884.499999999996</v>
      </c>
      <c r="Y252" s="51">
        <f>(S252+U252+W252+X252)</f>
        <v>1070884.5</v>
      </c>
      <c r="Z252" s="11" t="str">
        <f t="shared" si="44"/>
        <v>242</v>
      </c>
      <c r="AA252" s="118"/>
      <c r="AB252" s="171" t="s">
        <v>1131</v>
      </c>
      <c r="AC252" s="161"/>
    </row>
    <row r="253" spans="1:29" s="114" customFormat="1" ht="26.25" customHeight="1">
      <c r="A253" s="33" t="s">
        <v>770</v>
      </c>
      <c r="B253" s="66" t="s">
        <v>1008</v>
      </c>
      <c r="C253" s="212" t="s">
        <v>889</v>
      </c>
      <c r="D253" s="212"/>
      <c r="E253" s="213" t="s">
        <v>749</v>
      </c>
      <c r="F253" s="214" t="s">
        <v>752</v>
      </c>
      <c r="G253" s="39">
        <f>2.34*85%</f>
        <v>1.9889999999999999</v>
      </c>
      <c r="H253" s="215"/>
      <c r="I253" s="89">
        <f t="shared" si="37"/>
        <v>1.9889999999999999</v>
      </c>
      <c r="J253" s="89"/>
      <c r="K253" s="216">
        <f t="shared" si="45"/>
        <v>1.9889999999999999</v>
      </c>
      <c r="L253" s="35">
        <f t="shared" si="38"/>
        <v>2088449.9999999998</v>
      </c>
      <c r="M253" s="332" t="s">
        <v>858</v>
      </c>
      <c r="N253" s="35">
        <f t="shared" si="42"/>
        <v>1044224.9999999999</v>
      </c>
      <c r="O253" s="35">
        <f>IF(M253="A",1050000,IF(M253="B",735000,IF(M253="C",514500,0)))</f>
        <v>1050000</v>
      </c>
      <c r="P253" s="39">
        <v>26</v>
      </c>
      <c r="Q253" s="248">
        <v>26</v>
      </c>
      <c r="R253" s="217">
        <f>IF(N253&gt;O253,N253,O253)</f>
        <v>1050000</v>
      </c>
      <c r="S253" s="35">
        <f>IF(Q253&gt;=P253,R253,R253/P253*Q253)</f>
        <v>1050000</v>
      </c>
      <c r="T253" s="218"/>
      <c r="U253" s="35">
        <f>T253*$H$7*0.5</f>
        <v>0</v>
      </c>
      <c r="V253" s="120"/>
      <c r="W253" s="35">
        <f t="shared" si="39"/>
        <v>0</v>
      </c>
      <c r="X253" s="35">
        <f>(K253*0.01*$H$7)+(T253*1%*$H$7)+(V253*1%*$H$7)</f>
        <v>20884.499999999996</v>
      </c>
      <c r="Y253" s="219">
        <f>(S253+U253+W253+X253)</f>
        <v>1070884.5</v>
      </c>
      <c r="Z253" s="20" t="str">
        <f t="shared" si="44"/>
        <v>243</v>
      </c>
      <c r="AA253" s="220"/>
      <c r="AB253" s="171" t="s">
        <v>1132</v>
      </c>
      <c r="AC253" s="161"/>
    </row>
    <row r="254" spans="1:29" s="130" customFormat="1" ht="24.75" customHeight="1">
      <c r="A254" s="121"/>
      <c r="B254" s="122" t="s">
        <v>1109</v>
      </c>
      <c r="C254" s="123"/>
      <c r="D254" s="156"/>
      <c r="E254" s="211"/>
      <c r="F254" s="123"/>
      <c r="G254" s="124">
        <f>SUM(G11:G253)</f>
        <v>805.39000000000124</v>
      </c>
      <c r="H254" s="233">
        <f>SUM(H11:H253)</f>
        <v>1.9500000000000008</v>
      </c>
      <c r="I254" s="125">
        <f>SUM(I11:I253)</f>
        <v>814.59650000000147</v>
      </c>
      <c r="J254" s="125">
        <f>SUM(J11:J253)</f>
        <v>28.449999999999992</v>
      </c>
      <c r="K254" s="126">
        <f>SUM(K11:K253)</f>
        <v>843.04650000000106</v>
      </c>
      <c r="L254" s="127">
        <f>SUM(I12:K250)</f>
        <v>1659.4789999999989</v>
      </c>
      <c r="M254" s="127"/>
      <c r="N254" s="127">
        <f>SUM(K12:M250)</f>
        <v>871227304.73950088</v>
      </c>
      <c r="O254" s="128">
        <f t="shared" ref="O254:V254" si="48">SUM(O12:O253)</f>
        <v>243369000</v>
      </c>
      <c r="P254" s="128">
        <f>SUM(P11:P253)</f>
        <v>5798</v>
      </c>
      <c r="Q254" s="128">
        <f>SUM(Q11:Q253)</f>
        <v>5920</v>
      </c>
      <c r="R254" s="128">
        <f t="shared" si="48"/>
        <v>425646637.5</v>
      </c>
      <c r="S254" s="128">
        <f>SUM(S11:S253)</f>
        <v>425105535.38461536</v>
      </c>
      <c r="T254" s="128">
        <f t="shared" si="48"/>
        <v>0</v>
      </c>
      <c r="U254" s="128">
        <f>SUM(U11:U253)</f>
        <v>0</v>
      </c>
      <c r="V254" s="128">
        <f t="shared" si="48"/>
        <v>0</v>
      </c>
      <c r="W254" s="128">
        <f>SUM(W11:W253)</f>
        <v>0</v>
      </c>
      <c r="X254" s="128">
        <f>SUM(X11:X253)</f>
        <v>8640728.2500000019</v>
      </c>
      <c r="Y254" s="128">
        <f>SUM(Y11:Y253)</f>
        <v>433746263.63461524</v>
      </c>
      <c r="Z254" s="129"/>
      <c r="AA254" s="123"/>
      <c r="AB254" s="162"/>
      <c r="AC254" s="162"/>
    </row>
    <row r="255" spans="1:29" ht="14.25" customHeight="1">
      <c r="G255" s="1"/>
      <c r="H255" s="4"/>
      <c r="L255" s="210"/>
      <c r="M255" s="1"/>
      <c r="N255" s="3"/>
      <c r="O255" s="3"/>
      <c r="P255" s="1"/>
      <c r="Q255" s="1"/>
      <c r="R255" s="1"/>
      <c r="S255" s="3"/>
      <c r="T255" s="138"/>
      <c r="U255" s="3"/>
      <c r="V255" s="26"/>
      <c r="W255" s="3"/>
      <c r="X255" s="3"/>
      <c r="Y255" s="3"/>
      <c r="AB255" s="157">
        <f>COUNTIF(AB11:AC250,"x")</f>
        <v>8</v>
      </c>
    </row>
    <row r="256" spans="1:29" s="16" customFormat="1" ht="16.5" customHeight="1"/>
    <row r="257" spans="1:29" s="16" customFormat="1" ht="10.5" customHeight="1">
      <c r="B257" s="41"/>
      <c r="C257" s="19"/>
      <c r="D257" s="19"/>
      <c r="E257" s="19"/>
      <c r="F257" s="19"/>
      <c r="G257" s="15"/>
      <c r="H257" s="15"/>
      <c r="I257" s="15"/>
      <c r="J257" s="15"/>
      <c r="K257" s="85"/>
      <c r="L257" s="17"/>
      <c r="M257" s="18"/>
      <c r="N257" s="17"/>
      <c r="O257" s="17"/>
      <c r="P257" s="18"/>
      <c r="Q257" s="18"/>
      <c r="R257" s="18"/>
      <c r="S257" s="48"/>
      <c r="T257" s="137"/>
      <c r="U257" s="17"/>
      <c r="V257" s="25"/>
      <c r="W257" s="17"/>
      <c r="X257" s="17"/>
      <c r="Y257" s="48"/>
      <c r="AA257" s="102"/>
      <c r="AB257" s="158"/>
      <c r="AC257" s="158"/>
    </row>
    <row r="258" spans="1:29" ht="15.75">
      <c r="G258" s="1"/>
      <c r="H258" s="4"/>
      <c r="L258" s="3"/>
      <c r="M258" s="1"/>
      <c r="N258" s="3"/>
      <c r="O258" s="3"/>
      <c r="P258" s="1"/>
      <c r="Q258" s="1"/>
      <c r="R258" s="1"/>
      <c r="S258" s="1"/>
      <c r="T258" s="143"/>
      <c r="U258" s="1"/>
      <c r="V258" s="27"/>
      <c r="X258" s="36"/>
      <c r="Y258" s="136" t="s">
        <v>793</v>
      </c>
      <c r="Z258" s="36"/>
    </row>
    <row r="259" spans="1:29" s="16" customFormat="1" ht="15">
      <c r="A259" s="622" t="s">
        <v>859</v>
      </c>
      <c r="B259" s="622"/>
      <c r="C259" s="19"/>
      <c r="D259" s="19"/>
      <c r="E259" s="19"/>
      <c r="F259" s="19"/>
      <c r="G259" s="19"/>
      <c r="H259" s="19"/>
      <c r="I259" s="19"/>
      <c r="J259" s="13" t="s">
        <v>447</v>
      </c>
      <c r="K259" s="626" t="s">
        <v>446</v>
      </c>
      <c r="L259" s="626"/>
      <c r="M259" s="626"/>
      <c r="N259" s="626"/>
      <c r="O259" s="19"/>
      <c r="P259" s="13"/>
      <c r="R259" s="19"/>
      <c r="S259" s="13" t="s">
        <v>1191</v>
      </c>
      <c r="T259" s="19"/>
      <c r="U259" s="13"/>
      <c r="V259" s="19"/>
      <c r="W259" s="19"/>
      <c r="X259" s="622" t="s">
        <v>41</v>
      </c>
      <c r="Y259" s="622"/>
      <c r="Z259" s="622"/>
      <c r="AA259" s="103"/>
      <c r="AB259" s="158"/>
      <c r="AC259" s="158"/>
    </row>
    <row r="260" spans="1:29" s="16" customFormat="1" ht="15">
      <c r="A260" s="13"/>
      <c r="B260" s="13"/>
      <c r="C260" s="19"/>
      <c r="D260" s="19"/>
      <c r="E260" s="19"/>
      <c r="F260" s="19"/>
      <c r="G260" s="19"/>
      <c r="H260" s="19"/>
      <c r="I260" s="19"/>
      <c r="J260" s="13"/>
      <c r="K260" s="235"/>
      <c r="L260" s="19"/>
      <c r="M260" s="14"/>
      <c r="N260" s="14"/>
      <c r="O260" s="19"/>
      <c r="P260" s="13"/>
      <c r="Q260" s="19"/>
      <c r="R260" s="13"/>
      <c r="S260" s="13"/>
      <c r="T260" s="144"/>
      <c r="U260" s="13"/>
      <c r="V260" s="19"/>
      <c r="X260" s="19"/>
      <c r="Y260" s="13"/>
      <c r="AA260" s="103"/>
      <c r="AB260" s="158"/>
      <c r="AC260" s="158"/>
    </row>
    <row r="261" spans="1:29" s="16" customFormat="1" ht="15">
      <c r="H261" s="23"/>
      <c r="I261" s="18"/>
      <c r="K261" s="235"/>
      <c r="L261" s="14"/>
      <c r="M261" s="14"/>
      <c r="N261" s="13"/>
      <c r="O261" s="18"/>
      <c r="P261" s="18"/>
      <c r="Q261" s="18"/>
      <c r="R261" s="18"/>
      <c r="S261" s="18"/>
      <c r="T261" s="145"/>
      <c r="U261" s="18"/>
      <c r="V261" s="29"/>
      <c r="W261" s="18"/>
      <c r="X261" s="18"/>
      <c r="Y261" s="18"/>
      <c r="AA261" s="101"/>
      <c r="AB261" s="158"/>
      <c r="AC261" s="158"/>
    </row>
    <row r="262" spans="1:29" s="16" customFormat="1" ht="15">
      <c r="H262" s="23"/>
      <c r="I262" s="18"/>
      <c r="K262" s="235"/>
      <c r="L262" s="14"/>
      <c r="M262" s="14"/>
      <c r="N262" s="13"/>
      <c r="O262" s="18"/>
      <c r="P262" s="18"/>
      <c r="Q262" s="18"/>
      <c r="R262" s="18"/>
      <c r="S262" s="18"/>
      <c r="T262" s="145"/>
      <c r="U262" s="18"/>
      <c r="V262" s="29"/>
      <c r="W262" s="18"/>
      <c r="X262" s="18"/>
      <c r="Y262" s="18"/>
      <c r="AA262" s="101"/>
      <c r="AB262" s="158"/>
      <c r="AC262" s="158"/>
    </row>
    <row r="263" spans="1:29" s="16" customFormat="1" ht="15">
      <c r="H263" s="23"/>
      <c r="I263" s="18"/>
      <c r="K263" s="235"/>
      <c r="L263" s="14"/>
      <c r="M263" s="14"/>
      <c r="N263" s="13"/>
      <c r="O263" s="18"/>
      <c r="P263" s="49"/>
      <c r="Q263" s="18"/>
      <c r="R263" s="18"/>
      <c r="S263" s="49"/>
      <c r="T263" s="145"/>
      <c r="U263" s="18"/>
      <c r="V263" s="29"/>
      <c r="W263" s="18"/>
      <c r="X263" s="18"/>
      <c r="Y263" s="49"/>
      <c r="AA263" s="101"/>
      <c r="AB263" s="158"/>
      <c r="AC263" s="158"/>
    </row>
    <row r="264" spans="1:29" s="16" customFormat="1" ht="15">
      <c r="H264" s="23"/>
      <c r="I264" s="18"/>
      <c r="J264" s="18"/>
      <c r="K264" s="234"/>
      <c r="L264" s="13"/>
      <c r="M264" s="14"/>
      <c r="N264" s="13"/>
      <c r="O264" s="18"/>
      <c r="P264" s="18"/>
      <c r="Q264" s="18"/>
      <c r="R264" s="18"/>
      <c r="S264" s="18"/>
      <c r="T264" s="145"/>
      <c r="U264" s="18"/>
      <c r="V264" s="29"/>
      <c r="W264" s="18"/>
      <c r="X264" s="18"/>
      <c r="Y264" s="18"/>
      <c r="AA264" s="101"/>
      <c r="AB264" s="158"/>
      <c r="AC264" s="158"/>
    </row>
    <row r="265" spans="1:29" s="16" customFormat="1" ht="15">
      <c r="H265" s="631"/>
      <c r="I265" s="631"/>
      <c r="J265" s="18"/>
      <c r="K265" s="234"/>
      <c r="L265" s="13"/>
      <c r="M265" s="14"/>
      <c r="N265" s="13"/>
      <c r="O265" s="18"/>
      <c r="P265" s="18"/>
      <c r="Q265" s="18"/>
      <c r="R265" s="18"/>
      <c r="S265" s="18"/>
      <c r="T265" s="145"/>
      <c r="U265" s="18"/>
      <c r="V265" s="29"/>
      <c r="W265" s="18"/>
      <c r="X265" s="18"/>
      <c r="Y265" s="18"/>
      <c r="AA265" s="101"/>
      <c r="AB265" s="158"/>
      <c r="AC265" s="158"/>
    </row>
    <row r="266" spans="1:29" s="16" customFormat="1" ht="15">
      <c r="A266" s="622" t="s">
        <v>553</v>
      </c>
      <c r="B266" s="622"/>
      <c r="C266" s="13"/>
      <c r="D266" s="13"/>
      <c r="E266" s="13"/>
      <c r="F266" s="13"/>
      <c r="G266" s="14"/>
      <c r="H266" s="19"/>
      <c r="I266" s="19"/>
      <c r="J266" s="13" t="s">
        <v>526</v>
      </c>
      <c r="K266" s="626" t="s">
        <v>526</v>
      </c>
      <c r="L266" s="626"/>
      <c r="M266" s="626"/>
      <c r="N266" s="626"/>
      <c r="O266" s="19"/>
      <c r="P266" s="13"/>
      <c r="R266" s="19"/>
      <c r="S266" s="13" t="s">
        <v>1102</v>
      </c>
      <c r="T266" s="19"/>
      <c r="U266" s="19"/>
      <c r="V266" s="19"/>
      <c r="W266" s="19"/>
      <c r="X266" s="622" t="s">
        <v>725</v>
      </c>
      <c r="Y266" s="622"/>
      <c r="Z266" s="622"/>
      <c r="AA266" s="103"/>
      <c r="AB266" s="158"/>
      <c r="AC266" s="158"/>
    </row>
    <row r="267" spans="1:29" ht="15.75">
      <c r="A267" s="6"/>
      <c r="K267" s="253"/>
      <c r="L267" s="7"/>
      <c r="M267" s="7"/>
      <c r="N267" s="7"/>
    </row>
    <row r="268" spans="1:29" ht="15.75" customHeight="1">
      <c r="A268" s="6"/>
      <c r="K268" s="253"/>
      <c r="L268" s="7"/>
      <c r="M268" s="7"/>
      <c r="N268" s="7"/>
    </row>
    <row r="271" spans="1:29">
      <c r="L271" s="227"/>
    </row>
    <row r="324" ht="15.75" customHeight="1"/>
  </sheetData>
  <mergeCells count="23">
    <mergeCell ref="A1:M1"/>
    <mergeCell ref="N1:AA1"/>
    <mergeCell ref="A2:M2"/>
    <mergeCell ref="N2:AA2"/>
    <mergeCell ref="A5:AA5"/>
    <mergeCell ref="A3:M3"/>
    <mergeCell ref="A4:AA4"/>
    <mergeCell ref="A6:AA6"/>
    <mergeCell ref="H7:I7"/>
    <mergeCell ref="P7:U7"/>
    <mergeCell ref="X259:Z259"/>
    <mergeCell ref="Z10:AA10"/>
    <mergeCell ref="B9:C9"/>
    <mergeCell ref="Z9:AA9"/>
    <mergeCell ref="AB13:AD13"/>
    <mergeCell ref="AB53:AC53"/>
    <mergeCell ref="B10:C10"/>
    <mergeCell ref="H265:I265"/>
    <mergeCell ref="A266:B266"/>
    <mergeCell ref="K266:N266"/>
    <mergeCell ref="X266:Z266"/>
    <mergeCell ref="A259:B259"/>
    <mergeCell ref="K259:N259"/>
  </mergeCells>
  <phoneticPr fontId="48" type="noConversion"/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C90"/>
  <sheetViews>
    <sheetView topLeftCell="F4" workbookViewId="0">
      <selection activeCell="R12" sqref="R12"/>
    </sheetView>
  </sheetViews>
  <sheetFormatPr defaultRowHeight="12.75"/>
  <cols>
    <col min="1" max="1" width="2.7109375" style="2" customWidth="1"/>
    <col min="2" max="2" width="18.85546875" style="2" customWidth="1"/>
    <col min="3" max="3" width="11.28515625" style="2" customWidth="1"/>
    <col min="4" max="4" width="17.140625" style="2" customWidth="1"/>
    <col min="5" max="5" width="20.7109375" style="2" customWidth="1"/>
    <col min="6" max="6" width="8.140625" style="1" customWidth="1"/>
    <col min="7" max="7" width="5.85546875" style="2" customWidth="1"/>
    <col min="8" max="8" width="8.140625" style="2" customWidth="1"/>
    <col min="9" max="9" width="13.140625" style="1" customWidth="1"/>
    <col min="10" max="10" width="7.7109375" style="2" customWidth="1"/>
    <col min="11" max="11" width="14.42578125" style="2" customWidth="1"/>
    <col min="12" max="12" width="7.85546875" style="2" customWidth="1"/>
    <col min="13" max="13" width="13.5703125" style="2" customWidth="1"/>
    <col min="14" max="14" width="11.28515625" style="2" customWidth="1"/>
    <col min="15" max="15" width="7.28515625" style="2" customWidth="1"/>
    <col min="16" max="16" width="8" style="2" customWidth="1"/>
    <col min="17" max="17" width="12.28515625" style="2" customWidth="1"/>
    <col min="18" max="18" width="12.42578125" style="2" customWidth="1"/>
    <col min="19" max="19" width="9.140625" style="84"/>
    <col min="20" max="20" width="8.140625" style="2" customWidth="1"/>
    <col min="21" max="21" width="8.42578125" style="2" customWidth="1"/>
    <col min="22" max="22" width="7.85546875" style="2" customWidth="1"/>
    <col min="23" max="23" width="10.7109375" style="2" customWidth="1"/>
    <col min="24" max="24" width="13.28515625" style="2" customWidth="1"/>
    <col min="25" max="25" width="3.85546875" style="2" customWidth="1"/>
    <col min="26" max="26" width="20.140625" style="2" customWidth="1"/>
    <col min="27" max="16384" width="9.140625" style="2"/>
  </cols>
  <sheetData>
    <row r="1" spans="1:26" ht="15">
      <c r="A1" s="624" t="s">
        <v>492</v>
      </c>
      <c r="B1" s="624"/>
      <c r="C1" s="624"/>
      <c r="D1" s="624"/>
      <c r="E1" s="624"/>
      <c r="F1" s="624"/>
      <c r="G1" s="624"/>
      <c r="H1" s="624"/>
      <c r="I1" s="624"/>
      <c r="J1" s="624"/>
      <c r="K1" s="624"/>
      <c r="L1" s="624"/>
      <c r="M1" s="622" t="s">
        <v>849</v>
      </c>
      <c r="N1" s="622"/>
      <c r="O1" s="622"/>
      <c r="P1" s="622"/>
      <c r="Q1" s="622"/>
      <c r="R1" s="622"/>
      <c r="S1" s="622"/>
      <c r="T1" s="622"/>
      <c r="U1" s="622"/>
      <c r="V1" s="622"/>
      <c r="W1" s="622"/>
      <c r="X1" s="622"/>
      <c r="Y1" s="622"/>
      <c r="Z1" s="622"/>
    </row>
    <row r="2" spans="1:26" ht="14.25">
      <c r="A2" s="622" t="s">
        <v>850</v>
      </c>
      <c r="B2" s="622"/>
      <c r="C2" s="622"/>
      <c r="D2" s="622"/>
      <c r="E2" s="622"/>
      <c r="F2" s="622"/>
      <c r="G2" s="622"/>
      <c r="H2" s="622"/>
      <c r="I2" s="622"/>
      <c r="J2" s="622"/>
      <c r="K2" s="622"/>
      <c r="L2" s="622"/>
      <c r="M2" s="646" t="s">
        <v>851</v>
      </c>
      <c r="N2" s="646"/>
      <c r="O2" s="646"/>
      <c r="P2" s="646"/>
      <c r="Q2" s="646"/>
      <c r="R2" s="646"/>
      <c r="S2" s="646"/>
      <c r="T2" s="646"/>
      <c r="U2" s="646"/>
      <c r="V2" s="646"/>
      <c r="W2" s="646"/>
      <c r="X2" s="646"/>
      <c r="Y2" s="646"/>
      <c r="Z2" s="646"/>
    </row>
    <row r="3" spans="1:26" ht="15">
      <c r="A3" s="646" t="s">
        <v>852</v>
      </c>
      <c r="B3" s="646"/>
      <c r="C3" s="646"/>
      <c r="D3" s="646"/>
      <c r="E3" s="646"/>
      <c r="F3" s="646"/>
      <c r="G3" s="646"/>
      <c r="H3" s="646"/>
      <c r="I3" s="646"/>
      <c r="J3" s="646"/>
      <c r="K3" s="646"/>
      <c r="L3" s="646"/>
      <c r="M3" s="18"/>
      <c r="N3" s="18"/>
      <c r="O3" s="18"/>
      <c r="P3" s="18"/>
      <c r="Q3" s="18"/>
      <c r="R3" s="18"/>
      <c r="S3" s="76"/>
      <c r="T3" s="18"/>
      <c r="U3" s="18"/>
      <c r="V3" s="18"/>
      <c r="W3" s="17"/>
      <c r="X3" s="17"/>
      <c r="Y3" s="16"/>
      <c r="Z3" s="16"/>
    </row>
    <row r="4" spans="1:26" ht="12" customHeight="1">
      <c r="A4" s="99"/>
      <c r="B4" s="99"/>
      <c r="C4" s="1"/>
      <c r="D4" s="1"/>
      <c r="E4" s="1"/>
      <c r="G4" s="1"/>
      <c r="H4" s="1"/>
      <c r="J4" s="12"/>
      <c r="K4" s="12"/>
      <c r="L4" s="12"/>
      <c r="M4" s="12"/>
      <c r="N4" s="12"/>
      <c r="O4" s="12"/>
      <c r="P4" s="12"/>
      <c r="Q4" s="12"/>
      <c r="R4" s="12"/>
      <c r="S4" s="100"/>
      <c r="T4" s="12"/>
      <c r="U4" s="12"/>
      <c r="V4" s="12"/>
      <c r="W4" s="12"/>
      <c r="X4" s="12"/>
      <c r="Y4" s="12"/>
      <c r="Z4" s="18"/>
    </row>
    <row r="5" spans="1:26" s="112" customFormat="1" ht="16.5">
      <c r="A5" s="647" t="s">
        <v>789</v>
      </c>
      <c r="B5" s="647"/>
      <c r="C5" s="647"/>
      <c r="D5" s="647"/>
      <c r="E5" s="647"/>
      <c r="F5" s="647"/>
      <c r="G5" s="647"/>
      <c r="H5" s="647"/>
      <c r="I5" s="647"/>
      <c r="J5" s="647"/>
      <c r="K5" s="647"/>
      <c r="L5" s="647"/>
      <c r="M5" s="647"/>
      <c r="N5" s="647"/>
      <c r="O5" s="647"/>
      <c r="P5" s="647"/>
      <c r="Q5" s="647"/>
      <c r="R5" s="647"/>
      <c r="S5" s="647"/>
      <c r="T5" s="647"/>
      <c r="U5" s="647"/>
      <c r="V5" s="647"/>
      <c r="W5" s="647"/>
      <c r="X5" s="647"/>
      <c r="Y5" s="647"/>
      <c r="Z5" s="647"/>
    </row>
    <row r="6" spans="1:26" s="112" customFormat="1" ht="16.5">
      <c r="A6" s="647" t="s">
        <v>1134</v>
      </c>
      <c r="B6" s="647"/>
      <c r="C6" s="647"/>
      <c r="D6" s="647"/>
      <c r="E6" s="647"/>
      <c r="F6" s="647"/>
      <c r="G6" s="647"/>
      <c r="H6" s="647"/>
      <c r="I6" s="647"/>
      <c r="J6" s="647"/>
      <c r="K6" s="647"/>
      <c r="L6" s="647"/>
      <c r="M6" s="647"/>
      <c r="N6" s="647"/>
      <c r="O6" s="647"/>
      <c r="P6" s="647"/>
      <c r="Q6" s="647"/>
      <c r="R6" s="647"/>
      <c r="S6" s="647"/>
      <c r="T6" s="647"/>
      <c r="U6" s="647"/>
      <c r="V6" s="647"/>
      <c r="W6" s="647"/>
      <c r="X6" s="647"/>
      <c r="Y6" s="647"/>
      <c r="Z6" s="647"/>
    </row>
    <row r="7" spans="1:26" ht="33" customHeight="1">
      <c r="A7" s="643" t="s">
        <v>832</v>
      </c>
      <c r="B7" s="625"/>
      <c r="C7" s="625"/>
      <c r="D7" s="625"/>
      <c r="E7" s="625"/>
      <c r="F7" s="625"/>
      <c r="G7" s="625"/>
      <c r="H7" s="625"/>
      <c r="I7" s="625"/>
      <c r="J7" s="625"/>
      <c r="K7" s="625"/>
      <c r="L7" s="625"/>
      <c r="M7" s="625"/>
      <c r="N7" s="625"/>
      <c r="O7" s="625"/>
      <c r="P7" s="625"/>
      <c r="Q7" s="625"/>
      <c r="R7" s="625"/>
      <c r="S7" s="625"/>
      <c r="T7" s="625"/>
      <c r="U7" s="625"/>
      <c r="V7" s="625"/>
      <c r="W7" s="625"/>
      <c r="X7" s="625"/>
      <c r="Y7" s="625"/>
      <c r="Z7" s="625"/>
    </row>
    <row r="8" spans="1:26" s="16" customFormat="1" ht="18" customHeight="1">
      <c r="A8" s="18"/>
      <c r="B8" s="43" t="s">
        <v>557</v>
      </c>
      <c r="C8" s="43"/>
      <c r="D8" s="43"/>
      <c r="E8" s="43"/>
      <c r="F8" s="195"/>
      <c r="G8" s="43"/>
      <c r="H8" s="43"/>
      <c r="I8" s="195">
        <v>1050000</v>
      </c>
      <c r="J8" s="43"/>
      <c r="K8" s="43"/>
      <c r="L8" s="43"/>
      <c r="M8" s="43"/>
      <c r="N8" s="43"/>
      <c r="O8" s="47" t="s">
        <v>1195</v>
      </c>
      <c r="P8" s="40" t="s">
        <v>834</v>
      </c>
      <c r="Q8" s="19"/>
      <c r="R8" s="19"/>
      <c r="S8" s="185"/>
      <c r="T8" s="19"/>
      <c r="U8" s="19"/>
      <c r="V8" s="19"/>
      <c r="W8" s="28"/>
      <c r="X8" s="40" t="s">
        <v>1181</v>
      </c>
      <c r="Y8" s="18"/>
      <c r="Z8" s="18"/>
    </row>
    <row r="9" spans="1:26" ht="10.5" customHeight="1">
      <c r="A9" s="6"/>
      <c r="B9" s="21"/>
      <c r="C9" s="21"/>
      <c r="D9" s="21"/>
      <c r="E9" s="21"/>
      <c r="F9" s="196"/>
      <c r="G9" s="21"/>
      <c r="H9" s="21"/>
      <c r="I9" s="196"/>
      <c r="J9" s="21"/>
      <c r="K9" s="21"/>
      <c r="L9" s="21"/>
      <c r="M9" s="21"/>
      <c r="N9" s="21"/>
      <c r="O9" s="21"/>
      <c r="P9" s="21"/>
      <c r="Q9" s="21"/>
      <c r="R9" s="21"/>
      <c r="S9" s="186"/>
      <c r="T9" s="21"/>
      <c r="U9" s="21"/>
      <c r="V9" s="21"/>
      <c r="W9" s="6"/>
      <c r="X9" s="6"/>
      <c r="Y9" s="6"/>
      <c r="Z9" s="6"/>
    </row>
    <row r="10" spans="1:26" s="113" customFormat="1" ht="55.5" customHeight="1">
      <c r="A10" s="8" t="s">
        <v>853</v>
      </c>
      <c r="B10" s="648" t="s">
        <v>854</v>
      </c>
      <c r="C10" s="648"/>
      <c r="D10" s="93" t="s">
        <v>51</v>
      </c>
      <c r="E10" s="93" t="s">
        <v>50</v>
      </c>
      <c r="F10" s="8" t="s">
        <v>1137</v>
      </c>
      <c r="G10" s="187" t="s">
        <v>1138</v>
      </c>
      <c r="H10" s="9" t="s">
        <v>1139</v>
      </c>
      <c r="I10" s="8" t="s">
        <v>1140</v>
      </c>
      <c r="J10" s="9" t="s">
        <v>855</v>
      </c>
      <c r="K10" s="8" t="s">
        <v>1141</v>
      </c>
      <c r="L10" s="9" t="s">
        <v>860</v>
      </c>
      <c r="M10" s="31" t="s">
        <v>1186</v>
      </c>
      <c r="N10" s="31" t="s">
        <v>48</v>
      </c>
      <c r="O10" s="31" t="s">
        <v>861</v>
      </c>
      <c r="P10" s="31" t="s">
        <v>857</v>
      </c>
      <c r="Q10" s="31" t="s">
        <v>1182</v>
      </c>
      <c r="R10" s="31" t="s">
        <v>1187</v>
      </c>
      <c r="S10" s="188" t="s">
        <v>1248</v>
      </c>
      <c r="T10" s="98" t="s">
        <v>1194</v>
      </c>
      <c r="U10" s="95" t="s">
        <v>1192</v>
      </c>
      <c r="V10" s="31" t="s">
        <v>1189</v>
      </c>
      <c r="W10" s="31" t="s">
        <v>1190</v>
      </c>
      <c r="X10" s="8" t="s">
        <v>1100</v>
      </c>
      <c r="Y10" s="649" t="s">
        <v>40</v>
      </c>
      <c r="Z10" s="650"/>
    </row>
    <row r="11" spans="1:26" s="113" customFormat="1" ht="17.25" customHeight="1">
      <c r="A11" s="32" t="s">
        <v>1110</v>
      </c>
      <c r="B11" s="630" t="s">
        <v>1111</v>
      </c>
      <c r="C11" s="630"/>
      <c r="D11" s="32"/>
      <c r="E11" s="32"/>
      <c r="F11" s="32" t="s">
        <v>1112</v>
      </c>
      <c r="G11" s="32" t="s">
        <v>1113</v>
      </c>
      <c r="H11" s="32" t="s">
        <v>1114</v>
      </c>
      <c r="I11" s="32" t="s">
        <v>1115</v>
      </c>
      <c r="J11" s="32" t="s">
        <v>1112</v>
      </c>
      <c r="K11" s="32" t="s">
        <v>1117</v>
      </c>
      <c r="L11" s="32" t="s">
        <v>1113</v>
      </c>
      <c r="M11" s="32" t="s">
        <v>1114</v>
      </c>
      <c r="N11" s="32" t="s">
        <v>1120</v>
      </c>
      <c r="O11" s="32" t="s">
        <v>1115</v>
      </c>
      <c r="P11" s="32" t="s">
        <v>1116</v>
      </c>
      <c r="Q11" s="32" t="s">
        <v>1123</v>
      </c>
      <c r="R11" s="32" t="s">
        <v>1117</v>
      </c>
      <c r="S11" s="77" t="s">
        <v>1125</v>
      </c>
      <c r="T11" s="32" t="s">
        <v>1118</v>
      </c>
      <c r="U11" s="52" t="s">
        <v>1127</v>
      </c>
      <c r="V11" s="32">
        <v>10</v>
      </c>
      <c r="W11" s="32">
        <v>11</v>
      </c>
      <c r="X11" s="32">
        <v>12</v>
      </c>
      <c r="Y11" s="630" t="s">
        <v>1122</v>
      </c>
      <c r="Z11" s="630"/>
    </row>
    <row r="12" spans="1:26" s="114" customFormat="1" ht="36">
      <c r="A12" s="63" t="s">
        <v>1110</v>
      </c>
      <c r="B12" s="64" t="s">
        <v>963</v>
      </c>
      <c r="C12" s="172" t="s">
        <v>1103</v>
      </c>
      <c r="D12" s="96" t="s">
        <v>230</v>
      </c>
      <c r="E12" s="81" t="s">
        <v>13</v>
      </c>
      <c r="F12" s="54">
        <v>5.7</v>
      </c>
      <c r="G12" s="58"/>
      <c r="H12" s="59">
        <f>F12+(F12*G12)</f>
        <v>5.7</v>
      </c>
      <c r="I12" s="54">
        <v>0.7</v>
      </c>
      <c r="J12" s="62">
        <f t="shared" ref="J12:J60" si="0">H12+I12</f>
        <v>6.4</v>
      </c>
      <c r="K12" s="60">
        <f t="shared" ref="K12:K37" si="1">J12*$I$8</f>
        <v>6720000</v>
      </c>
      <c r="L12" s="333" t="s">
        <v>858</v>
      </c>
      <c r="M12" s="60">
        <f>IF(L12="A",K12*0.5,IF(L12="B",K12*0.5*0.75,IF(L12="C",K12*0.5*0.75*0.75,0)))</f>
        <v>3360000</v>
      </c>
      <c r="N12" s="60">
        <f>IF(L12="A",1050000,IF(L12="B",735000,IF(L12="C",514500,0)))</f>
        <v>1050000</v>
      </c>
      <c r="O12" s="54">
        <v>26</v>
      </c>
      <c r="P12" s="54">
        <v>26</v>
      </c>
      <c r="Q12" s="175">
        <f t="shared" ref="Q12:Q60" si="2">IF(M12&gt;N12,M12,N12)</f>
        <v>3360000</v>
      </c>
      <c r="R12" s="60">
        <f t="shared" ref="R12:R69" si="3">ROUND(IF(P12&gt;=O12,Q12,Q12/O12*P12),0)</f>
        <v>3360000</v>
      </c>
      <c r="S12" s="189"/>
      <c r="T12" s="60">
        <f>S12*$I$8*0.5</f>
        <v>0</v>
      </c>
      <c r="U12" s="106"/>
      <c r="V12" s="60">
        <f>U12*$I$8*0.5</f>
        <v>0</v>
      </c>
      <c r="W12" s="34">
        <f>(J12*$I$8*0.01)+(S12*$I$8*1%)+(U12*1%*$I$8)</f>
        <v>67200</v>
      </c>
      <c r="X12" s="61">
        <f>R12+T12+V12+W12</f>
        <v>3427200</v>
      </c>
      <c r="Y12" s="65" t="str">
        <f t="shared" ref="Y12:Y60" si="4">A12</f>
        <v>01</v>
      </c>
      <c r="Z12" s="256" t="s">
        <v>835</v>
      </c>
    </row>
    <row r="13" spans="1:26" s="114" customFormat="1" ht="18" customHeight="1">
      <c r="A13" s="22" t="s">
        <v>1111</v>
      </c>
      <c r="B13" s="37" t="s">
        <v>1096</v>
      </c>
      <c r="C13" s="38" t="s">
        <v>1104</v>
      </c>
      <c r="D13" s="10" t="s">
        <v>231</v>
      </c>
      <c r="E13" s="80" t="s">
        <v>15</v>
      </c>
      <c r="F13" s="10">
        <v>3.33</v>
      </c>
      <c r="G13" s="50"/>
      <c r="H13" s="86">
        <f t="shared" ref="H13:H37" si="5">F13+(F13*G13)</f>
        <v>3.33</v>
      </c>
      <c r="I13" s="10">
        <v>0.15</v>
      </c>
      <c r="J13" s="88">
        <f t="shared" si="0"/>
        <v>3.48</v>
      </c>
      <c r="K13" s="34">
        <f t="shared" si="1"/>
        <v>3654000</v>
      </c>
      <c r="L13" s="334" t="s">
        <v>858</v>
      </c>
      <c r="M13" s="34">
        <f>IF(L13="A",K13*0.5,IF(L13="B",K13*0.5*0.75,IF(L13="C",K13*0.5*0.75*0.75,0)))</f>
        <v>1827000</v>
      </c>
      <c r="N13" s="34">
        <f>IF(L13="A",1050000,IF(L13="B",735000,IF(L13="C",514500,0)))</f>
        <v>1050000</v>
      </c>
      <c r="O13" s="152">
        <v>26</v>
      </c>
      <c r="P13" s="10">
        <v>26</v>
      </c>
      <c r="Q13" s="180">
        <f t="shared" si="2"/>
        <v>1827000</v>
      </c>
      <c r="R13" s="34">
        <f t="shared" si="3"/>
        <v>1827000</v>
      </c>
      <c r="S13" s="105"/>
      <c r="T13" s="34">
        <f t="shared" ref="T13:T71" si="6">S13*$I$8*0.5</f>
        <v>0</v>
      </c>
      <c r="U13" s="79"/>
      <c r="V13" s="34">
        <f t="shared" ref="V13:V71" si="7">U13*$I$8*0.5</f>
        <v>0</v>
      </c>
      <c r="W13" s="34">
        <f t="shared" ref="W13:W58" si="8">(J13*$I$8*0.01)+(S13*$I$8*1%)+(U13*1%*$I$8)</f>
        <v>36540</v>
      </c>
      <c r="X13" s="51">
        <f t="shared" ref="X13:X69" si="9">R13+T13+V13+W13</f>
        <v>1863540</v>
      </c>
      <c r="Y13" s="11" t="str">
        <f t="shared" si="4"/>
        <v>02</v>
      </c>
      <c r="Z13" s="131"/>
    </row>
    <row r="14" spans="1:26" s="114" customFormat="1" ht="21.75" customHeight="1">
      <c r="A14" s="22" t="s">
        <v>1112</v>
      </c>
      <c r="B14" s="37" t="s">
        <v>870</v>
      </c>
      <c r="C14" s="38" t="s">
        <v>871</v>
      </c>
      <c r="D14" s="10" t="s">
        <v>232</v>
      </c>
      <c r="E14" s="80" t="s">
        <v>16</v>
      </c>
      <c r="F14" s="10">
        <v>4.32</v>
      </c>
      <c r="G14" s="50"/>
      <c r="H14" s="86">
        <f t="shared" si="5"/>
        <v>4.32</v>
      </c>
      <c r="I14" s="10"/>
      <c r="J14" s="88">
        <f t="shared" si="0"/>
        <v>4.32</v>
      </c>
      <c r="K14" s="34">
        <f t="shared" si="1"/>
        <v>4536000</v>
      </c>
      <c r="L14" s="334" t="s">
        <v>858</v>
      </c>
      <c r="M14" s="34">
        <f t="shared" ref="M14:M71" si="10">IF(L14="A",K14*0.5,IF(L14="B",K14*0.5*0.75,IF(L14="C",K14*0.5*0.75*0.75,0)))</f>
        <v>2268000</v>
      </c>
      <c r="N14" s="153">
        <f t="shared" ref="N14:N69" si="11">IF(L14="A",1050000,IF(L14="B",735000,IF(L14="C",514500,0)))</f>
        <v>1050000</v>
      </c>
      <c r="O14" s="152">
        <v>26</v>
      </c>
      <c r="P14" s="10">
        <v>26</v>
      </c>
      <c r="Q14" s="180">
        <f t="shared" si="2"/>
        <v>2268000</v>
      </c>
      <c r="R14" s="34">
        <f t="shared" si="3"/>
        <v>2268000</v>
      </c>
      <c r="S14" s="105"/>
      <c r="T14" s="34">
        <f t="shared" si="6"/>
        <v>0</v>
      </c>
      <c r="U14" s="79"/>
      <c r="V14" s="34">
        <f t="shared" si="7"/>
        <v>0</v>
      </c>
      <c r="W14" s="34">
        <f t="shared" si="8"/>
        <v>45360</v>
      </c>
      <c r="X14" s="154">
        <f t="shared" si="9"/>
        <v>2313360</v>
      </c>
      <c r="Y14" s="11" t="str">
        <f t="shared" si="4"/>
        <v>03</v>
      </c>
      <c r="Z14" s="131"/>
    </row>
    <row r="15" spans="1:26" s="114" customFormat="1" ht="21.75" customHeight="1">
      <c r="A15" s="22" t="s">
        <v>1113</v>
      </c>
      <c r="B15" s="37" t="s">
        <v>872</v>
      </c>
      <c r="C15" s="38" t="s">
        <v>873</v>
      </c>
      <c r="D15" s="10" t="s">
        <v>233</v>
      </c>
      <c r="E15" s="80" t="s">
        <v>17</v>
      </c>
      <c r="F15" s="10">
        <v>4.32</v>
      </c>
      <c r="G15" s="50"/>
      <c r="H15" s="86">
        <f t="shared" si="5"/>
        <v>4.32</v>
      </c>
      <c r="I15" s="10"/>
      <c r="J15" s="88">
        <f t="shared" si="0"/>
        <v>4.32</v>
      </c>
      <c r="K15" s="34">
        <f t="shared" si="1"/>
        <v>4536000</v>
      </c>
      <c r="L15" s="334" t="s">
        <v>858</v>
      </c>
      <c r="M15" s="34">
        <f t="shared" si="10"/>
        <v>2268000</v>
      </c>
      <c r="N15" s="34">
        <f t="shared" si="11"/>
        <v>1050000</v>
      </c>
      <c r="O15" s="152">
        <v>26</v>
      </c>
      <c r="P15" s="10">
        <v>26</v>
      </c>
      <c r="Q15" s="180">
        <f t="shared" si="2"/>
        <v>2268000</v>
      </c>
      <c r="R15" s="34">
        <f t="shared" si="3"/>
        <v>2268000</v>
      </c>
      <c r="S15" s="105"/>
      <c r="T15" s="34">
        <f t="shared" si="6"/>
        <v>0</v>
      </c>
      <c r="U15" s="79"/>
      <c r="V15" s="34">
        <f t="shared" si="7"/>
        <v>0</v>
      </c>
      <c r="W15" s="34">
        <f t="shared" si="8"/>
        <v>45360</v>
      </c>
      <c r="X15" s="51">
        <f t="shared" si="9"/>
        <v>2313360</v>
      </c>
      <c r="Y15" s="11" t="str">
        <f t="shared" si="4"/>
        <v>04</v>
      </c>
      <c r="Z15" s="131"/>
    </row>
    <row r="16" spans="1:26" s="114" customFormat="1" ht="21.75" customHeight="1">
      <c r="A16" s="22" t="s">
        <v>1114</v>
      </c>
      <c r="B16" s="37" t="s">
        <v>875</v>
      </c>
      <c r="C16" s="38" t="s">
        <v>1106</v>
      </c>
      <c r="D16" s="10" t="s">
        <v>234</v>
      </c>
      <c r="E16" s="80" t="s">
        <v>18</v>
      </c>
      <c r="F16" s="10">
        <v>3</v>
      </c>
      <c r="G16" s="50"/>
      <c r="H16" s="86">
        <f t="shared" si="5"/>
        <v>3</v>
      </c>
      <c r="I16" s="10">
        <v>0.25</v>
      </c>
      <c r="J16" s="88">
        <f t="shared" si="0"/>
        <v>3.25</v>
      </c>
      <c r="K16" s="34">
        <f t="shared" si="1"/>
        <v>3412500</v>
      </c>
      <c r="L16" s="334" t="s">
        <v>858</v>
      </c>
      <c r="M16" s="34">
        <f t="shared" si="10"/>
        <v>1706250</v>
      </c>
      <c r="N16" s="153">
        <f t="shared" si="11"/>
        <v>1050000</v>
      </c>
      <c r="O16" s="152">
        <v>26</v>
      </c>
      <c r="P16" s="10">
        <v>26</v>
      </c>
      <c r="Q16" s="180">
        <f t="shared" si="2"/>
        <v>1706250</v>
      </c>
      <c r="R16" s="34">
        <f t="shared" si="3"/>
        <v>1706250</v>
      </c>
      <c r="S16" s="105"/>
      <c r="T16" s="34">
        <f t="shared" si="6"/>
        <v>0</v>
      </c>
      <c r="U16" s="79"/>
      <c r="V16" s="34">
        <f t="shared" si="7"/>
        <v>0</v>
      </c>
      <c r="W16" s="34">
        <f t="shared" si="8"/>
        <v>34125</v>
      </c>
      <c r="X16" s="154">
        <f t="shared" si="9"/>
        <v>1740375</v>
      </c>
      <c r="Y16" s="11" t="str">
        <f t="shared" si="4"/>
        <v>05</v>
      </c>
      <c r="Z16" s="131"/>
    </row>
    <row r="17" spans="1:28" s="114" customFormat="1" ht="21.75" customHeight="1">
      <c r="A17" s="22" t="s">
        <v>1115</v>
      </c>
      <c r="B17" s="37" t="s">
        <v>877</v>
      </c>
      <c r="C17" s="38" t="s">
        <v>863</v>
      </c>
      <c r="D17" s="10" t="s">
        <v>235</v>
      </c>
      <c r="E17" s="80" t="s">
        <v>19</v>
      </c>
      <c r="F17" s="10">
        <v>3</v>
      </c>
      <c r="G17" s="50"/>
      <c r="H17" s="86">
        <f t="shared" si="5"/>
        <v>3</v>
      </c>
      <c r="I17" s="10"/>
      <c r="J17" s="88">
        <f t="shared" si="0"/>
        <v>3</v>
      </c>
      <c r="K17" s="34">
        <f t="shared" si="1"/>
        <v>3150000</v>
      </c>
      <c r="L17" s="334" t="s">
        <v>858</v>
      </c>
      <c r="M17" s="34">
        <f t="shared" si="10"/>
        <v>1575000</v>
      </c>
      <c r="N17" s="34">
        <f t="shared" si="11"/>
        <v>1050000</v>
      </c>
      <c r="O17" s="152">
        <v>26</v>
      </c>
      <c r="P17" s="10">
        <v>25</v>
      </c>
      <c r="Q17" s="180">
        <f t="shared" si="2"/>
        <v>1575000</v>
      </c>
      <c r="R17" s="34">
        <f t="shared" si="3"/>
        <v>1514423</v>
      </c>
      <c r="S17" s="105"/>
      <c r="T17" s="34">
        <f t="shared" si="6"/>
        <v>0</v>
      </c>
      <c r="U17" s="79"/>
      <c r="V17" s="34">
        <f t="shared" si="7"/>
        <v>0</v>
      </c>
      <c r="W17" s="34">
        <f t="shared" si="8"/>
        <v>31500</v>
      </c>
      <c r="X17" s="51">
        <f t="shared" si="9"/>
        <v>1545923</v>
      </c>
      <c r="Y17" s="11" t="str">
        <f t="shared" si="4"/>
        <v>06</v>
      </c>
      <c r="Z17" s="280" t="s">
        <v>783</v>
      </c>
      <c r="AA17" s="651"/>
      <c r="AB17" s="652"/>
    </row>
    <row r="18" spans="1:28" s="114" customFormat="1" ht="21.75" customHeight="1">
      <c r="A18" s="22" t="s">
        <v>1116</v>
      </c>
      <c r="B18" s="37" t="s">
        <v>877</v>
      </c>
      <c r="C18" s="38" t="s">
        <v>878</v>
      </c>
      <c r="D18" s="10" t="s">
        <v>236</v>
      </c>
      <c r="E18" s="80" t="s">
        <v>20</v>
      </c>
      <c r="F18" s="10">
        <v>3</v>
      </c>
      <c r="G18" s="50"/>
      <c r="H18" s="86">
        <f t="shared" si="5"/>
        <v>3</v>
      </c>
      <c r="I18" s="10">
        <v>0.25</v>
      </c>
      <c r="J18" s="88">
        <f t="shared" si="0"/>
        <v>3.25</v>
      </c>
      <c r="K18" s="34">
        <f t="shared" si="1"/>
        <v>3412500</v>
      </c>
      <c r="L18" s="334" t="s">
        <v>858</v>
      </c>
      <c r="M18" s="34">
        <f t="shared" si="10"/>
        <v>1706250</v>
      </c>
      <c r="N18" s="153">
        <f t="shared" si="11"/>
        <v>1050000</v>
      </c>
      <c r="O18" s="152">
        <v>26</v>
      </c>
      <c r="P18" s="10">
        <v>26</v>
      </c>
      <c r="Q18" s="180">
        <f t="shared" si="2"/>
        <v>1706250</v>
      </c>
      <c r="R18" s="34">
        <f t="shared" si="3"/>
        <v>1706250</v>
      </c>
      <c r="S18" s="105"/>
      <c r="T18" s="34">
        <f t="shared" si="6"/>
        <v>0</v>
      </c>
      <c r="U18" s="79"/>
      <c r="V18" s="34">
        <f t="shared" si="7"/>
        <v>0</v>
      </c>
      <c r="W18" s="34">
        <f t="shared" si="8"/>
        <v>34125</v>
      </c>
      <c r="X18" s="154">
        <f t="shared" si="9"/>
        <v>1740375</v>
      </c>
      <c r="Y18" s="11" t="str">
        <f t="shared" si="4"/>
        <v>07</v>
      </c>
      <c r="Z18" s="131"/>
    </row>
    <row r="19" spans="1:28" s="114" customFormat="1" ht="21.75" customHeight="1">
      <c r="A19" s="22" t="s">
        <v>1117</v>
      </c>
      <c r="B19" s="37" t="s">
        <v>1097</v>
      </c>
      <c r="C19" s="38" t="s">
        <v>1107</v>
      </c>
      <c r="D19" s="10" t="s">
        <v>237</v>
      </c>
      <c r="E19" s="80" t="s">
        <v>21</v>
      </c>
      <c r="F19" s="10">
        <v>3</v>
      </c>
      <c r="G19" s="50"/>
      <c r="H19" s="86">
        <f t="shared" si="5"/>
        <v>3</v>
      </c>
      <c r="I19" s="10">
        <v>0.25</v>
      </c>
      <c r="J19" s="88">
        <f t="shared" si="0"/>
        <v>3.25</v>
      </c>
      <c r="K19" s="34">
        <f t="shared" si="1"/>
        <v>3412500</v>
      </c>
      <c r="L19" s="334" t="s">
        <v>858</v>
      </c>
      <c r="M19" s="34">
        <f t="shared" si="10"/>
        <v>1706250</v>
      </c>
      <c r="N19" s="34">
        <f t="shared" si="11"/>
        <v>1050000</v>
      </c>
      <c r="O19" s="152">
        <v>26</v>
      </c>
      <c r="P19" s="10">
        <v>26</v>
      </c>
      <c r="Q19" s="180">
        <f t="shared" si="2"/>
        <v>1706250</v>
      </c>
      <c r="R19" s="34">
        <f t="shared" si="3"/>
        <v>1706250</v>
      </c>
      <c r="S19" s="105"/>
      <c r="T19" s="34">
        <f t="shared" si="6"/>
        <v>0</v>
      </c>
      <c r="U19" s="79"/>
      <c r="V19" s="34">
        <f t="shared" si="7"/>
        <v>0</v>
      </c>
      <c r="W19" s="34">
        <f t="shared" si="8"/>
        <v>34125</v>
      </c>
      <c r="X19" s="51">
        <f t="shared" si="9"/>
        <v>1740375</v>
      </c>
      <c r="Y19" s="11" t="str">
        <f t="shared" si="4"/>
        <v>08</v>
      </c>
      <c r="Z19" s="131"/>
    </row>
    <row r="20" spans="1:28" s="114" customFormat="1" ht="21.75" customHeight="1">
      <c r="A20" s="22" t="s">
        <v>1118</v>
      </c>
      <c r="B20" s="37" t="s">
        <v>1098</v>
      </c>
      <c r="C20" s="38" t="s">
        <v>871</v>
      </c>
      <c r="D20" s="10" t="s">
        <v>238</v>
      </c>
      <c r="E20" s="80" t="s">
        <v>22</v>
      </c>
      <c r="F20" s="10">
        <v>3</v>
      </c>
      <c r="G20" s="50"/>
      <c r="H20" s="86">
        <f t="shared" si="5"/>
        <v>3</v>
      </c>
      <c r="I20" s="10">
        <v>0.15</v>
      </c>
      <c r="J20" s="88">
        <f t="shared" si="0"/>
        <v>3.15</v>
      </c>
      <c r="K20" s="34">
        <f t="shared" si="1"/>
        <v>3307500</v>
      </c>
      <c r="L20" s="334" t="s">
        <v>858</v>
      </c>
      <c r="M20" s="34">
        <f t="shared" si="10"/>
        <v>1653750</v>
      </c>
      <c r="N20" s="153">
        <f t="shared" si="11"/>
        <v>1050000</v>
      </c>
      <c r="O20" s="152">
        <v>26</v>
      </c>
      <c r="P20" s="10">
        <v>26</v>
      </c>
      <c r="Q20" s="180">
        <f t="shared" si="2"/>
        <v>1653750</v>
      </c>
      <c r="R20" s="34">
        <f t="shared" si="3"/>
        <v>1653750</v>
      </c>
      <c r="S20" s="105"/>
      <c r="T20" s="34">
        <f t="shared" si="6"/>
        <v>0</v>
      </c>
      <c r="U20" s="79"/>
      <c r="V20" s="34">
        <f t="shared" si="7"/>
        <v>0</v>
      </c>
      <c r="W20" s="34">
        <f t="shared" si="8"/>
        <v>33075</v>
      </c>
      <c r="X20" s="154">
        <f t="shared" si="9"/>
        <v>1686825</v>
      </c>
      <c r="Y20" s="11" t="str">
        <f t="shared" si="4"/>
        <v>09</v>
      </c>
      <c r="Z20" s="131"/>
    </row>
    <row r="21" spans="1:28" s="114" customFormat="1" ht="21.75" customHeight="1">
      <c r="A21" s="22" t="s">
        <v>1119</v>
      </c>
      <c r="B21" s="37" t="s">
        <v>879</v>
      </c>
      <c r="C21" s="38" t="s">
        <v>880</v>
      </c>
      <c r="D21" s="10" t="s">
        <v>239</v>
      </c>
      <c r="E21" s="80" t="s">
        <v>23</v>
      </c>
      <c r="F21" s="10">
        <v>4.32</v>
      </c>
      <c r="G21" s="50"/>
      <c r="H21" s="86">
        <f t="shared" si="5"/>
        <v>4.32</v>
      </c>
      <c r="I21" s="10">
        <v>0</v>
      </c>
      <c r="J21" s="88">
        <f t="shared" si="0"/>
        <v>4.32</v>
      </c>
      <c r="K21" s="34">
        <f t="shared" si="1"/>
        <v>4536000</v>
      </c>
      <c r="L21" s="334" t="s">
        <v>858</v>
      </c>
      <c r="M21" s="34">
        <f t="shared" si="10"/>
        <v>2268000</v>
      </c>
      <c r="N21" s="34">
        <f t="shared" si="11"/>
        <v>1050000</v>
      </c>
      <c r="O21" s="152">
        <v>26</v>
      </c>
      <c r="P21" s="10">
        <v>26</v>
      </c>
      <c r="Q21" s="180">
        <f t="shared" si="2"/>
        <v>2268000</v>
      </c>
      <c r="R21" s="34">
        <f t="shared" si="3"/>
        <v>2268000</v>
      </c>
      <c r="S21" s="105"/>
      <c r="T21" s="34">
        <f t="shared" si="6"/>
        <v>0</v>
      </c>
      <c r="U21" s="79"/>
      <c r="V21" s="34">
        <f t="shared" si="7"/>
        <v>0</v>
      </c>
      <c r="W21" s="34">
        <f t="shared" si="8"/>
        <v>45360</v>
      </c>
      <c r="X21" s="51">
        <f t="shared" si="9"/>
        <v>2313360</v>
      </c>
      <c r="Y21" s="11" t="str">
        <f t="shared" si="4"/>
        <v>10</v>
      </c>
      <c r="Z21" s="131"/>
    </row>
    <row r="22" spans="1:28" s="114" customFormat="1" ht="21.75" customHeight="1">
      <c r="A22" s="22" t="s">
        <v>1120</v>
      </c>
      <c r="B22" s="37" t="s">
        <v>881</v>
      </c>
      <c r="C22" s="38" t="s">
        <v>863</v>
      </c>
      <c r="D22" s="10" t="s">
        <v>240</v>
      </c>
      <c r="E22" s="80" t="s">
        <v>24</v>
      </c>
      <c r="F22" s="10">
        <v>2.67</v>
      </c>
      <c r="G22" s="50"/>
      <c r="H22" s="86">
        <f t="shared" si="5"/>
        <v>2.67</v>
      </c>
      <c r="I22" s="10"/>
      <c r="J22" s="88">
        <f t="shared" si="0"/>
        <v>2.67</v>
      </c>
      <c r="K22" s="34">
        <f t="shared" si="1"/>
        <v>2803500</v>
      </c>
      <c r="L22" s="334" t="s">
        <v>858</v>
      </c>
      <c r="M22" s="34">
        <f t="shared" si="10"/>
        <v>1401750</v>
      </c>
      <c r="N22" s="153">
        <f t="shared" si="11"/>
        <v>1050000</v>
      </c>
      <c r="O22" s="152">
        <v>26</v>
      </c>
      <c r="P22" s="10">
        <v>26</v>
      </c>
      <c r="Q22" s="180">
        <f t="shared" si="2"/>
        <v>1401750</v>
      </c>
      <c r="R22" s="34">
        <f t="shared" si="3"/>
        <v>1401750</v>
      </c>
      <c r="S22" s="105"/>
      <c r="T22" s="34">
        <f t="shared" si="6"/>
        <v>0</v>
      </c>
      <c r="U22" s="79"/>
      <c r="V22" s="34">
        <f t="shared" si="7"/>
        <v>0</v>
      </c>
      <c r="W22" s="34">
        <f t="shared" si="8"/>
        <v>28035</v>
      </c>
      <c r="X22" s="154">
        <f t="shared" si="9"/>
        <v>1429785</v>
      </c>
      <c r="Y22" s="11" t="str">
        <f t="shared" si="4"/>
        <v>11</v>
      </c>
      <c r="Z22" s="131"/>
    </row>
    <row r="23" spans="1:28" s="114" customFormat="1" ht="17.25" customHeight="1">
      <c r="A23" s="22" t="s">
        <v>1121</v>
      </c>
      <c r="B23" s="37" t="s">
        <v>1099</v>
      </c>
      <c r="C23" s="38" t="s">
        <v>882</v>
      </c>
      <c r="D23" s="10" t="s">
        <v>241</v>
      </c>
      <c r="E23" s="80" t="s">
        <v>25</v>
      </c>
      <c r="F23" s="88">
        <v>2.67</v>
      </c>
      <c r="G23" s="50"/>
      <c r="H23" s="86">
        <f t="shared" si="5"/>
        <v>2.67</v>
      </c>
      <c r="I23" s="10"/>
      <c r="J23" s="88">
        <f t="shared" si="0"/>
        <v>2.67</v>
      </c>
      <c r="K23" s="34">
        <f t="shared" si="1"/>
        <v>2803500</v>
      </c>
      <c r="L23" s="334" t="s">
        <v>858</v>
      </c>
      <c r="M23" s="34">
        <f t="shared" si="10"/>
        <v>1401750</v>
      </c>
      <c r="N23" s="34">
        <f t="shared" si="11"/>
        <v>1050000</v>
      </c>
      <c r="O23" s="152">
        <v>26</v>
      </c>
      <c r="P23" s="10">
        <v>26</v>
      </c>
      <c r="Q23" s="180">
        <f t="shared" si="2"/>
        <v>1401750</v>
      </c>
      <c r="R23" s="34">
        <f t="shared" si="3"/>
        <v>1401750</v>
      </c>
      <c r="S23" s="105"/>
      <c r="T23" s="34">
        <f t="shared" si="6"/>
        <v>0</v>
      </c>
      <c r="U23" s="79"/>
      <c r="V23" s="34">
        <f t="shared" si="7"/>
        <v>0</v>
      </c>
      <c r="W23" s="34">
        <f t="shared" si="8"/>
        <v>28035</v>
      </c>
      <c r="X23" s="51">
        <f t="shared" si="9"/>
        <v>1429785</v>
      </c>
      <c r="Y23" s="11" t="str">
        <f t="shared" si="4"/>
        <v>12</v>
      </c>
      <c r="Z23" s="131"/>
    </row>
    <row r="24" spans="1:28" s="114" customFormat="1" ht="25.5">
      <c r="A24" s="22" t="s">
        <v>1122</v>
      </c>
      <c r="B24" s="37" t="s">
        <v>1108</v>
      </c>
      <c r="C24" s="38" t="s">
        <v>883</v>
      </c>
      <c r="D24" s="10" t="s">
        <v>242</v>
      </c>
      <c r="E24" s="80" t="s">
        <v>26</v>
      </c>
      <c r="F24" s="10">
        <v>2.67</v>
      </c>
      <c r="G24" s="50"/>
      <c r="H24" s="86">
        <f t="shared" si="5"/>
        <v>2.67</v>
      </c>
      <c r="I24" s="10"/>
      <c r="J24" s="88">
        <f t="shared" si="0"/>
        <v>2.67</v>
      </c>
      <c r="K24" s="34">
        <f t="shared" si="1"/>
        <v>2803500</v>
      </c>
      <c r="L24" s="334" t="s">
        <v>525</v>
      </c>
      <c r="M24" s="34">
        <f t="shared" si="10"/>
        <v>1051312.5</v>
      </c>
      <c r="N24" s="153">
        <f t="shared" si="11"/>
        <v>735000</v>
      </c>
      <c r="O24" s="152">
        <v>26</v>
      </c>
      <c r="P24" s="10">
        <v>25</v>
      </c>
      <c r="Q24" s="180">
        <f t="shared" si="2"/>
        <v>1051312.5</v>
      </c>
      <c r="R24" s="34">
        <f t="shared" si="3"/>
        <v>1010877</v>
      </c>
      <c r="S24" s="105"/>
      <c r="T24" s="34">
        <f t="shared" si="6"/>
        <v>0</v>
      </c>
      <c r="U24" s="79"/>
      <c r="V24" s="34">
        <f t="shared" si="7"/>
        <v>0</v>
      </c>
      <c r="W24" s="34">
        <f t="shared" si="8"/>
        <v>28035</v>
      </c>
      <c r="X24" s="154">
        <f t="shared" si="9"/>
        <v>1038912</v>
      </c>
      <c r="Y24" s="11" t="str">
        <f t="shared" si="4"/>
        <v>13</v>
      </c>
      <c r="Z24" s="131" t="s">
        <v>827</v>
      </c>
    </row>
    <row r="25" spans="1:28" s="114" customFormat="1" ht="29.25" customHeight="1">
      <c r="A25" s="22" t="s">
        <v>1123</v>
      </c>
      <c r="B25" s="37" t="s">
        <v>1077</v>
      </c>
      <c r="C25" s="38" t="s">
        <v>1128</v>
      </c>
      <c r="D25" s="10" t="s">
        <v>243</v>
      </c>
      <c r="E25" s="80" t="s">
        <v>27</v>
      </c>
      <c r="F25" s="88">
        <v>3.66</v>
      </c>
      <c r="G25" s="50"/>
      <c r="H25" s="86">
        <f t="shared" si="5"/>
        <v>3.66</v>
      </c>
      <c r="I25" s="10">
        <v>0.25</v>
      </c>
      <c r="J25" s="88">
        <f t="shared" si="0"/>
        <v>3.91</v>
      </c>
      <c r="K25" s="34">
        <f t="shared" si="1"/>
        <v>4105500</v>
      </c>
      <c r="L25" s="334" t="s">
        <v>858</v>
      </c>
      <c r="M25" s="34">
        <f t="shared" si="10"/>
        <v>2052750</v>
      </c>
      <c r="N25" s="34">
        <f t="shared" si="11"/>
        <v>1050000</v>
      </c>
      <c r="O25" s="152">
        <v>26</v>
      </c>
      <c r="P25" s="10">
        <v>26</v>
      </c>
      <c r="Q25" s="180">
        <f t="shared" si="2"/>
        <v>2052750</v>
      </c>
      <c r="R25" s="34">
        <f t="shared" si="3"/>
        <v>2052750</v>
      </c>
      <c r="S25" s="105"/>
      <c r="T25" s="34">
        <f t="shared" si="6"/>
        <v>0</v>
      </c>
      <c r="U25" s="79"/>
      <c r="V25" s="34">
        <f t="shared" si="7"/>
        <v>0</v>
      </c>
      <c r="W25" s="34">
        <f t="shared" si="8"/>
        <v>41055</v>
      </c>
      <c r="X25" s="51">
        <f t="shared" si="9"/>
        <v>2093805</v>
      </c>
      <c r="Y25" s="11" t="str">
        <f t="shared" si="4"/>
        <v>14</v>
      </c>
      <c r="Z25" s="131"/>
    </row>
    <row r="26" spans="1:28" s="114" customFormat="1" ht="51">
      <c r="A26" s="266" t="s">
        <v>1124</v>
      </c>
      <c r="B26" s="237" t="s">
        <v>1129</v>
      </c>
      <c r="C26" s="238" t="s">
        <v>885</v>
      </c>
      <c r="D26" s="241" t="s">
        <v>244</v>
      </c>
      <c r="E26" s="240" t="s">
        <v>28</v>
      </c>
      <c r="F26" s="241">
        <v>2.67</v>
      </c>
      <c r="G26" s="268"/>
      <c r="H26" s="243">
        <f t="shared" si="5"/>
        <v>2.67</v>
      </c>
      <c r="I26" s="241"/>
      <c r="J26" s="267">
        <f t="shared" si="0"/>
        <v>2.67</v>
      </c>
      <c r="K26" s="245">
        <f t="shared" si="1"/>
        <v>2803500</v>
      </c>
      <c r="L26" s="334" t="s">
        <v>785</v>
      </c>
      <c r="M26" s="34">
        <f t="shared" si="10"/>
        <v>0</v>
      </c>
      <c r="N26" s="277">
        <f t="shared" si="11"/>
        <v>0</v>
      </c>
      <c r="O26" s="281">
        <v>0</v>
      </c>
      <c r="P26" s="241">
        <v>0</v>
      </c>
      <c r="Q26" s="269">
        <f t="shared" si="2"/>
        <v>0</v>
      </c>
      <c r="R26" s="245">
        <f t="shared" si="3"/>
        <v>0</v>
      </c>
      <c r="S26" s="270"/>
      <c r="T26" s="245">
        <f t="shared" si="6"/>
        <v>0</v>
      </c>
      <c r="U26" s="249"/>
      <c r="V26" s="245">
        <f t="shared" si="7"/>
        <v>0</v>
      </c>
      <c r="W26" s="245">
        <v>0</v>
      </c>
      <c r="X26" s="278">
        <f t="shared" si="9"/>
        <v>0</v>
      </c>
      <c r="Y26" s="251" t="str">
        <f t="shared" si="4"/>
        <v>15</v>
      </c>
      <c r="Z26" s="271" t="s">
        <v>795</v>
      </c>
      <c r="AA26" s="651"/>
      <c r="AB26" s="653"/>
    </row>
    <row r="27" spans="1:28" s="114" customFormat="1" ht="24.75" customHeight="1">
      <c r="A27" s="22" t="s">
        <v>1125</v>
      </c>
      <c r="B27" s="37" t="s">
        <v>1130</v>
      </c>
      <c r="C27" s="38" t="s">
        <v>886</v>
      </c>
      <c r="D27" s="10" t="s">
        <v>245</v>
      </c>
      <c r="E27" s="80" t="s">
        <v>29</v>
      </c>
      <c r="F27" s="10">
        <v>2.67</v>
      </c>
      <c r="G27" s="50"/>
      <c r="H27" s="86">
        <f t="shared" si="5"/>
        <v>2.67</v>
      </c>
      <c r="I27" s="10">
        <v>0.25</v>
      </c>
      <c r="J27" s="88">
        <f t="shared" si="0"/>
        <v>2.92</v>
      </c>
      <c r="K27" s="34">
        <f t="shared" si="1"/>
        <v>3066000</v>
      </c>
      <c r="L27" s="334" t="s">
        <v>858</v>
      </c>
      <c r="M27" s="34">
        <f t="shared" si="10"/>
        <v>1533000</v>
      </c>
      <c r="N27" s="34">
        <f t="shared" si="11"/>
        <v>1050000</v>
      </c>
      <c r="O27" s="152">
        <v>26</v>
      </c>
      <c r="P27" s="257">
        <v>26</v>
      </c>
      <c r="Q27" s="180">
        <f t="shared" si="2"/>
        <v>1533000</v>
      </c>
      <c r="R27" s="34">
        <f t="shared" si="3"/>
        <v>1533000</v>
      </c>
      <c r="S27" s="105"/>
      <c r="T27" s="34">
        <f t="shared" si="6"/>
        <v>0</v>
      </c>
      <c r="U27" s="79"/>
      <c r="V27" s="34">
        <f t="shared" si="7"/>
        <v>0</v>
      </c>
      <c r="W27" s="34">
        <f t="shared" si="8"/>
        <v>30660</v>
      </c>
      <c r="X27" s="51">
        <f t="shared" si="9"/>
        <v>1563660</v>
      </c>
      <c r="Y27" s="11" t="str">
        <f t="shared" si="4"/>
        <v>16</v>
      </c>
      <c r="Z27" s="258"/>
    </row>
    <row r="28" spans="1:28" s="114" customFormat="1" ht="20.25" customHeight="1">
      <c r="A28" s="22" t="s">
        <v>1126</v>
      </c>
      <c r="B28" s="37" t="s">
        <v>1198</v>
      </c>
      <c r="C28" s="38" t="s">
        <v>912</v>
      </c>
      <c r="D28" s="10" t="s">
        <v>246</v>
      </c>
      <c r="E28" s="80" t="s">
        <v>30</v>
      </c>
      <c r="F28" s="10">
        <v>3</v>
      </c>
      <c r="G28" s="50"/>
      <c r="H28" s="86">
        <f t="shared" si="5"/>
        <v>3</v>
      </c>
      <c r="I28" s="10">
        <v>0.15</v>
      </c>
      <c r="J28" s="88">
        <f t="shared" si="0"/>
        <v>3.15</v>
      </c>
      <c r="K28" s="34">
        <f t="shared" si="1"/>
        <v>3307500</v>
      </c>
      <c r="L28" s="334" t="s">
        <v>858</v>
      </c>
      <c r="M28" s="34">
        <f t="shared" si="10"/>
        <v>1653750</v>
      </c>
      <c r="N28" s="153">
        <f t="shared" si="11"/>
        <v>1050000</v>
      </c>
      <c r="O28" s="152">
        <v>26</v>
      </c>
      <c r="P28" s="10">
        <v>26</v>
      </c>
      <c r="Q28" s="180">
        <f t="shared" si="2"/>
        <v>1653750</v>
      </c>
      <c r="R28" s="34">
        <f t="shared" si="3"/>
        <v>1653750</v>
      </c>
      <c r="S28" s="105"/>
      <c r="T28" s="34">
        <f t="shared" si="6"/>
        <v>0</v>
      </c>
      <c r="U28" s="79"/>
      <c r="V28" s="34">
        <f t="shared" si="7"/>
        <v>0</v>
      </c>
      <c r="W28" s="34">
        <f t="shared" si="8"/>
        <v>33075</v>
      </c>
      <c r="X28" s="154">
        <f t="shared" si="9"/>
        <v>1686825</v>
      </c>
      <c r="Y28" s="11" t="str">
        <f t="shared" si="4"/>
        <v>17</v>
      </c>
      <c r="Z28" s="131"/>
    </row>
    <row r="29" spans="1:28" s="114" customFormat="1" ht="20.25" customHeight="1">
      <c r="A29" s="22" t="s">
        <v>1127</v>
      </c>
      <c r="B29" s="37" t="s">
        <v>1238</v>
      </c>
      <c r="C29" s="38" t="s">
        <v>1216</v>
      </c>
      <c r="D29" s="10" t="s">
        <v>247</v>
      </c>
      <c r="E29" s="80" t="s">
        <v>31</v>
      </c>
      <c r="F29" s="191">
        <v>2.67</v>
      </c>
      <c r="G29" s="50"/>
      <c r="H29" s="86">
        <f t="shared" si="5"/>
        <v>2.67</v>
      </c>
      <c r="I29" s="10"/>
      <c r="J29" s="88">
        <f t="shared" si="0"/>
        <v>2.67</v>
      </c>
      <c r="K29" s="34">
        <f t="shared" si="1"/>
        <v>2803500</v>
      </c>
      <c r="L29" s="334" t="s">
        <v>858</v>
      </c>
      <c r="M29" s="34">
        <f t="shared" si="10"/>
        <v>1401750</v>
      </c>
      <c r="N29" s="34">
        <f t="shared" si="11"/>
        <v>1050000</v>
      </c>
      <c r="O29" s="152">
        <v>26</v>
      </c>
      <c r="P29" s="257">
        <v>26</v>
      </c>
      <c r="Q29" s="180">
        <f t="shared" si="2"/>
        <v>1401750</v>
      </c>
      <c r="R29" s="34">
        <f t="shared" si="3"/>
        <v>1401750</v>
      </c>
      <c r="S29" s="105"/>
      <c r="T29" s="34">
        <f t="shared" si="6"/>
        <v>0</v>
      </c>
      <c r="U29" s="79"/>
      <c r="V29" s="34">
        <f t="shared" si="7"/>
        <v>0</v>
      </c>
      <c r="W29" s="34">
        <f t="shared" si="8"/>
        <v>28035</v>
      </c>
      <c r="X29" s="51">
        <f t="shared" si="9"/>
        <v>1429785</v>
      </c>
      <c r="Y29" s="11" t="str">
        <f t="shared" si="4"/>
        <v>18</v>
      </c>
      <c r="Z29" s="131"/>
    </row>
    <row r="30" spans="1:28" s="114" customFormat="1" ht="20.25" customHeight="1">
      <c r="A30" s="22" t="s">
        <v>1131</v>
      </c>
      <c r="B30" s="37" t="s">
        <v>1239</v>
      </c>
      <c r="C30" s="38" t="s">
        <v>1217</v>
      </c>
      <c r="D30" s="10" t="s">
        <v>248</v>
      </c>
      <c r="E30" s="80" t="s">
        <v>32</v>
      </c>
      <c r="F30" s="10">
        <v>3</v>
      </c>
      <c r="G30" s="50"/>
      <c r="H30" s="86">
        <f t="shared" si="5"/>
        <v>3</v>
      </c>
      <c r="I30" s="10">
        <v>0.15</v>
      </c>
      <c r="J30" s="88">
        <f t="shared" si="0"/>
        <v>3.15</v>
      </c>
      <c r="K30" s="34">
        <f t="shared" si="1"/>
        <v>3307500</v>
      </c>
      <c r="L30" s="334" t="s">
        <v>858</v>
      </c>
      <c r="M30" s="34">
        <f t="shared" si="10"/>
        <v>1653750</v>
      </c>
      <c r="N30" s="153">
        <f t="shared" si="11"/>
        <v>1050000</v>
      </c>
      <c r="O30" s="152">
        <v>26</v>
      </c>
      <c r="P30" s="257">
        <v>26</v>
      </c>
      <c r="Q30" s="180">
        <f t="shared" si="2"/>
        <v>1653750</v>
      </c>
      <c r="R30" s="34">
        <f t="shared" si="3"/>
        <v>1653750</v>
      </c>
      <c r="S30" s="105"/>
      <c r="T30" s="34">
        <f t="shared" si="6"/>
        <v>0</v>
      </c>
      <c r="U30" s="79"/>
      <c r="V30" s="34">
        <f t="shared" si="7"/>
        <v>0</v>
      </c>
      <c r="W30" s="34">
        <f t="shared" si="8"/>
        <v>33075</v>
      </c>
      <c r="X30" s="154">
        <f t="shared" si="9"/>
        <v>1686825</v>
      </c>
      <c r="Y30" s="11" t="str">
        <f t="shared" si="4"/>
        <v>19</v>
      </c>
      <c r="Z30" s="131"/>
    </row>
    <row r="31" spans="1:28" s="114" customFormat="1" ht="20.25" customHeight="1">
      <c r="A31" s="22" t="s">
        <v>1132</v>
      </c>
      <c r="B31" s="37" t="s">
        <v>1240</v>
      </c>
      <c r="C31" s="38" t="s">
        <v>1218</v>
      </c>
      <c r="D31" s="10" t="s">
        <v>249</v>
      </c>
      <c r="E31" s="80" t="s">
        <v>33</v>
      </c>
      <c r="F31" s="10">
        <v>2.67</v>
      </c>
      <c r="G31" s="50"/>
      <c r="H31" s="86">
        <f t="shared" si="5"/>
        <v>2.67</v>
      </c>
      <c r="I31" s="10"/>
      <c r="J31" s="88">
        <f t="shared" si="0"/>
        <v>2.67</v>
      </c>
      <c r="K31" s="34">
        <f t="shared" si="1"/>
        <v>2803500</v>
      </c>
      <c r="L31" s="334" t="s">
        <v>858</v>
      </c>
      <c r="M31" s="34">
        <f t="shared" si="10"/>
        <v>1401750</v>
      </c>
      <c r="N31" s="34">
        <f t="shared" si="11"/>
        <v>1050000</v>
      </c>
      <c r="O31" s="152">
        <v>26</v>
      </c>
      <c r="P31" s="257">
        <v>26</v>
      </c>
      <c r="Q31" s="180">
        <f t="shared" si="2"/>
        <v>1401750</v>
      </c>
      <c r="R31" s="34">
        <f t="shared" si="3"/>
        <v>1401750</v>
      </c>
      <c r="S31" s="105"/>
      <c r="T31" s="34">
        <f t="shared" si="6"/>
        <v>0</v>
      </c>
      <c r="U31" s="79"/>
      <c r="V31" s="34">
        <f t="shared" si="7"/>
        <v>0</v>
      </c>
      <c r="W31" s="34">
        <f t="shared" si="8"/>
        <v>28035</v>
      </c>
      <c r="X31" s="51">
        <f t="shared" si="9"/>
        <v>1429785</v>
      </c>
      <c r="Y31" s="11" t="str">
        <f t="shared" si="4"/>
        <v>20</v>
      </c>
      <c r="Z31" s="131"/>
    </row>
    <row r="32" spans="1:28" s="114" customFormat="1" ht="20.25" customHeight="1">
      <c r="A32" s="22" t="s">
        <v>1133</v>
      </c>
      <c r="B32" s="37" t="s">
        <v>1241</v>
      </c>
      <c r="C32" s="38" t="s">
        <v>990</v>
      </c>
      <c r="D32" s="10" t="s">
        <v>250</v>
      </c>
      <c r="E32" s="80" t="s">
        <v>34</v>
      </c>
      <c r="F32" s="10">
        <v>2.67</v>
      </c>
      <c r="G32" s="50"/>
      <c r="H32" s="86">
        <f t="shared" si="5"/>
        <v>2.67</v>
      </c>
      <c r="I32" s="10">
        <v>0.15</v>
      </c>
      <c r="J32" s="88">
        <f t="shared" si="0"/>
        <v>2.82</v>
      </c>
      <c r="K32" s="34">
        <f t="shared" si="1"/>
        <v>2961000</v>
      </c>
      <c r="L32" s="334" t="s">
        <v>858</v>
      </c>
      <c r="M32" s="34">
        <f t="shared" si="10"/>
        <v>1480500</v>
      </c>
      <c r="N32" s="153">
        <f t="shared" si="11"/>
        <v>1050000</v>
      </c>
      <c r="O32" s="152">
        <v>26</v>
      </c>
      <c r="P32" s="257">
        <v>26</v>
      </c>
      <c r="Q32" s="180">
        <f t="shared" si="2"/>
        <v>1480500</v>
      </c>
      <c r="R32" s="34">
        <f t="shared" si="3"/>
        <v>1480500</v>
      </c>
      <c r="S32" s="105"/>
      <c r="T32" s="34">
        <f t="shared" si="6"/>
        <v>0</v>
      </c>
      <c r="U32" s="79"/>
      <c r="V32" s="34">
        <f t="shared" si="7"/>
        <v>0</v>
      </c>
      <c r="W32" s="34">
        <f t="shared" si="8"/>
        <v>29610</v>
      </c>
      <c r="X32" s="154">
        <f t="shared" si="9"/>
        <v>1510110</v>
      </c>
      <c r="Y32" s="11" t="str">
        <f t="shared" si="4"/>
        <v>21</v>
      </c>
      <c r="Z32" s="131"/>
    </row>
    <row r="33" spans="1:29" s="114" customFormat="1" ht="15.75">
      <c r="A33" s="22" t="s">
        <v>1142</v>
      </c>
      <c r="B33" s="37" t="s">
        <v>1242</v>
      </c>
      <c r="C33" s="38" t="s">
        <v>1103</v>
      </c>
      <c r="D33" s="10" t="s">
        <v>251</v>
      </c>
      <c r="E33" s="80" t="s">
        <v>35</v>
      </c>
      <c r="F33" s="10">
        <v>2.67</v>
      </c>
      <c r="G33" s="50"/>
      <c r="H33" s="86">
        <f t="shared" si="5"/>
        <v>2.67</v>
      </c>
      <c r="I33" s="88">
        <v>0.25</v>
      </c>
      <c r="J33" s="88">
        <f t="shared" si="0"/>
        <v>2.92</v>
      </c>
      <c r="K33" s="34">
        <f t="shared" si="1"/>
        <v>3066000</v>
      </c>
      <c r="L33" s="334" t="s">
        <v>525</v>
      </c>
      <c r="M33" s="34">
        <f t="shared" si="10"/>
        <v>1149750</v>
      </c>
      <c r="N33" s="34">
        <f t="shared" si="11"/>
        <v>735000</v>
      </c>
      <c r="O33" s="152">
        <v>26</v>
      </c>
      <c r="P33" s="10">
        <v>26</v>
      </c>
      <c r="Q33" s="180">
        <f t="shared" si="2"/>
        <v>1149750</v>
      </c>
      <c r="R33" s="34">
        <f t="shared" si="3"/>
        <v>1149750</v>
      </c>
      <c r="S33" s="105"/>
      <c r="T33" s="34">
        <f t="shared" si="6"/>
        <v>0</v>
      </c>
      <c r="U33" s="79"/>
      <c r="V33" s="34">
        <f t="shared" si="7"/>
        <v>0</v>
      </c>
      <c r="W33" s="34">
        <f t="shared" si="8"/>
        <v>30660</v>
      </c>
      <c r="X33" s="51">
        <f t="shared" si="9"/>
        <v>1180410</v>
      </c>
      <c r="Y33" s="11" t="str">
        <f t="shared" si="4"/>
        <v>22</v>
      </c>
      <c r="Z33" s="131" t="s">
        <v>828</v>
      </c>
      <c r="AA33" s="335" t="s">
        <v>791</v>
      </c>
    </row>
    <row r="34" spans="1:29" s="114" customFormat="1" ht="20.25" customHeight="1">
      <c r="A34" s="22" t="s">
        <v>1143</v>
      </c>
      <c r="B34" s="37" t="s">
        <v>1243</v>
      </c>
      <c r="C34" s="38" t="s">
        <v>996</v>
      </c>
      <c r="D34" s="10" t="s">
        <v>252</v>
      </c>
      <c r="E34" s="80" t="s">
        <v>36</v>
      </c>
      <c r="F34" s="10">
        <v>2.67</v>
      </c>
      <c r="G34" s="50"/>
      <c r="H34" s="86">
        <f t="shared" si="5"/>
        <v>2.67</v>
      </c>
      <c r="I34" s="10">
        <v>0.15</v>
      </c>
      <c r="J34" s="88">
        <f t="shared" si="0"/>
        <v>2.82</v>
      </c>
      <c r="K34" s="34">
        <f t="shared" si="1"/>
        <v>2961000</v>
      </c>
      <c r="L34" s="334" t="s">
        <v>858</v>
      </c>
      <c r="M34" s="34">
        <f t="shared" si="10"/>
        <v>1480500</v>
      </c>
      <c r="N34" s="153">
        <f t="shared" si="11"/>
        <v>1050000</v>
      </c>
      <c r="O34" s="152">
        <v>26</v>
      </c>
      <c r="P34" s="257">
        <v>26</v>
      </c>
      <c r="Q34" s="180">
        <f t="shared" si="2"/>
        <v>1480500</v>
      </c>
      <c r="R34" s="34">
        <f t="shared" si="3"/>
        <v>1480500</v>
      </c>
      <c r="S34" s="105"/>
      <c r="T34" s="34">
        <f t="shared" si="6"/>
        <v>0</v>
      </c>
      <c r="U34" s="79"/>
      <c r="V34" s="34">
        <f t="shared" si="7"/>
        <v>0</v>
      </c>
      <c r="W34" s="34">
        <f t="shared" si="8"/>
        <v>29610</v>
      </c>
      <c r="X34" s="154">
        <f t="shared" si="9"/>
        <v>1510110</v>
      </c>
      <c r="Y34" s="11" t="str">
        <f t="shared" si="4"/>
        <v>23</v>
      </c>
      <c r="Z34" s="131"/>
    </row>
    <row r="35" spans="1:29" s="114" customFormat="1" ht="20.25" customHeight="1">
      <c r="A35" s="22" t="s">
        <v>1144</v>
      </c>
      <c r="B35" s="37" t="s">
        <v>1244</v>
      </c>
      <c r="C35" s="38" t="s">
        <v>1106</v>
      </c>
      <c r="D35" s="10" t="s">
        <v>253</v>
      </c>
      <c r="E35" s="80" t="s">
        <v>37</v>
      </c>
      <c r="F35" s="10">
        <v>2.67</v>
      </c>
      <c r="G35" s="50"/>
      <c r="H35" s="86">
        <f t="shared" si="5"/>
        <v>2.67</v>
      </c>
      <c r="I35" s="10"/>
      <c r="J35" s="88">
        <f t="shared" si="0"/>
        <v>2.67</v>
      </c>
      <c r="K35" s="34">
        <f t="shared" si="1"/>
        <v>2803500</v>
      </c>
      <c r="L35" s="334" t="s">
        <v>858</v>
      </c>
      <c r="M35" s="34">
        <f t="shared" si="10"/>
        <v>1401750</v>
      </c>
      <c r="N35" s="34">
        <f t="shared" si="11"/>
        <v>1050000</v>
      </c>
      <c r="O35" s="152">
        <v>26</v>
      </c>
      <c r="P35" s="257">
        <v>26</v>
      </c>
      <c r="Q35" s="180">
        <f t="shared" si="2"/>
        <v>1401750</v>
      </c>
      <c r="R35" s="34">
        <f t="shared" si="3"/>
        <v>1401750</v>
      </c>
      <c r="S35" s="105"/>
      <c r="T35" s="34">
        <f t="shared" si="6"/>
        <v>0</v>
      </c>
      <c r="U35" s="79"/>
      <c r="V35" s="34">
        <f t="shared" si="7"/>
        <v>0</v>
      </c>
      <c r="W35" s="34">
        <f t="shared" si="8"/>
        <v>28035</v>
      </c>
      <c r="X35" s="51">
        <f t="shared" si="9"/>
        <v>1429785</v>
      </c>
      <c r="Y35" s="11" t="str">
        <f t="shared" si="4"/>
        <v>24</v>
      </c>
      <c r="Z35" s="131"/>
    </row>
    <row r="36" spans="1:29" s="114" customFormat="1" ht="15.75">
      <c r="A36" s="22" t="s">
        <v>1145</v>
      </c>
      <c r="B36" s="37" t="s">
        <v>1245</v>
      </c>
      <c r="C36" s="38" t="s">
        <v>865</v>
      </c>
      <c r="D36" s="10" t="s">
        <v>254</v>
      </c>
      <c r="E36" s="80" t="s">
        <v>38</v>
      </c>
      <c r="F36" s="10">
        <v>2.67</v>
      </c>
      <c r="G36" s="50"/>
      <c r="H36" s="86">
        <f t="shared" si="5"/>
        <v>2.67</v>
      </c>
      <c r="I36" s="10"/>
      <c r="J36" s="88">
        <f t="shared" si="0"/>
        <v>2.67</v>
      </c>
      <c r="K36" s="34">
        <f t="shared" si="1"/>
        <v>2803500</v>
      </c>
      <c r="L36" s="334" t="s">
        <v>858</v>
      </c>
      <c r="M36" s="34">
        <f t="shared" si="10"/>
        <v>1401750</v>
      </c>
      <c r="N36" s="153">
        <f t="shared" si="11"/>
        <v>1050000</v>
      </c>
      <c r="O36" s="152">
        <v>26</v>
      </c>
      <c r="P36" s="10">
        <v>26</v>
      </c>
      <c r="Q36" s="180">
        <f t="shared" si="2"/>
        <v>1401750</v>
      </c>
      <c r="R36" s="34">
        <f t="shared" si="3"/>
        <v>1401750</v>
      </c>
      <c r="S36" s="105"/>
      <c r="T36" s="34">
        <f t="shared" si="6"/>
        <v>0</v>
      </c>
      <c r="U36" s="79"/>
      <c r="V36" s="34">
        <f t="shared" si="7"/>
        <v>0</v>
      </c>
      <c r="W36" s="34">
        <f t="shared" si="8"/>
        <v>28035</v>
      </c>
      <c r="X36" s="154">
        <f t="shared" si="9"/>
        <v>1429785</v>
      </c>
      <c r="Y36" s="11" t="str">
        <f t="shared" si="4"/>
        <v>25</v>
      </c>
      <c r="Z36" s="258"/>
    </row>
    <row r="37" spans="1:29" s="114" customFormat="1" ht="19.5" customHeight="1">
      <c r="A37" s="22" t="s">
        <v>1146</v>
      </c>
      <c r="B37" s="37" t="s">
        <v>1246</v>
      </c>
      <c r="C37" s="38" t="s">
        <v>1219</v>
      </c>
      <c r="D37" s="10" t="s">
        <v>255</v>
      </c>
      <c r="E37" s="80" t="s">
        <v>39</v>
      </c>
      <c r="F37" s="10">
        <v>3</v>
      </c>
      <c r="G37" s="50"/>
      <c r="H37" s="86">
        <f t="shared" si="5"/>
        <v>3</v>
      </c>
      <c r="I37" s="10"/>
      <c r="J37" s="88">
        <f t="shared" si="0"/>
        <v>3</v>
      </c>
      <c r="K37" s="34">
        <f t="shared" si="1"/>
        <v>3150000</v>
      </c>
      <c r="L37" s="334" t="s">
        <v>858</v>
      </c>
      <c r="M37" s="34">
        <f t="shared" si="10"/>
        <v>1575000</v>
      </c>
      <c r="N37" s="34">
        <f t="shared" si="11"/>
        <v>1050000</v>
      </c>
      <c r="O37" s="152">
        <v>26</v>
      </c>
      <c r="P37" s="257">
        <v>26</v>
      </c>
      <c r="Q37" s="180">
        <f t="shared" si="2"/>
        <v>1575000</v>
      </c>
      <c r="R37" s="34">
        <f t="shared" si="3"/>
        <v>1575000</v>
      </c>
      <c r="S37" s="105"/>
      <c r="T37" s="34">
        <f t="shared" si="6"/>
        <v>0</v>
      </c>
      <c r="U37" s="79"/>
      <c r="V37" s="34">
        <f t="shared" si="7"/>
        <v>0</v>
      </c>
      <c r="W37" s="34">
        <f t="shared" si="8"/>
        <v>31500</v>
      </c>
      <c r="X37" s="51">
        <f t="shared" si="9"/>
        <v>1606500</v>
      </c>
      <c r="Y37" s="11" t="str">
        <f t="shared" si="4"/>
        <v>26</v>
      </c>
      <c r="Z37" s="131"/>
    </row>
    <row r="38" spans="1:29" s="114" customFormat="1" ht="25.5">
      <c r="A38" s="266" t="s">
        <v>1147</v>
      </c>
      <c r="B38" s="237" t="s">
        <v>44</v>
      </c>
      <c r="C38" s="238" t="s">
        <v>1203</v>
      </c>
      <c r="D38" s="241" t="s">
        <v>256</v>
      </c>
      <c r="E38" s="240" t="s">
        <v>43</v>
      </c>
      <c r="F38" s="267">
        <v>3.66</v>
      </c>
      <c r="G38" s="268"/>
      <c r="H38" s="243">
        <f>F38+(F38*G38)</f>
        <v>3.66</v>
      </c>
      <c r="I38" s="241"/>
      <c r="J38" s="267">
        <f t="shared" si="0"/>
        <v>3.66</v>
      </c>
      <c r="K38" s="245">
        <f>J38*$I$8</f>
        <v>3843000</v>
      </c>
      <c r="L38" s="334" t="s">
        <v>785</v>
      </c>
      <c r="M38" s="34">
        <f t="shared" si="10"/>
        <v>0</v>
      </c>
      <c r="N38" s="277">
        <f t="shared" si="11"/>
        <v>0</v>
      </c>
      <c r="O38" s="282">
        <v>0</v>
      </c>
      <c r="P38" s="241">
        <v>0</v>
      </c>
      <c r="Q38" s="269">
        <f t="shared" si="2"/>
        <v>0</v>
      </c>
      <c r="R38" s="245">
        <f t="shared" si="3"/>
        <v>0</v>
      </c>
      <c r="S38" s="270"/>
      <c r="T38" s="245">
        <f t="shared" si="6"/>
        <v>0</v>
      </c>
      <c r="U38" s="249"/>
      <c r="V38" s="245">
        <f t="shared" si="7"/>
        <v>0</v>
      </c>
      <c r="W38" s="245">
        <v>0</v>
      </c>
      <c r="X38" s="278">
        <f t="shared" si="9"/>
        <v>0</v>
      </c>
      <c r="Y38" s="251" t="str">
        <f t="shared" si="4"/>
        <v>27</v>
      </c>
      <c r="Z38" s="271" t="s">
        <v>776</v>
      </c>
    </row>
    <row r="39" spans="1:29" s="114" customFormat="1" ht="19.5" customHeight="1">
      <c r="A39" s="22" t="s">
        <v>1148</v>
      </c>
      <c r="B39" s="37" t="s">
        <v>298</v>
      </c>
      <c r="C39" s="38" t="s">
        <v>49</v>
      </c>
      <c r="D39" s="10" t="s">
        <v>348</v>
      </c>
      <c r="E39" s="107">
        <v>1603205183170</v>
      </c>
      <c r="F39" s="88">
        <v>2.34</v>
      </c>
      <c r="G39" s="50"/>
      <c r="H39" s="86">
        <f>F39+(F39*G39)</f>
        <v>2.34</v>
      </c>
      <c r="I39" s="10"/>
      <c r="J39" s="88">
        <f t="shared" si="0"/>
        <v>2.34</v>
      </c>
      <c r="K39" s="34">
        <f>J39*$I$8</f>
        <v>2457000</v>
      </c>
      <c r="L39" s="334" t="s">
        <v>858</v>
      </c>
      <c r="M39" s="34">
        <f t="shared" si="10"/>
        <v>1228500</v>
      </c>
      <c r="N39" s="34">
        <f t="shared" si="11"/>
        <v>1050000</v>
      </c>
      <c r="O39" s="152">
        <v>26</v>
      </c>
      <c r="P39" s="10">
        <v>26</v>
      </c>
      <c r="Q39" s="180">
        <f t="shared" si="2"/>
        <v>1228500</v>
      </c>
      <c r="R39" s="34">
        <f t="shared" si="3"/>
        <v>1228500</v>
      </c>
      <c r="S39" s="105"/>
      <c r="T39" s="34">
        <f t="shared" si="6"/>
        <v>0</v>
      </c>
      <c r="U39" s="79"/>
      <c r="V39" s="34">
        <f t="shared" si="7"/>
        <v>0</v>
      </c>
      <c r="W39" s="34">
        <f t="shared" si="8"/>
        <v>24570</v>
      </c>
      <c r="X39" s="51">
        <f t="shared" si="9"/>
        <v>1253070</v>
      </c>
      <c r="Y39" s="11" t="str">
        <f t="shared" si="4"/>
        <v>28</v>
      </c>
      <c r="Z39" s="131"/>
    </row>
    <row r="40" spans="1:29" s="114" customFormat="1" ht="19.5" customHeight="1">
      <c r="A40" s="22" t="s">
        <v>1149</v>
      </c>
      <c r="B40" s="37" t="s">
        <v>299</v>
      </c>
      <c r="C40" s="38" t="s">
        <v>974</v>
      </c>
      <c r="D40" s="10" t="s">
        <v>349</v>
      </c>
      <c r="E40" s="107">
        <v>1603205183062</v>
      </c>
      <c r="F40" s="88">
        <v>2.34</v>
      </c>
      <c r="G40" s="50"/>
      <c r="H40" s="86">
        <f t="shared" ref="H40:H60" si="12">F40+(F40*G40)</f>
        <v>2.34</v>
      </c>
      <c r="I40" s="10"/>
      <c r="J40" s="88">
        <f t="shared" si="0"/>
        <v>2.34</v>
      </c>
      <c r="K40" s="34">
        <f t="shared" ref="K40:K71" si="13">J40*$I$8</f>
        <v>2457000</v>
      </c>
      <c r="L40" s="334" t="s">
        <v>858</v>
      </c>
      <c r="M40" s="34">
        <f t="shared" si="10"/>
        <v>1228500</v>
      </c>
      <c r="N40" s="153">
        <f t="shared" si="11"/>
        <v>1050000</v>
      </c>
      <c r="O40" s="152">
        <v>26</v>
      </c>
      <c r="P40" s="257">
        <v>25</v>
      </c>
      <c r="Q40" s="180">
        <f t="shared" si="2"/>
        <v>1228500</v>
      </c>
      <c r="R40" s="34">
        <f t="shared" si="3"/>
        <v>1181250</v>
      </c>
      <c r="S40" s="105"/>
      <c r="T40" s="34">
        <f t="shared" si="6"/>
        <v>0</v>
      </c>
      <c r="U40" s="79"/>
      <c r="V40" s="34">
        <f t="shared" si="7"/>
        <v>0</v>
      </c>
      <c r="W40" s="34">
        <f t="shared" si="8"/>
        <v>24570</v>
      </c>
      <c r="X40" s="154">
        <f t="shared" si="9"/>
        <v>1205820</v>
      </c>
      <c r="Y40" s="11" t="str">
        <f t="shared" si="4"/>
        <v>29</v>
      </c>
      <c r="Z40" s="131" t="s">
        <v>783</v>
      </c>
    </row>
    <row r="41" spans="1:29" s="114" customFormat="1" ht="24" customHeight="1">
      <c r="A41" s="22" t="s">
        <v>1150</v>
      </c>
      <c r="B41" s="37" t="s">
        <v>300</v>
      </c>
      <c r="C41" s="38" t="s">
        <v>883</v>
      </c>
      <c r="D41" s="10" t="s">
        <v>350</v>
      </c>
      <c r="E41" s="107">
        <v>1603205246105</v>
      </c>
      <c r="F41" s="88">
        <v>2.34</v>
      </c>
      <c r="G41" s="50"/>
      <c r="H41" s="86">
        <f t="shared" si="12"/>
        <v>2.34</v>
      </c>
      <c r="I41" s="10"/>
      <c r="J41" s="88">
        <f t="shared" si="0"/>
        <v>2.34</v>
      </c>
      <c r="K41" s="34">
        <f t="shared" si="13"/>
        <v>2457000</v>
      </c>
      <c r="L41" s="334" t="s">
        <v>858</v>
      </c>
      <c r="M41" s="34">
        <f t="shared" si="10"/>
        <v>1228500</v>
      </c>
      <c r="N41" s="34">
        <f t="shared" si="11"/>
        <v>1050000</v>
      </c>
      <c r="O41" s="152">
        <v>26</v>
      </c>
      <c r="P41" s="10">
        <v>26</v>
      </c>
      <c r="Q41" s="180">
        <f t="shared" si="2"/>
        <v>1228500</v>
      </c>
      <c r="R41" s="34">
        <f t="shared" si="3"/>
        <v>1228500</v>
      </c>
      <c r="S41" s="105"/>
      <c r="T41" s="34">
        <f t="shared" si="6"/>
        <v>0</v>
      </c>
      <c r="U41" s="79"/>
      <c r="V41" s="34">
        <f t="shared" si="7"/>
        <v>0</v>
      </c>
      <c r="W41" s="34">
        <f t="shared" si="8"/>
        <v>24570</v>
      </c>
      <c r="X41" s="51">
        <f t="shared" si="9"/>
        <v>1253070</v>
      </c>
      <c r="Y41" s="11" t="str">
        <f t="shared" si="4"/>
        <v>30</v>
      </c>
      <c r="Z41" s="131"/>
    </row>
    <row r="42" spans="1:29" s="114" customFormat="1" ht="25.5">
      <c r="A42" s="22" t="s">
        <v>1151</v>
      </c>
      <c r="B42" s="37" t="s">
        <v>301</v>
      </c>
      <c r="C42" s="38" t="s">
        <v>292</v>
      </c>
      <c r="D42" s="10" t="s">
        <v>351</v>
      </c>
      <c r="E42" s="80" t="s">
        <v>397</v>
      </c>
      <c r="F42" s="88">
        <v>2.34</v>
      </c>
      <c r="G42" s="50"/>
      <c r="H42" s="86">
        <f t="shared" si="12"/>
        <v>2.34</v>
      </c>
      <c r="I42" s="10">
        <v>0.15</v>
      </c>
      <c r="J42" s="88">
        <f t="shared" si="0"/>
        <v>2.4899999999999998</v>
      </c>
      <c r="K42" s="34">
        <f t="shared" si="13"/>
        <v>2614499.9999999995</v>
      </c>
      <c r="L42" s="334" t="s">
        <v>858</v>
      </c>
      <c r="M42" s="34">
        <f t="shared" si="10"/>
        <v>1307249.9999999998</v>
      </c>
      <c r="N42" s="153">
        <f t="shared" si="11"/>
        <v>1050000</v>
      </c>
      <c r="O42" s="152">
        <v>26</v>
      </c>
      <c r="P42" s="10">
        <v>2</v>
      </c>
      <c r="Q42" s="180">
        <f t="shared" si="2"/>
        <v>1307249.9999999998</v>
      </c>
      <c r="R42" s="34">
        <f t="shared" si="3"/>
        <v>100558</v>
      </c>
      <c r="S42" s="105"/>
      <c r="T42" s="34">
        <f t="shared" si="6"/>
        <v>0</v>
      </c>
      <c r="U42" s="79"/>
      <c r="V42" s="34">
        <f t="shared" si="7"/>
        <v>0</v>
      </c>
      <c r="W42" s="34">
        <f t="shared" si="8"/>
        <v>26144.999999999996</v>
      </c>
      <c r="X42" s="154">
        <f t="shared" si="9"/>
        <v>126703</v>
      </c>
      <c r="Y42" s="11" t="str">
        <f t="shared" si="4"/>
        <v>31</v>
      </c>
      <c r="Z42" s="131" t="s">
        <v>796</v>
      </c>
    </row>
    <row r="43" spans="1:29" s="114" customFormat="1" ht="19.5" customHeight="1">
      <c r="A43" s="22" t="s">
        <v>1152</v>
      </c>
      <c r="B43" s="37" t="s">
        <v>1234</v>
      </c>
      <c r="C43" s="38" t="s">
        <v>293</v>
      </c>
      <c r="D43" s="10" t="s">
        <v>352</v>
      </c>
      <c r="E43" s="80" t="s">
        <v>398</v>
      </c>
      <c r="F43" s="88">
        <v>2.34</v>
      </c>
      <c r="G43" s="50"/>
      <c r="H43" s="86">
        <f t="shared" si="12"/>
        <v>2.34</v>
      </c>
      <c r="I43" s="10"/>
      <c r="J43" s="88">
        <f t="shared" si="0"/>
        <v>2.34</v>
      </c>
      <c r="K43" s="34">
        <f t="shared" si="13"/>
        <v>2457000</v>
      </c>
      <c r="L43" s="334" t="s">
        <v>858</v>
      </c>
      <c r="M43" s="34">
        <f t="shared" si="10"/>
        <v>1228500</v>
      </c>
      <c r="N43" s="34">
        <f t="shared" si="11"/>
        <v>1050000</v>
      </c>
      <c r="O43" s="152">
        <v>26</v>
      </c>
      <c r="P43" s="257">
        <v>26</v>
      </c>
      <c r="Q43" s="180">
        <f t="shared" si="2"/>
        <v>1228500</v>
      </c>
      <c r="R43" s="34">
        <f t="shared" si="3"/>
        <v>1228500</v>
      </c>
      <c r="S43" s="105"/>
      <c r="T43" s="34">
        <f t="shared" si="6"/>
        <v>0</v>
      </c>
      <c r="U43" s="79"/>
      <c r="V43" s="34">
        <f t="shared" si="7"/>
        <v>0</v>
      </c>
      <c r="W43" s="34">
        <f t="shared" si="8"/>
        <v>24570</v>
      </c>
      <c r="X43" s="51">
        <f t="shared" si="9"/>
        <v>1253070</v>
      </c>
      <c r="Y43" s="11" t="str">
        <f t="shared" si="4"/>
        <v>32</v>
      </c>
      <c r="Z43" s="131"/>
    </row>
    <row r="44" spans="1:29" s="114" customFormat="1" ht="15.75">
      <c r="A44" s="22" t="s">
        <v>1153</v>
      </c>
      <c r="B44" s="37" t="s">
        <v>302</v>
      </c>
      <c r="C44" s="38" t="s">
        <v>283</v>
      </c>
      <c r="D44" s="10" t="s">
        <v>353</v>
      </c>
      <c r="E44" s="80" t="s">
        <v>399</v>
      </c>
      <c r="F44" s="88">
        <v>2.34</v>
      </c>
      <c r="G44" s="50"/>
      <c r="H44" s="86">
        <f t="shared" si="12"/>
        <v>2.34</v>
      </c>
      <c r="I44" s="10"/>
      <c r="J44" s="88">
        <f t="shared" si="0"/>
        <v>2.34</v>
      </c>
      <c r="K44" s="34">
        <f t="shared" si="13"/>
        <v>2457000</v>
      </c>
      <c r="L44" s="334" t="s">
        <v>858</v>
      </c>
      <c r="M44" s="34">
        <f t="shared" si="10"/>
        <v>1228500</v>
      </c>
      <c r="N44" s="153">
        <f t="shared" si="11"/>
        <v>1050000</v>
      </c>
      <c r="O44" s="152">
        <v>26</v>
      </c>
      <c r="P44" s="257">
        <v>26</v>
      </c>
      <c r="Q44" s="180">
        <f t="shared" si="2"/>
        <v>1228500</v>
      </c>
      <c r="R44" s="34">
        <f t="shared" si="3"/>
        <v>1228500</v>
      </c>
      <c r="S44" s="105"/>
      <c r="T44" s="34">
        <f t="shared" si="6"/>
        <v>0</v>
      </c>
      <c r="U44" s="79"/>
      <c r="V44" s="34">
        <f t="shared" si="7"/>
        <v>0</v>
      </c>
      <c r="W44" s="34">
        <f t="shared" si="8"/>
        <v>24570</v>
      </c>
      <c r="X44" s="154">
        <f t="shared" si="9"/>
        <v>1253070</v>
      </c>
      <c r="Y44" s="11" t="str">
        <f t="shared" si="4"/>
        <v>33</v>
      </c>
      <c r="Z44" s="131"/>
    </row>
    <row r="45" spans="1:29" s="114" customFormat="1" ht="18.75" customHeight="1">
      <c r="A45" s="22" t="s">
        <v>1154</v>
      </c>
      <c r="B45" s="37" t="s">
        <v>890</v>
      </c>
      <c r="C45" s="38" t="s">
        <v>294</v>
      </c>
      <c r="D45" s="10" t="s">
        <v>354</v>
      </c>
      <c r="E45" s="80" t="s">
        <v>400</v>
      </c>
      <c r="F45" s="88">
        <v>2.34</v>
      </c>
      <c r="G45" s="50"/>
      <c r="H45" s="86">
        <f t="shared" si="12"/>
        <v>2.34</v>
      </c>
      <c r="I45" s="10"/>
      <c r="J45" s="88">
        <f t="shared" si="0"/>
        <v>2.34</v>
      </c>
      <c r="K45" s="34">
        <f t="shared" si="13"/>
        <v>2457000</v>
      </c>
      <c r="L45" s="334" t="s">
        <v>858</v>
      </c>
      <c r="M45" s="34">
        <f t="shared" si="10"/>
        <v>1228500</v>
      </c>
      <c r="N45" s="34">
        <f t="shared" si="11"/>
        <v>1050000</v>
      </c>
      <c r="O45" s="152">
        <v>26</v>
      </c>
      <c r="P45" s="10">
        <v>26</v>
      </c>
      <c r="Q45" s="180">
        <f t="shared" si="2"/>
        <v>1228500</v>
      </c>
      <c r="R45" s="34">
        <f t="shared" si="3"/>
        <v>1228500</v>
      </c>
      <c r="S45" s="105"/>
      <c r="T45" s="34">
        <f t="shared" si="6"/>
        <v>0</v>
      </c>
      <c r="U45" s="79"/>
      <c r="V45" s="34">
        <f t="shared" si="7"/>
        <v>0</v>
      </c>
      <c r="W45" s="34">
        <f t="shared" si="8"/>
        <v>24570</v>
      </c>
      <c r="X45" s="51">
        <f t="shared" si="9"/>
        <v>1253070</v>
      </c>
      <c r="Y45" s="11" t="str">
        <f t="shared" si="4"/>
        <v>34</v>
      </c>
      <c r="Z45" s="131"/>
    </row>
    <row r="46" spans="1:29" s="114" customFormat="1" ht="18.75" customHeight="1">
      <c r="A46" s="22" t="s">
        <v>1155</v>
      </c>
      <c r="B46" s="37" t="s">
        <v>1002</v>
      </c>
      <c r="C46" s="38" t="s">
        <v>295</v>
      </c>
      <c r="D46" s="10" t="s">
        <v>355</v>
      </c>
      <c r="E46" s="80" t="s">
        <v>401</v>
      </c>
      <c r="F46" s="88">
        <v>2.34</v>
      </c>
      <c r="G46" s="50"/>
      <c r="H46" s="86">
        <f t="shared" si="12"/>
        <v>2.34</v>
      </c>
      <c r="I46" s="10"/>
      <c r="J46" s="88">
        <f t="shared" si="0"/>
        <v>2.34</v>
      </c>
      <c r="K46" s="34">
        <f t="shared" si="13"/>
        <v>2457000</v>
      </c>
      <c r="L46" s="334" t="s">
        <v>858</v>
      </c>
      <c r="M46" s="34">
        <f t="shared" si="10"/>
        <v>1228500</v>
      </c>
      <c r="N46" s="153">
        <f t="shared" si="11"/>
        <v>1050000</v>
      </c>
      <c r="O46" s="152">
        <v>26</v>
      </c>
      <c r="P46" s="10">
        <v>26</v>
      </c>
      <c r="Q46" s="180">
        <f t="shared" si="2"/>
        <v>1228500</v>
      </c>
      <c r="R46" s="34">
        <f t="shared" si="3"/>
        <v>1228500</v>
      </c>
      <c r="S46" s="105"/>
      <c r="T46" s="34">
        <f t="shared" si="6"/>
        <v>0</v>
      </c>
      <c r="U46" s="79"/>
      <c r="V46" s="34">
        <f t="shared" si="7"/>
        <v>0</v>
      </c>
      <c r="W46" s="34">
        <f t="shared" si="8"/>
        <v>24570</v>
      </c>
      <c r="X46" s="154">
        <f t="shared" si="9"/>
        <v>1253070</v>
      </c>
      <c r="Y46" s="11" t="str">
        <f t="shared" si="4"/>
        <v>35</v>
      </c>
      <c r="Z46" s="131"/>
    </row>
    <row r="47" spans="1:29" s="114" customFormat="1" ht="16.5" customHeight="1">
      <c r="A47" s="22" t="s">
        <v>1156</v>
      </c>
      <c r="B47" s="37" t="s">
        <v>303</v>
      </c>
      <c r="C47" s="38" t="s">
        <v>296</v>
      </c>
      <c r="D47" s="10" t="s">
        <v>356</v>
      </c>
      <c r="E47" s="80" t="s">
        <v>402</v>
      </c>
      <c r="F47" s="88">
        <v>2.67</v>
      </c>
      <c r="G47" s="50"/>
      <c r="H47" s="86">
        <f t="shared" si="12"/>
        <v>2.67</v>
      </c>
      <c r="I47" s="10"/>
      <c r="J47" s="88">
        <f t="shared" si="0"/>
        <v>2.67</v>
      </c>
      <c r="K47" s="34">
        <f t="shared" si="13"/>
        <v>2803500</v>
      </c>
      <c r="L47" s="334" t="s">
        <v>858</v>
      </c>
      <c r="M47" s="34">
        <f t="shared" si="10"/>
        <v>1401750</v>
      </c>
      <c r="N47" s="34">
        <f t="shared" si="11"/>
        <v>1050000</v>
      </c>
      <c r="O47" s="152">
        <v>26</v>
      </c>
      <c r="P47" s="257">
        <v>26</v>
      </c>
      <c r="Q47" s="180">
        <f t="shared" si="2"/>
        <v>1401750</v>
      </c>
      <c r="R47" s="34">
        <f t="shared" si="3"/>
        <v>1401750</v>
      </c>
      <c r="S47" s="105"/>
      <c r="T47" s="34">
        <f t="shared" si="6"/>
        <v>0</v>
      </c>
      <c r="U47" s="79"/>
      <c r="V47" s="34">
        <f t="shared" si="7"/>
        <v>0</v>
      </c>
      <c r="W47" s="34">
        <f t="shared" si="8"/>
        <v>28035</v>
      </c>
      <c r="X47" s="51">
        <f t="shared" si="9"/>
        <v>1429785</v>
      </c>
      <c r="Y47" s="11" t="str">
        <f t="shared" si="4"/>
        <v>36</v>
      </c>
      <c r="Z47" s="131"/>
    </row>
    <row r="48" spans="1:29" s="114" customFormat="1" ht="19.5" customHeight="1">
      <c r="A48" s="22" t="s">
        <v>1157</v>
      </c>
      <c r="B48" s="37" t="s">
        <v>304</v>
      </c>
      <c r="C48" s="38" t="s">
        <v>863</v>
      </c>
      <c r="D48" s="10" t="s">
        <v>357</v>
      </c>
      <c r="E48" s="80" t="s">
        <v>403</v>
      </c>
      <c r="F48" s="88">
        <v>2.34</v>
      </c>
      <c r="G48" s="50"/>
      <c r="H48" s="86">
        <f t="shared" si="12"/>
        <v>2.34</v>
      </c>
      <c r="I48" s="10"/>
      <c r="J48" s="88">
        <f t="shared" si="0"/>
        <v>2.34</v>
      </c>
      <c r="K48" s="34">
        <f t="shared" si="13"/>
        <v>2457000</v>
      </c>
      <c r="L48" s="334" t="s">
        <v>858</v>
      </c>
      <c r="M48" s="34">
        <f t="shared" si="10"/>
        <v>1228500</v>
      </c>
      <c r="N48" s="153">
        <f t="shared" si="11"/>
        <v>1050000</v>
      </c>
      <c r="O48" s="152">
        <v>26</v>
      </c>
      <c r="P48" s="10">
        <v>26</v>
      </c>
      <c r="Q48" s="180">
        <f t="shared" si="2"/>
        <v>1228500</v>
      </c>
      <c r="R48" s="34">
        <f t="shared" si="3"/>
        <v>1228500</v>
      </c>
      <c r="S48" s="105"/>
      <c r="T48" s="34">
        <f t="shared" si="6"/>
        <v>0</v>
      </c>
      <c r="U48" s="79"/>
      <c r="V48" s="34">
        <f t="shared" si="7"/>
        <v>0</v>
      </c>
      <c r="W48" s="34">
        <f t="shared" si="8"/>
        <v>24570</v>
      </c>
      <c r="X48" s="154">
        <f t="shared" si="9"/>
        <v>1253070</v>
      </c>
      <c r="Y48" s="11" t="str">
        <f t="shared" si="4"/>
        <v>37</v>
      </c>
      <c r="Z48" s="131"/>
      <c r="AA48" s="131"/>
      <c r="AC48" s="147"/>
    </row>
    <row r="49" spans="1:29" s="114" customFormat="1" ht="21.75" customHeight="1">
      <c r="A49" s="22" t="s">
        <v>1158</v>
      </c>
      <c r="B49" s="37" t="s">
        <v>305</v>
      </c>
      <c r="C49" s="38" t="s">
        <v>966</v>
      </c>
      <c r="D49" s="10" t="s">
        <v>358</v>
      </c>
      <c r="E49" s="80" t="s">
        <v>404</v>
      </c>
      <c r="F49" s="88">
        <v>2.34</v>
      </c>
      <c r="G49" s="50"/>
      <c r="H49" s="86">
        <f t="shared" si="12"/>
        <v>2.34</v>
      </c>
      <c r="I49" s="10"/>
      <c r="J49" s="88">
        <f t="shared" si="0"/>
        <v>2.34</v>
      </c>
      <c r="K49" s="34">
        <f t="shared" si="13"/>
        <v>2457000</v>
      </c>
      <c r="L49" s="334" t="s">
        <v>858</v>
      </c>
      <c r="M49" s="34">
        <f t="shared" si="10"/>
        <v>1228500</v>
      </c>
      <c r="N49" s="34">
        <f t="shared" si="11"/>
        <v>1050000</v>
      </c>
      <c r="O49" s="152">
        <v>26</v>
      </c>
      <c r="P49" s="257">
        <v>26</v>
      </c>
      <c r="Q49" s="180">
        <f t="shared" si="2"/>
        <v>1228500</v>
      </c>
      <c r="R49" s="34">
        <f t="shared" si="3"/>
        <v>1228500</v>
      </c>
      <c r="S49" s="105"/>
      <c r="T49" s="34">
        <f t="shared" si="6"/>
        <v>0</v>
      </c>
      <c r="U49" s="79"/>
      <c r="V49" s="34">
        <f t="shared" si="7"/>
        <v>0</v>
      </c>
      <c r="W49" s="34">
        <f t="shared" si="8"/>
        <v>24570</v>
      </c>
      <c r="X49" s="51">
        <f t="shared" si="9"/>
        <v>1253070</v>
      </c>
      <c r="Y49" s="11" t="str">
        <f t="shared" si="4"/>
        <v>38</v>
      </c>
      <c r="Z49" s="131"/>
      <c r="AC49" s="147"/>
    </row>
    <row r="50" spans="1:29" s="114" customFormat="1" ht="18" customHeight="1">
      <c r="A50" s="22" t="s">
        <v>1159</v>
      </c>
      <c r="B50" s="37" t="s">
        <v>869</v>
      </c>
      <c r="C50" s="38" t="s">
        <v>297</v>
      </c>
      <c r="D50" s="10" t="s">
        <v>359</v>
      </c>
      <c r="E50" s="80" t="s">
        <v>405</v>
      </c>
      <c r="F50" s="88">
        <v>2.34</v>
      </c>
      <c r="G50" s="50"/>
      <c r="H50" s="86">
        <f t="shared" si="12"/>
        <v>2.34</v>
      </c>
      <c r="I50" s="10"/>
      <c r="J50" s="88">
        <f t="shared" si="0"/>
        <v>2.34</v>
      </c>
      <c r="K50" s="34">
        <f t="shared" si="13"/>
        <v>2457000</v>
      </c>
      <c r="L50" s="334" t="s">
        <v>858</v>
      </c>
      <c r="M50" s="34">
        <f t="shared" si="10"/>
        <v>1228500</v>
      </c>
      <c r="N50" s="153">
        <f t="shared" si="11"/>
        <v>1050000</v>
      </c>
      <c r="O50" s="152">
        <v>26</v>
      </c>
      <c r="P50" s="257">
        <v>26</v>
      </c>
      <c r="Q50" s="180">
        <f t="shared" si="2"/>
        <v>1228500</v>
      </c>
      <c r="R50" s="34">
        <f t="shared" si="3"/>
        <v>1228500</v>
      </c>
      <c r="S50" s="105"/>
      <c r="T50" s="34">
        <f t="shared" si="6"/>
        <v>0</v>
      </c>
      <c r="U50" s="79"/>
      <c r="V50" s="34">
        <f t="shared" si="7"/>
        <v>0</v>
      </c>
      <c r="W50" s="34">
        <f>(J50*$I$8*0.01)+(S50*$I$8*1%)+(U50*1%*$I$8)</f>
        <v>24570</v>
      </c>
      <c r="X50" s="154">
        <f t="shared" si="9"/>
        <v>1253070</v>
      </c>
      <c r="Y50" s="11" t="str">
        <f t="shared" si="4"/>
        <v>39</v>
      </c>
      <c r="Z50" s="131"/>
      <c r="AC50" s="147"/>
    </row>
    <row r="51" spans="1:29" s="114" customFormat="1" ht="15.75">
      <c r="A51" s="22" t="s">
        <v>1160</v>
      </c>
      <c r="B51" s="37" t="s">
        <v>1229</v>
      </c>
      <c r="C51" s="38" t="s">
        <v>1207</v>
      </c>
      <c r="D51" s="10" t="s">
        <v>360</v>
      </c>
      <c r="E51" s="80" t="s">
        <v>406</v>
      </c>
      <c r="F51" s="88">
        <v>2.34</v>
      </c>
      <c r="G51" s="50"/>
      <c r="H51" s="86">
        <f t="shared" si="12"/>
        <v>2.34</v>
      </c>
      <c r="I51" s="10"/>
      <c r="J51" s="88">
        <f t="shared" si="0"/>
        <v>2.34</v>
      </c>
      <c r="K51" s="34">
        <f t="shared" si="13"/>
        <v>2457000</v>
      </c>
      <c r="L51" s="334" t="s">
        <v>858</v>
      </c>
      <c r="M51" s="34">
        <f t="shared" si="10"/>
        <v>1228500</v>
      </c>
      <c r="N51" s="34">
        <f t="shared" si="11"/>
        <v>1050000</v>
      </c>
      <c r="O51" s="152">
        <v>26</v>
      </c>
      <c r="P51" s="10">
        <v>26</v>
      </c>
      <c r="Q51" s="180">
        <f>IF(M51&gt;N51,M51,N51)</f>
        <v>1228500</v>
      </c>
      <c r="R51" s="34">
        <f t="shared" si="3"/>
        <v>1228500</v>
      </c>
      <c r="S51" s="105"/>
      <c r="T51" s="34">
        <f t="shared" si="6"/>
        <v>0</v>
      </c>
      <c r="U51" s="79"/>
      <c r="V51" s="34">
        <f t="shared" si="7"/>
        <v>0</v>
      </c>
      <c r="W51" s="34">
        <f t="shared" si="8"/>
        <v>24570</v>
      </c>
      <c r="X51" s="51">
        <f t="shared" si="9"/>
        <v>1253070</v>
      </c>
      <c r="Y51" s="11" t="str">
        <f t="shared" si="4"/>
        <v>40</v>
      </c>
      <c r="Z51" s="131"/>
      <c r="AC51" s="147"/>
    </row>
    <row r="52" spans="1:29" s="114" customFormat="1" ht="24" customHeight="1">
      <c r="A52" s="22" t="s">
        <v>1161</v>
      </c>
      <c r="B52" s="37" t="s">
        <v>306</v>
      </c>
      <c r="C52" s="38" t="s">
        <v>307</v>
      </c>
      <c r="D52" s="10" t="s">
        <v>361</v>
      </c>
      <c r="E52" s="80" t="s">
        <v>407</v>
      </c>
      <c r="F52" s="88">
        <v>2.34</v>
      </c>
      <c r="G52" s="50"/>
      <c r="H52" s="86">
        <f t="shared" si="12"/>
        <v>2.34</v>
      </c>
      <c r="I52" s="10"/>
      <c r="J52" s="88">
        <f t="shared" si="0"/>
        <v>2.34</v>
      </c>
      <c r="K52" s="34">
        <f t="shared" si="13"/>
        <v>2457000</v>
      </c>
      <c r="L52" s="334" t="s">
        <v>858</v>
      </c>
      <c r="M52" s="34">
        <f t="shared" si="10"/>
        <v>1228500</v>
      </c>
      <c r="N52" s="153">
        <f t="shared" si="11"/>
        <v>1050000</v>
      </c>
      <c r="O52" s="152">
        <v>26</v>
      </c>
      <c r="P52" s="10">
        <v>26</v>
      </c>
      <c r="Q52" s="180">
        <f t="shared" si="2"/>
        <v>1228500</v>
      </c>
      <c r="R52" s="34">
        <f t="shared" si="3"/>
        <v>1228500</v>
      </c>
      <c r="S52" s="105"/>
      <c r="T52" s="34">
        <f t="shared" si="6"/>
        <v>0</v>
      </c>
      <c r="U52" s="79"/>
      <c r="V52" s="34">
        <f t="shared" si="7"/>
        <v>0</v>
      </c>
      <c r="W52" s="34">
        <f t="shared" si="8"/>
        <v>24570</v>
      </c>
      <c r="X52" s="154">
        <f t="shared" si="9"/>
        <v>1253070</v>
      </c>
      <c r="Y52" s="11" t="str">
        <f t="shared" si="4"/>
        <v>41</v>
      </c>
      <c r="Z52" s="131"/>
      <c r="AC52" s="147"/>
    </row>
    <row r="53" spans="1:29" s="114" customFormat="1" ht="18.75" customHeight="1">
      <c r="A53" s="22" t="s">
        <v>1162</v>
      </c>
      <c r="B53" s="37" t="s">
        <v>308</v>
      </c>
      <c r="C53" s="38" t="s">
        <v>917</v>
      </c>
      <c r="D53" s="10" t="s">
        <v>362</v>
      </c>
      <c r="E53" s="80" t="s">
        <v>408</v>
      </c>
      <c r="F53" s="88">
        <v>3.66</v>
      </c>
      <c r="G53" s="50"/>
      <c r="H53" s="86">
        <f t="shared" si="12"/>
        <v>3.66</v>
      </c>
      <c r="I53" s="10"/>
      <c r="J53" s="88">
        <f t="shared" si="0"/>
        <v>3.66</v>
      </c>
      <c r="K53" s="34">
        <f t="shared" si="13"/>
        <v>3843000</v>
      </c>
      <c r="L53" s="334" t="s">
        <v>858</v>
      </c>
      <c r="M53" s="34">
        <f t="shared" si="10"/>
        <v>1921500</v>
      </c>
      <c r="N53" s="34">
        <f t="shared" si="11"/>
        <v>1050000</v>
      </c>
      <c r="O53" s="152">
        <v>26</v>
      </c>
      <c r="P53" s="257">
        <v>26</v>
      </c>
      <c r="Q53" s="180">
        <f t="shared" si="2"/>
        <v>1921500</v>
      </c>
      <c r="R53" s="34">
        <f t="shared" si="3"/>
        <v>1921500</v>
      </c>
      <c r="S53" s="105"/>
      <c r="T53" s="34">
        <f t="shared" si="6"/>
        <v>0</v>
      </c>
      <c r="U53" s="79"/>
      <c r="V53" s="34">
        <f t="shared" si="7"/>
        <v>0</v>
      </c>
      <c r="W53" s="34">
        <f t="shared" si="8"/>
        <v>38430</v>
      </c>
      <c r="X53" s="51">
        <f t="shared" si="9"/>
        <v>1959930</v>
      </c>
      <c r="Y53" s="11" t="str">
        <f t="shared" si="4"/>
        <v>42</v>
      </c>
      <c r="Z53" s="131"/>
      <c r="AC53" s="147"/>
    </row>
    <row r="54" spans="1:29" s="114" customFormat="1" ht="18" customHeight="1">
      <c r="A54" s="22" t="s">
        <v>1163</v>
      </c>
      <c r="B54" s="37" t="s">
        <v>310</v>
      </c>
      <c r="C54" s="38" t="s">
        <v>309</v>
      </c>
      <c r="D54" s="10" t="s">
        <v>363</v>
      </c>
      <c r="E54" s="107">
        <v>1603205230627</v>
      </c>
      <c r="F54" s="88">
        <v>2.34</v>
      </c>
      <c r="G54" s="50"/>
      <c r="H54" s="86">
        <f t="shared" si="12"/>
        <v>2.34</v>
      </c>
      <c r="I54" s="10"/>
      <c r="J54" s="88">
        <f t="shared" si="0"/>
        <v>2.34</v>
      </c>
      <c r="K54" s="34">
        <f t="shared" si="13"/>
        <v>2457000</v>
      </c>
      <c r="L54" s="334" t="s">
        <v>858</v>
      </c>
      <c r="M54" s="34">
        <f t="shared" si="10"/>
        <v>1228500</v>
      </c>
      <c r="N54" s="153">
        <f t="shared" si="11"/>
        <v>1050000</v>
      </c>
      <c r="O54" s="152">
        <v>26</v>
      </c>
      <c r="P54" s="257">
        <v>26</v>
      </c>
      <c r="Q54" s="180">
        <f t="shared" si="2"/>
        <v>1228500</v>
      </c>
      <c r="R54" s="34">
        <f t="shared" si="3"/>
        <v>1228500</v>
      </c>
      <c r="S54" s="105"/>
      <c r="T54" s="34">
        <f t="shared" si="6"/>
        <v>0</v>
      </c>
      <c r="U54" s="79"/>
      <c r="V54" s="34">
        <f t="shared" si="7"/>
        <v>0</v>
      </c>
      <c r="W54" s="34">
        <f t="shared" si="8"/>
        <v>24570</v>
      </c>
      <c r="X54" s="154">
        <f t="shared" si="9"/>
        <v>1253070</v>
      </c>
      <c r="Y54" s="11" t="str">
        <f t="shared" si="4"/>
        <v>43</v>
      </c>
      <c r="Z54" s="131"/>
      <c r="AC54" s="147"/>
    </row>
    <row r="55" spans="1:29" s="114" customFormat="1" ht="16.5" customHeight="1">
      <c r="A55" s="22" t="s">
        <v>1164</v>
      </c>
      <c r="B55" s="37" t="s">
        <v>45</v>
      </c>
      <c r="C55" s="38" t="s">
        <v>923</v>
      </c>
      <c r="D55" s="119" t="s">
        <v>257</v>
      </c>
      <c r="E55" s="80" t="s">
        <v>46</v>
      </c>
      <c r="F55" s="88">
        <v>3.66</v>
      </c>
      <c r="G55" s="50"/>
      <c r="H55" s="86">
        <f t="shared" si="12"/>
        <v>3.66</v>
      </c>
      <c r="I55" s="10">
        <v>0.25</v>
      </c>
      <c r="J55" s="88">
        <f t="shared" si="0"/>
        <v>3.91</v>
      </c>
      <c r="K55" s="34">
        <f t="shared" si="13"/>
        <v>4105500</v>
      </c>
      <c r="L55" s="334" t="s">
        <v>858</v>
      </c>
      <c r="M55" s="34">
        <f t="shared" si="10"/>
        <v>2052750</v>
      </c>
      <c r="N55" s="34">
        <f t="shared" si="11"/>
        <v>1050000</v>
      </c>
      <c r="O55" s="152">
        <v>26</v>
      </c>
      <c r="P55" s="257">
        <v>26</v>
      </c>
      <c r="Q55" s="180">
        <f t="shared" si="2"/>
        <v>2052750</v>
      </c>
      <c r="R55" s="34">
        <f t="shared" si="3"/>
        <v>2052750</v>
      </c>
      <c r="S55" s="105"/>
      <c r="T55" s="34">
        <f t="shared" si="6"/>
        <v>0</v>
      </c>
      <c r="U55" s="79"/>
      <c r="V55" s="34">
        <f t="shared" si="7"/>
        <v>0</v>
      </c>
      <c r="W55" s="34">
        <f t="shared" si="8"/>
        <v>41055</v>
      </c>
      <c r="X55" s="51">
        <f t="shared" si="9"/>
        <v>2093805</v>
      </c>
      <c r="Y55" s="11" t="str">
        <f t="shared" si="4"/>
        <v>44</v>
      </c>
      <c r="Z55" s="131"/>
      <c r="AC55" s="147"/>
    </row>
    <row r="56" spans="1:29" s="300" customFormat="1" ht="18" customHeight="1">
      <c r="A56" s="283" t="s">
        <v>1165</v>
      </c>
      <c r="B56" s="284" t="s">
        <v>435</v>
      </c>
      <c r="C56" s="285" t="s">
        <v>436</v>
      </c>
      <c r="D56" s="286" t="s">
        <v>438</v>
      </c>
      <c r="E56" s="287" t="s">
        <v>437</v>
      </c>
      <c r="F56" s="288">
        <v>3</v>
      </c>
      <c r="G56" s="289"/>
      <c r="H56" s="290">
        <f t="shared" si="12"/>
        <v>3</v>
      </c>
      <c r="I56" s="291">
        <v>0.25</v>
      </c>
      <c r="J56" s="288">
        <f t="shared" si="0"/>
        <v>3.25</v>
      </c>
      <c r="K56" s="292">
        <f t="shared" si="13"/>
        <v>3412500</v>
      </c>
      <c r="L56" s="334" t="s">
        <v>858</v>
      </c>
      <c r="M56" s="34">
        <f t="shared" si="10"/>
        <v>1706250</v>
      </c>
      <c r="N56" s="293">
        <f t="shared" si="11"/>
        <v>1050000</v>
      </c>
      <c r="O56" s="282">
        <v>26</v>
      </c>
      <c r="P56" s="291">
        <v>26.5</v>
      </c>
      <c r="Q56" s="294">
        <f t="shared" si="2"/>
        <v>1706250</v>
      </c>
      <c r="R56" s="292">
        <f t="shared" si="3"/>
        <v>1706250</v>
      </c>
      <c r="S56" s="295"/>
      <c r="T56" s="292">
        <f t="shared" si="6"/>
        <v>0</v>
      </c>
      <c r="U56" s="296"/>
      <c r="V56" s="292">
        <f t="shared" si="7"/>
        <v>0</v>
      </c>
      <c r="W56" s="292">
        <f t="shared" si="8"/>
        <v>34125</v>
      </c>
      <c r="X56" s="297">
        <f t="shared" si="9"/>
        <v>1740375</v>
      </c>
      <c r="Y56" s="298" t="str">
        <f t="shared" si="4"/>
        <v>45</v>
      </c>
      <c r="Z56" s="299" t="s">
        <v>797</v>
      </c>
    </row>
    <row r="57" spans="1:29" s="114" customFormat="1" ht="19.5" customHeight="1">
      <c r="A57" s="22" t="s">
        <v>1166</v>
      </c>
      <c r="B57" s="37" t="s">
        <v>439</v>
      </c>
      <c r="C57" s="38" t="s">
        <v>440</v>
      </c>
      <c r="D57" s="119" t="s">
        <v>442</v>
      </c>
      <c r="E57" s="80" t="s">
        <v>441</v>
      </c>
      <c r="F57" s="88">
        <v>3</v>
      </c>
      <c r="G57" s="50"/>
      <c r="H57" s="86">
        <f t="shared" si="12"/>
        <v>3</v>
      </c>
      <c r="I57" s="10"/>
      <c r="J57" s="88">
        <f t="shared" si="0"/>
        <v>3</v>
      </c>
      <c r="K57" s="34">
        <f t="shared" si="13"/>
        <v>3150000</v>
      </c>
      <c r="L57" s="334" t="s">
        <v>858</v>
      </c>
      <c r="M57" s="34">
        <f t="shared" si="10"/>
        <v>1575000</v>
      </c>
      <c r="N57" s="34">
        <f t="shared" si="11"/>
        <v>1050000</v>
      </c>
      <c r="O57" s="152">
        <v>26</v>
      </c>
      <c r="P57" s="257">
        <v>26</v>
      </c>
      <c r="Q57" s="180">
        <f t="shared" si="2"/>
        <v>1575000</v>
      </c>
      <c r="R57" s="34">
        <f t="shared" si="3"/>
        <v>1575000</v>
      </c>
      <c r="S57" s="105"/>
      <c r="T57" s="34">
        <f t="shared" si="6"/>
        <v>0</v>
      </c>
      <c r="U57" s="79"/>
      <c r="V57" s="34">
        <f t="shared" si="7"/>
        <v>0</v>
      </c>
      <c r="W57" s="34">
        <f>(J57*$I$8*0.01)+(S57*$I$8*1%)+(U57*1%*$I$8)</f>
        <v>31500</v>
      </c>
      <c r="X57" s="51">
        <f t="shared" si="9"/>
        <v>1606500</v>
      </c>
      <c r="Y57" s="11" t="str">
        <f t="shared" si="4"/>
        <v>46</v>
      </c>
      <c r="Z57" s="131"/>
    </row>
    <row r="58" spans="1:29" s="114" customFormat="1" ht="19.5" customHeight="1">
      <c r="A58" s="22" t="s">
        <v>409</v>
      </c>
      <c r="B58" s="37" t="s">
        <v>474</v>
      </c>
      <c r="C58" s="38" t="s">
        <v>475</v>
      </c>
      <c r="D58" s="119" t="s">
        <v>482</v>
      </c>
      <c r="E58" s="80" t="s">
        <v>481</v>
      </c>
      <c r="F58" s="88">
        <v>2.34</v>
      </c>
      <c r="G58" s="50"/>
      <c r="H58" s="86">
        <f t="shared" si="12"/>
        <v>2.34</v>
      </c>
      <c r="I58" s="10"/>
      <c r="J58" s="88">
        <f t="shared" si="0"/>
        <v>2.34</v>
      </c>
      <c r="K58" s="34">
        <f t="shared" si="13"/>
        <v>2457000</v>
      </c>
      <c r="L58" s="334" t="s">
        <v>858</v>
      </c>
      <c r="M58" s="34">
        <f t="shared" si="10"/>
        <v>1228500</v>
      </c>
      <c r="N58" s="153">
        <f t="shared" si="11"/>
        <v>1050000</v>
      </c>
      <c r="O58" s="152">
        <v>26</v>
      </c>
      <c r="P58" s="257">
        <v>26</v>
      </c>
      <c r="Q58" s="180">
        <f t="shared" si="2"/>
        <v>1228500</v>
      </c>
      <c r="R58" s="34">
        <f t="shared" si="3"/>
        <v>1228500</v>
      </c>
      <c r="S58" s="105"/>
      <c r="T58" s="34">
        <f t="shared" si="6"/>
        <v>0</v>
      </c>
      <c r="U58" s="79"/>
      <c r="V58" s="34">
        <f t="shared" si="7"/>
        <v>0</v>
      </c>
      <c r="W58" s="34">
        <f t="shared" si="8"/>
        <v>24570</v>
      </c>
      <c r="X58" s="154">
        <f t="shared" si="9"/>
        <v>1253070</v>
      </c>
      <c r="Y58" s="11" t="str">
        <f t="shared" si="4"/>
        <v>47</v>
      </c>
      <c r="Z58" s="131"/>
    </row>
    <row r="59" spans="1:29" s="114" customFormat="1" ht="15.75">
      <c r="A59" s="22" t="s">
        <v>410</v>
      </c>
      <c r="B59" s="37" t="s">
        <v>476</v>
      </c>
      <c r="C59" s="38" t="s">
        <v>477</v>
      </c>
      <c r="D59" s="119" t="s">
        <v>486</v>
      </c>
      <c r="E59" s="80" t="s">
        <v>483</v>
      </c>
      <c r="F59" s="88">
        <v>2.34</v>
      </c>
      <c r="G59" s="50"/>
      <c r="H59" s="86">
        <f t="shared" si="12"/>
        <v>2.34</v>
      </c>
      <c r="I59" s="10"/>
      <c r="J59" s="88">
        <f t="shared" si="0"/>
        <v>2.34</v>
      </c>
      <c r="K59" s="34">
        <f t="shared" si="13"/>
        <v>2457000</v>
      </c>
      <c r="L59" s="334" t="s">
        <v>858</v>
      </c>
      <c r="M59" s="34">
        <f t="shared" si="10"/>
        <v>1228500</v>
      </c>
      <c r="N59" s="34">
        <f t="shared" si="11"/>
        <v>1050000</v>
      </c>
      <c r="O59" s="152">
        <v>26</v>
      </c>
      <c r="P59" s="10">
        <v>26</v>
      </c>
      <c r="Q59" s="180">
        <f t="shared" si="2"/>
        <v>1228500</v>
      </c>
      <c r="R59" s="34">
        <f t="shared" si="3"/>
        <v>1228500</v>
      </c>
      <c r="S59" s="105"/>
      <c r="T59" s="34">
        <f t="shared" si="6"/>
        <v>0</v>
      </c>
      <c r="U59" s="79"/>
      <c r="V59" s="34">
        <f t="shared" si="7"/>
        <v>0</v>
      </c>
      <c r="W59" s="34">
        <f>(J59*$I$8*0.01)+(S59*$I$8*1%)+(U59*1%*$I$8)</f>
        <v>24570</v>
      </c>
      <c r="X59" s="51">
        <f t="shared" si="9"/>
        <v>1253070</v>
      </c>
      <c r="Y59" s="11" t="str">
        <f t="shared" si="4"/>
        <v>48</v>
      </c>
      <c r="Z59" s="131"/>
    </row>
    <row r="60" spans="1:29" s="114" customFormat="1" ht="19.5" customHeight="1">
      <c r="A60" s="22" t="s">
        <v>411</v>
      </c>
      <c r="B60" s="37" t="s">
        <v>478</v>
      </c>
      <c r="C60" s="38" t="s">
        <v>920</v>
      </c>
      <c r="D60" s="119" t="s">
        <v>487</v>
      </c>
      <c r="E60" s="80" t="s">
        <v>484</v>
      </c>
      <c r="F60" s="88">
        <v>2.34</v>
      </c>
      <c r="G60" s="50"/>
      <c r="H60" s="86">
        <f t="shared" si="12"/>
        <v>2.34</v>
      </c>
      <c r="I60" s="10"/>
      <c r="J60" s="88">
        <f t="shared" si="0"/>
        <v>2.34</v>
      </c>
      <c r="K60" s="34">
        <f t="shared" si="13"/>
        <v>2457000</v>
      </c>
      <c r="L60" s="334" t="s">
        <v>858</v>
      </c>
      <c r="M60" s="34">
        <f t="shared" si="10"/>
        <v>1228500</v>
      </c>
      <c r="N60" s="153">
        <f t="shared" si="11"/>
        <v>1050000</v>
      </c>
      <c r="O60" s="152">
        <v>26</v>
      </c>
      <c r="P60" s="257">
        <v>26</v>
      </c>
      <c r="Q60" s="180">
        <f t="shared" si="2"/>
        <v>1228500</v>
      </c>
      <c r="R60" s="34">
        <f t="shared" si="3"/>
        <v>1228500</v>
      </c>
      <c r="S60" s="105"/>
      <c r="T60" s="34">
        <f t="shared" si="6"/>
        <v>0</v>
      </c>
      <c r="U60" s="79"/>
      <c r="V60" s="34">
        <f t="shared" si="7"/>
        <v>0</v>
      </c>
      <c r="W60" s="34">
        <f>(J60*$I$8*0.01)+(S60*$I$8*1%)+(U60*1%*$I$8)</f>
        <v>24570</v>
      </c>
      <c r="X60" s="154">
        <f t="shared" si="9"/>
        <v>1253070</v>
      </c>
      <c r="Y60" s="11" t="str">
        <f t="shared" si="4"/>
        <v>49</v>
      </c>
      <c r="Z60" s="131"/>
    </row>
    <row r="61" spans="1:29" s="114" customFormat="1" ht="15.75">
      <c r="A61" s="22" t="s">
        <v>412</v>
      </c>
      <c r="B61" s="37" t="s">
        <v>479</v>
      </c>
      <c r="C61" s="38" t="s">
        <v>480</v>
      </c>
      <c r="D61" s="119" t="s">
        <v>488</v>
      </c>
      <c r="E61" s="80" t="s">
        <v>485</v>
      </c>
      <c r="F61" s="88">
        <v>2.34</v>
      </c>
      <c r="G61" s="50"/>
      <c r="H61" s="86">
        <f>F61+(F61*G61)</f>
        <v>2.34</v>
      </c>
      <c r="I61" s="10"/>
      <c r="J61" s="88">
        <f>H61+I61</f>
        <v>2.34</v>
      </c>
      <c r="K61" s="34">
        <f t="shared" si="13"/>
        <v>2457000</v>
      </c>
      <c r="L61" s="334" t="s">
        <v>858</v>
      </c>
      <c r="M61" s="34">
        <f t="shared" si="10"/>
        <v>1228500</v>
      </c>
      <c r="N61" s="34">
        <f t="shared" si="11"/>
        <v>1050000</v>
      </c>
      <c r="O61" s="152">
        <v>26</v>
      </c>
      <c r="P61" s="10">
        <v>26</v>
      </c>
      <c r="Q61" s="180">
        <f>IF(M61&gt;N61,M61,N61)</f>
        <v>1228500</v>
      </c>
      <c r="R61" s="34">
        <f t="shared" si="3"/>
        <v>1228500</v>
      </c>
      <c r="S61" s="105"/>
      <c r="T61" s="34">
        <f t="shared" si="6"/>
        <v>0</v>
      </c>
      <c r="U61" s="79"/>
      <c r="V61" s="34">
        <f t="shared" si="7"/>
        <v>0</v>
      </c>
      <c r="W61" s="34">
        <f>(J61*$I$8*0.01)+(S61*$I$8*1%)+(U61*1%*$I$8)</f>
        <v>24570</v>
      </c>
      <c r="X61" s="51">
        <f t="shared" si="9"/>
        <v>1253070</v>
      </c>
      <c r="Y61" s="11" t="str">
        <f>A61</f>
        <v>50</v>
      </c>
      <c r="Z61" s="131"/>
    </row>
    <row r="62" spans="1:29" s="114" customFormat="1" ht="19.5" customHeight="1">
      <c r="A62" s="22" t="s">
        <v>413</v>
      </c>
      <c r="B62" s="37" t="s">
        <v>505</v>
      </c>
      <c r="C62" s="38" t="s">
        <v>979</v>
      </c>
      <c r="D62" s="119" t="s">
        <v>507</v>
      </c>
      <c r="E62" s="80" t="s">
        <v>506</v>
      </c>
      <c r="F62" s="232">
        <v>3.33</v>
      </c>
      <c r="G62" s="50"/>
      <c r="H62" s="86">
        <f>F62+(F62*G62)</f>
        <v>3.33</v>
      </c>
      <c r="I62" s="10"/>
      <c r="J62" s="88">
        <f>H62+I62</f>
        <v>3.33</v>
      </c>
      <c r="K62" s="34">
        <f t="shared" si="13"/>
        <v>3496500</v>
      </c>
      <c r="L62" s="334" t="s">
        <v>858</v>
      </c>
      <c r="M62" s="34">
        <f t="shared" si="10"/>
        <v>1748250</v>
      </c>
      <c r="N62" s="153">
        <f t="shared" si="11"/>
        <v>1050000</v>
      </c>
      <c r="O62" s="152">
        <v>26</v>
      </c>
      <c r="P62" s="10">
        <v>26</v>
      </c>
      <c r="Q62" s="180">
        <f>IF(M62&gt;N62,M62,N62)</f>
        <v>1748250</v>
      </c>
      <c r="R62" s="34">
        <f t="shared" si="3"/>
        <v>1748250</v>
      </c>
      <c r="S62" s="105"/>
      <c r="T62" s="34">
        <f t="shared" si="6"/>
        <v>0</v>
      </c>
      <c r="U62" s="79"/>
      <c r="V62" s="34">
        <f t="shared" si="7"/>
        <v>0</v>
      </c>
      <c r="W62" s="34">
        <f t="shared" ref="W62:W69" si="14">(J62*$I$8*0.01)+(S62*$I$8*1%)+(U62*1%*$I$8)</f>
        <v>34965</v>
      </c>
      <c r="X62" s="154">
        <f t="shared" si="9"/>
        <v>1783215</v>
      </c>
      <c r="Y62" s="11" t="str">
        <f>A62</f>
        <v>51</v>
      </c>
      <c r="Z62" s="131"/>
      <c r="AB62" s="148"/>
    </row>
    <row r="63" spans="1:29" s="114" customFormat="1" ht="17.25" customHeight="1">
      <c r="A63" s="22" t="s">
        <v>414</v>
      </c>
      <c r="B63" s="37" t="s">
        <v>1077</v>
      </c>
      <c r="C63" s="38" t="s">
        <v>920</v>
      </c>
      <c r="D63" s="119" t="s">
        <v>509</v>
      </c>
      <c r="E63" s="80" t="s">
        <v>508</v>
      </c>
      <c r="F63" s="88">
        <v>3.66</v>
      </c>
      <c r="G63" s="50"/>
      <c r="H63" s="86">
        <f>F63+(F63*G63)</f>
        <v>3.66</v>
      </c>
      <c r="I63" s="10"/>
      <c r="J63" s="88">
        <f t="shared" ref="J63:J71" si="15">H63+I63</f>
        <v>3.66</v>
      </c>
      <c r="K63" s="34">
        <f t="shared" si="13"/>
        <v>3843000</v>
      </c>
      <c r="L63" s="334" t="s">
        <v>858</v>
      </c>
      <c r="M63" s="34">
        <f t="shared" si="10"/>
        <v>1921500</v>
      </c>
      <c r="N63" s="34">
        <f t="shared" si="11"/>
        <v>1050000</v>
      </c>
      <c r="O63" s="152">
        <v>26</v>
      </c>
      <c r="P63" s="10">
        <v>26</v>
      </c>
      <c r="Q63" s="180">
        <f>IF(M63&gt;N63,M63,N63)</f>
        <v>1921500</v>
      </c>
      <c r="R63" s="34">
        <f t="shared" si="3"/>
        <v>1921500</v>
      </c>
      <c r="S63" s="105"/>
      <c r="T63" s="34">
        <f t="shared" si="6"/>
        <v>0</v>
      </c>
      <c r="U63" s="79"/>
      <c r="V63" s="34">
        <f t="shared" si="7"/>
        <v>0</v>
      </c>
      <c r="W63" s="34">
        <f t="shared" si="14"/>
        <v>38430</v>
      </c>
      <c r="X63" s="51">
        <f t="shared" si="9"/>
        <v>1959930</v>
      </c>
      <c r="Y63" s="11" t="str">
        <f>A63</f>
        <v>52</v>
      </c>
      <c r="Z63" s="131"/>
    </row>
    <row r="64" spans="1:29" s="114" customFormat="1" ht="19.5" customHeight="1">
      <c r="A64" s="22" t="s">
        <v>415</v>
      </c>
      <c r="B64" s="149" t="s">
        <v>513</v>
      </c>
      <c r="C64" s="38" t="s">
        <v>514</v>
      </c>
      <c r="D64" s="150" t="s">
        <v>519</v>
      </c>
      <c r="E64" s="190">
        <v>1603205299879</v>
      </c>
      <c r="F64" s="87">
        <f>2.34</f>
        <v>2.34</v>
      </c>
      <c r="G64" s="50"/>
      <c r="H64" s="86">
        <f t="shared" ref="H64:H71" si="16">F64+(F64*G64)</f>
        <v>2.34</v>
      </c>
      <c r="I64" s="10"/>
      <c r="J64" s="88">
        <f t="shared" si="15"/>
        <v>2.34</v>
      </c>
      <c r="K64" s="34">
        <f t="shared" si="13"/>
        <v>2457000</v>
      </c>
      <c r="L64" s="334" t="s">
        <v>858</v>
      </c>
      <c r="M64" s="34">
        <f t="shared" si="10"/>
        <v>1228500</v>
      </c>
      <c r="N64" s="153">
        <f t="shared" si="11"/>
        <v>1050000</v>
      </c>
      <c r="O64" s="152">
        <v>26</v>
      </c>
      <c r="P64" s="10">
        <v>26</v>
      </c>
      <c r="Q64" s="180">
        <f t="shared" ref="Q64:Q69" si="17">IF(M64&gt;N64,M64,N64)</f>
        <v>1228500</v>
      </c>
      <c r="R64" s="34">
        <f t="shared" si="3"/>
        <v>1228500</v>
      </c>
      <c r="S64" s="105"/>
      <c r="T64" s="34">
        <f t="shared" si="6"/>
        <v>0</v>
      </c>
      <c r="U64" s="79"/>
      <c r="V64" s="34">
        <f t="shared" si="7"/>
        <v>0</v>
      </c>
      <c r="W64" s="34">
        <f t="shared" si="14"/>
        <v>24570</v>
      </c>
      <c r="X64" s="154">
        <f t="shared" si="9"/>
        <v>1253070</v>
      </c>
      <c r="Y64" s="11" t="str">
        <f t="shared" ref="Y64:Y71" si="18">A64</f>
        <v>53</v>
      </c>
      <c r="Z64" s="131"/>
    </row>
    <row r="65" spans="1:26" s="114" customFormat="1" ht="38.25">
      <c r="A65" s="22" t="s">
        <v>416</v>
      </c>
      <c r="B65" s="149" t="s">
        <v>515</v>
      </c>
      <c r="C65" s="38" t="s">
        <v>1026</v>
      </c>
      <c r="D65" s="150" t="s">
        <v>520</v>
      </c>
      <c r="E65" s="151" t="s">
        <v>15</v>
      </c>
      <c r="F65" s="87">
        <f>2.34</f>
        <v>2.34</v>
      </c>
      <c r="G65" s="50"/>
      <c r="H65" s="86">
        <f t="shared" si="16"/>
        <v>2.34</v>
      </c>
      <c r="I65" s="10"/>
      <c r="J65" s="88">
        <f t="shared" si="15"/>
        <v>2.34</v>
      </c>
      <c r="K65" s="34">
        <f t="shared" si="13"/>
        <v>2457000</v>
      </c>
      <c r="L65" s="334" t="s">
        <v>525</v>
      </c>
      <c r="M65" s="34">
        <f t="shared" si="10"/>
        <v>921375</v>
      </c>
      <c r="N65" s="34">
        <f t="shared" si="11"/>
        <v>735000</v>
      </c>
      <c r="O65" s="152">
        <v>26</v>
      </c>
      <c r="P65" s="10">
        <v>25</v>
      </c>
      <c r="Q65" s="180">
        <f t="shared" si="17"/>
        <v>921375</v>
      </c>
      <c r="R65" s="34">
        <f t="shared" si="3"/>
        <v>885938</v>
      </c>
      <c r="S65" s="105"/>
      <c r="T65" s="34">
        <f t="shared" si="6"/>
        <v>0</v>
      </c>
      <c r="U65" s="79"/>
      <c r="V65" s="34">
        <f t="shared" si="7"/>
        <v>0</v>
      </c>
      <c r="W65" s="34">
        <f t="shared" si="14"/>
        <v>24570</v>
      </c>
      <c r="X65" s="51">
        <f t="shared" si="9"/>
        <v>910508</v>
      </c>
      <c r="Y65" s="11" t="str">
        <f t="shared" si="18"/>
        <v>54</v>
      </c>
      <c r="Z65" s="131" t="s">
        <v>829</v>
      </c>
    </row>
    <row r="66" spans="1:26" s="114" customFormat="1" ht="17.25" customHeight="1">
      <c r="A66" s="22" t="s">
        <v>417</v>
      </c>
      <c r="B66" s="149" t="s">
        <v>1059</v>
      </c>
      <c r="C66" s="38" t="s">
        <v>516</v>
      </c>
      <c r="D66" s="150" t="s">
        <v>521</v>
      </c>
      <c r="E66" s="151" t="s">
        <v>13</v>
      </c>
      <c r="F66" s="88">
        <v>3.33</v>
      </c>
      <c r="G66" s="50"/>
      <c r="H66" s="86">
        <f t="shared" si="16"/>
        <v>3.33</v>
      </c>
      <c r="I66" s="10"/>
      <c r="J66" s="88">
        <f t="shared" si="15"/>
        <v>3.33</v>
      </c>
      <c r="K66" s="34">
        <f t="shared" si="13"/>
        <v>3496500</v>
      </c>
      <c r="L66" s="334" t="s">
        <v>858</v>
      </c>
      <c r="M66" s="34">
        <f t="shared" si="10"/>
        <v>1748250</v>
      </c>
      <c r="N66" s="153">
        <f t="shared" si="11"/>
        <v>1050000</v>
      </c>
      <c r="O66" s="152">
        <v>26</v>
      </c>
      <c r="P66" s="10">
        <v>26</v>
      </c>
      <c r="Q66" s="180">
        <f t="shared" si="17"/>
        <v>1748250</v>
      </c>
      <c r="R66" s="34">
        <f t="shared" si="3"/>
        <v>1748250</v>
      </c>
      <c r="S66" s="105"/>
      <c r="T66" s="34">
        <f t="shared" si="6"/>
        <v>0</v>
      </c>
      <c r="U66" s="79"/>
      <c r="V66" s="34">
        <f t="shared" si="7"/>
        <v>0</v>
      </c>
      <c r="W66" s="34">
        <f t="shared" si="14"/>
        <v>34965</v>
      </c>
      <c r="X66" s="154">
        <f t="shared" si="9"/>
        <v>1783215</v>
      </c>
      <c r="Y66" s="11" t="str">
        <f t="shared" si="18"/>
        <v>55</v>
      </c>
      <c r="Z66" s="131"/>
    </row>
    <row r="67" spans="1:26" s="114" customFormat="1" ht="17.25" customHeight="1">
      <c r="A67" s="22" t="s">
        <v>418</v>
      </c>
      <c r="B67" s="149" t="s">
        <v>517</v>
      </c>
      <c r="C67" s="38" t="s">
        <v>1013</v>
      </c>
      <c r="D67" s="150" t="s">
        <v>522</v>
      </c>
      <c r="E67" s="151" t="s">
        <v>14</v>
      </c>
      <c r="F67" s="87">
        <f>2.34</f>
        <v>2.34</v>
      </c>
      <c r="G67" s="50"/>
      <c r="H67" s="86">
        <f t="shared" si="16"/>
        <v>2.34</v>
      </c>
      <c r="I67" s="10"/>
      <c r="J67" s="88">
        <f t="shared" si="15"/>
        <v>2.34</v>
      </c>
      <c r="K67" s="34">
        <f t="shared" si="13"/>
        <v>2457000</v>
      </c>
      <c r="L67" s="334" t="s">
        <v>858</v>
      </c>
      <c r="M67" s="34">
        <f t="shared" si="10"/>
        <v>1228500</v>
      </c>
      <c r="N67" s="34">
        <f t="shared" si="11"/>
        <v>1050000</v>
      </c>
      <c r="O67" s="152">
        <v>26</v>
      </c>
      <c r="P67" s="10">
        <v>26</v>
      </c>
      <c r="Q67" s="180">
        <f t="shared" si="17"/>
        <v>1228500</v>
      </c>
      <c r="R67" s="34">
        <f t="shared" si="3"/>
        <v>1228500</v>
      </c>
      <c r="S67" s="105"/>
      <c r="T67" s="34">
        <f t="shared" si="6"/>
        <v>0</v>
      </c>
      <c r="U67" s="79"/>
      <c r="V67" s="34">
        <f t="shared" si="7"/>
        <v>0</v>
      </c>
      <c r="W67" s="34">
        <f t="shared" si="14"/>
        <v>24570</v>
      </c>
      <c r="X67" s="51">
        <f t="shared" si="9"/>
        <v>1253070</v>
      </c>
      <c r="Y67" s="11" t="str">
        <f t="shared" si="18"/>
        <v>56</v>
      </c>
      <c r="Z67" s="131"/>
    </row>
    <row r="68" spans="1:26" s="114" customFormat="1" ht="17.25" customHeight="1">
      <c r="A68" s="22" t="s">
        <v>419</v>
      </c>
      <c r="B68" s="149" t="s">
        <v>995</v>
      </c>
      <c r="C68" s="38" t="s">
        <v>883</v>
      </c>
      <c r="D68" s="150" t="s">
        <v>523</v>
      </c>
      <c r="E68" s="151" t="s">
        <v>16</v>
      </c>
      <c r="F68" s="87">
        <f>2.34</f>
        <v>2.34</v>
      </c>
      <c r="G68" s="50"/>
      <c r="H68" s="86">
        <f t="shared" si="16"/>
        <v>2.34</v>
      </c>
      <c r="I68" s="10"/>
      <c r="J68" s="88">
        <f t="shared" si="15"/>
        <v>2.34</v>
      </c>
      <c r="K68" s="34">
        <f t="shared" si="13"/>
        <v>2457000</v>
      </c>
      <c r="L68" s="334" t="s">
        <v>858</v>
      </c>
      <c r="M68" s="34">
        <f t="shared" si="10"/>
        <v>1228500</v>
      </c>
      <c r="N68" s="153">
        <f t="shared" si="11"/>
        <v>1050000</v>
      </c>
      <c r="O68" s="152">
        <v>26</v>
      </c>
      <c r="P68" s="10">
        <v>26</v>
      </c>
      <c r="Q68" s="180">
        <f t="shared" si="17"/>
        <v>1228500</v>
      </c>
      <c r="R68" s="34">
        <f t="shared" si="3"/>
        <v>1228500</v>
      </c>
      <c r="S68" s="105"/>
      <c r="T68" s="34">
        <f t="shared" si="6"/>
        <v>0</v>
      </c>
      <c r="U68" s="79"/>
      <c r="V68" s="34">
        <f t="shared" si="7"/>
        <v>0</v>
      </c>
      <c r="W68" s="34">
        <f t="shared" si="14"/>
        <v>24570</v>
      </c>
      <c r="X68" s="154">
        <f t="shared" si="9"/>
        <v>1253070</v>
      </c>
      <c r="Y68" s="11" t="str">
        <f t="shared" si="18"/>
        <v>57</v>
      </c>
      <c r="Z68" s="131"/>
    </row>
    <row r="69" spans="1:26" s="114" customFormat="1" ht="17.25" customHeight="1">
      <c r="A69" s="22" t="s">
        <v>420</v>
      </c>
      <c r="B69" s="149" t="s">
        <v>518</v>
      </c>
      <c r="C69" s="38" t="s">
        <v>1030</v>
      </c>
      <c r="D69" s="150" t="s">
        <v>524</v>
      </c>
      <c r="E69" s="190" t="s">
        <v>17</v>
      </c>
      <c r="F69" s="87">
        <f>2.34</f>
        <v>2.34</v>
      </c>
      <c r="G69" s="50"/>
      <c r="H69" s="86">
        <f t="shared" si="16"/>
        <v>2.34</v>
      </c>
      <c r="I69" s="10"/>
      <c r="J69" s="88">
        <f t="shared" si="15"/>
        <v>2.34</v>
      </c>
      <c r="K69" s="34">
        <f t="shared" si="13"/>
        <v>2457000</v>
      </c>
      <c r="L69" s="334" t="s">
        <v>858</v>
      </c>
      <c r="M69" s="34">
        <f t="shared" si="10"/>
        <v>1228500</v>
      </c>
      <c r="N69" s="153">
        <f t="shared" si="11"/>
        <v>1050000</v>
      </c>
      <c r="O69" s="152">
        <v>26</v>
      </c>
      <c r="P69" s="10">
        <v>26</v>
      </c>
      <c r="Q69" s="180">
        <f t="shared" si="17"/>
        <v>1228500</v>
      </c>
      <c r="R69" s="34">
        <f t="shared" si="3"/>
        <v>1228500</v>
      </c>
      <c r="S69" s="105"/>
      <c r="T69" s="34">
        <f t="shared" si="6"/>
        <v>0</v>
      </c>
      <c r="U69" s="79"/>
      <c r="V69" s="34">
        <f t="shared" si="7"/>
        <v>0</v>
      </c>
      <c r="W69" s="34">
        <f t="shared" si="14"/>
        <v>24570</v>
      </c>
      <c r="X69" s="154">
        <f t="shared" si="9"/>
        <v>1253070</v>
      </c>
      <c r="Y69" s="11" t="str">
        <f t="shared" si="18"/>
        <v>58</v>
      </c>
      <c r="Z69" s="131"/>
    </row>
    <row r="70" spans="1:26" s="114" customFormat="1" ht="15.75">
      <c r="A70" s="22" t="s">
        <v>421</v>
      </c>
      <c r="B70" s="37" t="s">
        <v>756</v>
      </c>
      <c r="C70" s="38" t="s">
        <v>1019</v>
      </c>
      <c r="D70" s="119" t="s">
        <v>758</v>
      </c>
      <c r="E70" s="221">
        <v>1603205356530</v>
      </c>
      <c r="F70" s="87">
        <f>2.34*85%</f>
        <v>1.9889999999999999</v>
      </c>
      <c r="G70" s="50"/>
      <c r="H70" s="86">
        <f t="shared" si="16"/>
        <v>1.9889999999999999</v>
      </c>
      <c r="I70" s="10"/>
      <c r="J70" s="87">
        <f t="shared" si="15"/>
        <v>1.9889999999999999</v>
      </c>
      <c r="K70" s="34">
        <f t="shared" si="13"/>
        <v>2088449.9999999998</v>
      </c>
      <c r="L70" s="334" t="s">
        <v>858</v>
      </c>
      <c r="M70" s="34">
        <f t="shared" si="10"/>
        <v>1044224.9999999999</v>
      </c>
      <c r="N70" s="153">
        <f>IF(L70="A",1050000,IF(L70="B",735000,IF(L70="C",514500,0)))</f>
        <v>1050000</v>
      </c>
      <c r="O70" s="152">
        <v>26</v>
      </c>
      <c r="P70" s="10">
        <v>26</v>
      </c>
      <c r="Q70" s="180">
        <f>IF(M70&gt;N70,M70,N70)</f>
        <v>1050000</v>
      </c>
      <c r="R70" s="34">
        <f>ROUND(IF(P70&gt;=O70,Q70,Q70/O70*P70),0)</f>
        <v>1050000</v>
      </c>
      <c r="S70" s="105"/>
      <c r="T70" s="34">
        <f t="shared" si="6"/>
        <v>0</v>
      </c>
      <c r="U70" s="79"/>
      <c r="V70" s="34">
        <f t="shared" si="7"/>
        <v>0</v>
      </c>
      <c r="W70" s="34">
        <f>(J70*$I$8*0.01)+(S70*$I$8*1%)+(U70*1%*$I$8)</f>
        <v>20884.499999999996</v>
      </c>
      <c r="X70" s="154">
        <f>R70+T70+V70+W70</f>
        <v>1070884.5</v>
      </c>
      <c r="Y70" s="11" t="str">
        <f t="shared" si="18"/>
        <v>59</v>
      </c>
      <c r="Z70" s="131"/>
    </row>
    <row r="71" spans="1:26" s="114" customFormat="1" ht="15.75">
      <c r="A71" s="42" t="s">
        <v>422</v>
      </c>
      <c r="B71" s="66" t="s">
        <v>757</v>
      </c>
      <c r="C71" s="212" t="s">
        <v>1041</v>
      </c>
      <c r="D71" s="222" t="s">
        <v>759</v>
      </c>
      <c r="E71" s="223">
        <v>1603205356451</v>
      </c>
      <c r="F71" s="216">
        <f>2.34*85%</f>
        <v>1.9889999999999999</v>
      </c>
      <c r="G71" s="224"/>
      <c r="H71" s="89">
        <f t="shared" si="16"/>
        <v>1.9889999999999999</v>
      </c>
      <c r="I71" s="39"/>
      <c r="J71" s="216">
        <f t="shared" si="15"/>
        <v>1.9889999999999999</v>
      </c>
      <c r="K71" s="35">
        <f t="shared" si="13"/>
        <v>2088449.9999999998</v>
      </c>
      <c r="L71" s="332" t="s">
        <v>525</v>
      </c>
      <c r="M71" s="34">
        <f t="shared" si="10"/>
        <v>783168.74999999988</v>
      </c>
      <c r="N71" s="35">
        <f>IF(L71="A",1050000,IF(L71="B",735000,IF(L71="C",514500,0)))</f>
        <v>735000</v>
      </c>
      <c r="O71" s="152">
        <v>26</v>
      </c>
      <c r="P71" s="39">
        <v>23.5</v>
      </c>
      <c r="Q71" s="182">
        <f>IF(M71&gt;N71,M71,N71)</f>
        <v>783168.74999999988</v>
      </c>
      <c r="R71" s="35">
        <f>ROUND(IF(P71&gt;=O71,Q71,Q71/O71*P71),0)</f>
        <v>707864</v>
      </c>
      <c r="S71" s="225"/>
      <c r="T71" s="35">
        <f t="shared" si="6"/>
        <v>0</v>
      </c>
      <c r="U71" s="120"/>
      <c r="V71" s="35">
        <f t="shared" si="7"/>
        <v>0</v>
      </c>
      <c r="W71" s="35">
        <f>(J71*$I$8*0.01)+(S71*$I$8*1%)+(U71*1%*$I$8)</f>
        <v>20884.499999999996</v>
      </c>
      <c r="X71" s="219">
        <f>R71+T71+V71+W71</f>
        <v>728748.5</v>
      </c>
      <c r="Y71" s="20" t="str">
        <f t="shared" si="18"/>
        <v>60</v>
      </c>
      <c r="Z71" s="226" t="s">
        <v>826</v>
      </c>
    </row>
    <row r="72" spans="1:26" ht="25.5" customHeight="1">
      <c r="A72" s="142"/>
      <c r="B72" s="654" t="s">
        <v>1109</v>
      </c>
      <c r="C72" s="655"/>
      <c r="D72" s="134"/>
      <c r="E72" s="134"/>
      <c r="F72" s="135">
        <f t="shared" ref="F72:K72" si="19">SUM(F12:F71)</f>
        <v>169.45800000000014</v>
      </c>
      <c r="G72" s="135">
        <f t="shared" si="19"/>
        <v>0</v>
      </c>
      <c r="H72" s="135">
        <f t="shared" si="19"/>
        <v>169.45800000000014</v>
      </c>
      <c r="I72" s="135">
        <f t="shared" si="19"/>
        <v>3.7499999999999996</v>
      </c>
      <c r="J72" s="279">
        <f t="shared" si="19"/>
        <v>173.20800000000011</v>
      </c>
      <c r="K72" s="135">
        <f t="shared" si="19"/>
        <v>181868400</v>
      </c>
      <c r="L72" s="135"/>
      <c r="M72" s="197">
        <f t="shared" ref="M72:X72" si="20">SUM(M12:M71)</f>
        <v>86309081.25</v>
      </c>
      <c r="N72" s="197">
        <f t="shared" si="20"/>
        <v>59640000</v>
      </c>
      <c r="O72" s="197">
        <f t="shared" si="20"/>
        <v>1508</v>
      </c>
      <c r="P72" s="197">
        <f t="shared" si="20"/>
        <v>1478</v>
      </c>
      <c r="Q72" s="198">
        <f t="shared" si="20"/>
        <v>86314856.25</v>
      </c>
      <c r="R72" s="197">
        <f t="shared" si="20"/>
        <v>84849160</v>
      </c>
      <c r="S72" s="197">
        <f t="shared" si="20"/>
        <v>0</v>
      </c>
      <c r="T72" s="197">
        <f t="shared" si="20"/>
        <v>0</v>
      </c>
      <c r="U72" s="197">
        <f t="shared" si="20"/>
        <v>0</v>
      </c>
      <c r="V72" s="197">
        <f t="shared" si="20"/>
        <v>0</v>
      </c>
      <c r="W72" s="197">
        <f t="shared" si="20"/>
        <v>1752219</v>
      </c>
      <c r="X72" s="197">
        <f t="shared" si="20"/>
        <v>86601379</v>
      </c>
      <c r="Y72" s="656"/>
      <c r="Z72" s="657"/>
    </row>
    <row r="73" spans="1:26" ht="6" customHeight="1">
      <c r="A73" s="6"/>
      <c r="B73" s="6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00"/>
      <c r="T73" s="12"/>
      <c r="U73" s="12"/>
      <c r="V73" s="12"/>
      <c r="W73" s="12"/>
      <c r="X73" s="68"/>
      <c r="Y73" s="12"/>
      <c r="Z73" s="18"/>
    </row>
    <row r="74" spans="1:26" ht="17.25" customHeight="1">
      <c r="B74" s="92" t="e">
        <f ca="1">"Số tiền bằng chữ: "&amp;[4]!DocSoUniH(X72)&amp;" đồng."</f>
        <v>#NAME?</v>
      </c>
      <c r="C74" s="92"/>
      <c r="D74" s="92"/>
      <c r="E74" s="92"/>
      <c r="F74" s="194"/>
      <c r="G74" s="15"/>
      <c r="H74" s="15"/>
      <c r="I74" s="194"/>
      <c r="J74" s="16"/>
      <c r="K74" s="17"/>
      <c r="L74" s="18"/>
      <c r="M74" s="17"/>
      <c r="N74" s="17"/>
      <c r="O74" s="18"/>
      <c r="P74" s="18"/>
      <c r="Q74" s="18"/>
      <c r="R74" s="18"/>
      <c r="S74" s="76"/>
      <c r="T74" s="18"/>
      <c r="U74" s="18"/>
      <c r="V74" s="18"/>
      <c r="W74" s="17"/>
      <c r="X74" s="48"/>
    </row>
    <row r="75" spans="1:26" ht="10.5" customHeight="1">
      <c r="B75" s="91"/>
      <c r="C75" s="92"/>
      <c r="D75" s="92"/>
      <c r="E75" s="92"/>
      <c r="F75" s="194"/>
      <c r="G75" s="15"/>
      <c r="H75" s="15"/>
      <c r="I75" s="194"/>
      <c r="J75" s="16"/>
      <c r="K75" s="17"/>
      <c r="L75" s="18"/>
      <c r="M75" s="17"/>
      <c r="N75" s="17"/>
      <c r="O75" s="18"/>
      <c r="P75" s="18"/>
      <c r="Q75" s="18"/>
      <c r="R75" s="18"/>
      <c r="S75" s="76"/>
      <c r="T75" s="18"/>
      <c r="U75" s="18"/>
      <c r="V75" s="18"/>
      <c r="W75" s="17"/>
      <c r="X75" s="48"/>
    </row>
    <row r="76" spans="1:26" ht="15" customHeight="1">
      <c r="G76" s="4"/>
      <c r="K76" s="3"/>
      <c r="L76" s="1"/>
      <c r="M76" s="3"/>
      <c r="N76" s="3"/>
      <c r="O76" s="1"/>
      <c r="P76" s="1"/>
      <c r="Q76" s="1"/>
      <c r="R76" s="1"/>
      <c r="S76" s="78"/>
      <c r="T76" s="1"/>
      <c r="U76" s="27"/>
      <c r="W76" s="36"/>
      <c r="X76" s="136" t="s">
        <v>794</v>
      </c>
      <c r="Y76" s="36"/>
      <c r="Z76" s="36"/>
    </row>
    <row r="77" spans="1:26" s="16" customFormat="1" ht="15">
      <c r="A77" s="622" t="s">
        <v>859</v>
      </c>
      <c r="B77" s="622"/>
      <c r="C77" s="19"/>
      <c r="D77" s="19"/>
      <c r="E77" s="19"/>
      <c r="F77" s="13"/>
      <c r="G77" s="19"/>
      <c r="H77" s="19"/>
      <c r="I77" s="13"/>
      <c r="K77" s="19"/>
      <c r="L77" s="13" t="s">
        <v>446</v>
      </c>
      <c r="N77" s="19"/>
      <c r="O77" s="19"/>
      <c r="P77" s="19"/>
      <c r="Q77" s="13"/>
      <c r="R77" s="622" t="s">
        <v>1191</v>
      </c>
      <c r="S77" s="622"/>
      <c r="T77" s="622"/>
      <c r="U77" s="19"/>
      <c r="W77" s="622" t="s">
        <v>41</v>
      </c>
      <c r="X77" s="622"/>
      <c r="Y77" s="622"/>
      <c r="Z77" s="19"/>
    </row>
    <row r="78" spans="1:26" s="16" customFormat="1" ht="15">
      <c r="F78" s="18"/>
      <c r="G78" s="23"/>
      <c r="H78" s="18"/>
      <c r="I78" s="18"/>
      <c r="M78" s="18"/>
      <c r="N78" s="18"/>
      <c r="O78" s="18"/>
      <c r="P78" s="18"/>
      <c r="Q78" s="18"/>
      <c r="R78" s="18"/>
      <c r="S78" s="76"/>
      <c r="T78" s="18"/>
      <c r="U78" s="29"/>
      <c r="V78" s="18"/>
      <c r="W78" s="18"/>
      <c r="X78" s="13"/>
      <c r="Y78" s="18"/>
      <c r="Z78" s="18"/>
    </row>
    <row r="79" spans="1:26" s="16" customFormat="1" ht="15">
      <c r="F79" s="18"/>
      <c r="G79" s="23"/>
      <c r="H79" s="18"/>
      <c r="I79" s="18"/>
      <c r="M79" s="18"/>
      <c r="N79" s="18"/>
      <c r="O79" s="18"/>
      <c r="P79" s="18"/>
      <c r="Q79" s="18"/>
      <c r="R79" s="18"/>
      <c r="S79" s="76"/>
      <c r="T79" s="18"/>
      <c r="U79" s="29"/>
      <c r="V79" s="18"/>
      <c r="W79" s="18"/>
      <c r="X79" s="18"/>
      <c r="Y79" s="18"/>
      <c r="Z79" s="18"/>
    </row>
    <row r="80" spans="1:26" s="16" customFormat="1" ht="15">
      <c r="F80" s="18"/>
      <c r="G80" s="23"/>
      <c r="H80" s="18"/>
      <c r="I80" s="18"/>
      <c r="M80" s="18"/>
      <c r="N80" s="18"/>
      <c r="O80" s="18"/>
      <c r="P80" s="18"/>
      <c r="Q80" s="18"/>
      <c r="R80" s="18"/>
      <c r="S80" s="76"/>
      <c r="T80" s="18"/>
      <c r="U80" s="29"/>
      <c r="V80" s="18"/>
      <c r="W80" s="18"/>
      <c r="X80" s="18"/>
      <c r="Y80" s="18"/>
      <c r="Z80" s="18"/>
    </row>
    <row r="81" spans="1:26" s="16" customFormat="1" ht="15">
      <c r="F81" s="18"/>
      <c r="G81" s="23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76"/>
      <c r="T81" s="18"/>
      <c r="U81" s="29"/>
      <c r="V81" s="18"/>
      <c r="W81" s="18"/>
      <c r="X81" s="18"/>
      <c r="Y81" s="18"/>
      <c r="Z81" s="18"/>
    </row>
    <row r="82" spans="1:26" s="16" customFormat="1" ht="15">
      <c r="F82" s="18"/>
      <c r="G82" s="23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76"/>
      <c r="T82" s="18"/>
      <c r="U82" s="29"/>
      <c r="V82" s="18"/>
      <c r="W82" s="18"/>
      <c r="X82" s="18"/>
      <c r="Y82" s="18"/>
      <c r="Z82" s="18"/>
    </row>
    <row r="83" spans="1:26" s="16" customFormat="1" ht="15">
      <c r="F83" s="18"/>
      <c r="G83" s="23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76"/>
      <c r="T83" s="18"/>
      <c r="U83" s="29"/>
      <c r="V83" s="18"/>
      <c r="W83" s="18"/>
      <c r="X83" s="18"/>
      <c r="Y83" s="18"/>
      <c r="Z83" s="18"/>
    </row>
    <row r="84" spans="1:26" s="16" customFormat="1" ht="15">
      <c r="A84" s="622" t="s">
        <v>554</v>
      </c>
      <c r="B84" s="622"/>
      <c r="C84" s="13"/>
      <c r="D84" s="13"/>
      <c r="E84" s="13"/>
      <c r="F84" s="13"/>
      <c r="G84" s="19"/>
      <c r="H84" s="19"/>
      <c r="I84" s="13"/>
      <c r="K84" s="19"/>
      <c r="L84" s="13" t="s">
        <v>526</v>
      </c>
      <c r="N84" s="19"/>
      <c r="O84" s="19"/>
      <c r="P84" s="19"/>
      <c r="Q84" s="13"/>
      <c r="R84" s="622" t="s">
        <v>1102</v>
      </c>
      <c r="S84" s="622"/>
      <c r="T84" s="622"/>
      <c r="U84" s="19"/>
      <c r="W84" s="622" t="s">
        <v>725</v>
      </c>
      <c r="X84" s="622"/>
      <c r="Y84" s="622"/>
      <c r="Z84" s="19"/>
    </row>
    <row r="85" spans="1:26" s="16" customFormat="1" ht="15">
      <c r="A85" s="13"/>
      <c r="B85" s="13"/>
      <c r="C85" s="13"/>
      <c r="D85" s="13"/>
      <c r="E85" s="13"/>
      <c r="F85" s="13"/>
      <c r="G85" s="19"/>
      <c r="H85" s="19"/>
      <c r="I85" s="13"/>
      <c r="K85" s="19"/>
      <c r="L85" s="13"/>
      <c r="N85" s="19"/>
      <c r="O85" s="19"/>
      <c r="P85" s="19"/>
      <c r="Q85" s="13"/>
      <c r="R85" s="13"/>
      <c r="S85" s="13"/>
      <c r="T85" s="13"/>
      <c r="U85" s="19"/>
      <c r="W85" s="19"/>
      <c r="X85" s="19"/>
      <c r="Y85" s="19"/>
      <c r="Z85" s="19"/>
    </row>
    <row r="86" spans="1:26" s="16" customFormat="1" ht="15">
      <c r="A86" s="13"/>
      <c r="B86" s="13"/>
      <c r="C86" s="13"/>
      <c r="D86" s="13"/>
      <c r="E86" s="13"/>
      <c r="F86" s="13"/>
      <c r="G86" s="19"/>
      <c r="H86" s="19"/>
      <c r="I86" s="13"/>
      <c r="K86" s="19"/>
      <c r="L86" s="13"/>
      <c r="N86" s="19"/>
      <c r="O86" s="19"/>
      <c r="P86" s="19"/>
      <c r="Q86" s="13"/>
      <c r="R86" s="13"/>
      <c r="S86" s="13"/>
      <c r="T86" s="13"/>
      <c r="U86" s="19"/>
      <c r="W86" s="19"/>
      <c r="X86" s="19"/>
      <c r="Y86" s="19"/>
      <c r="Z86" s="19"/>
    </row>
    <row r="87" spans="1:26" s="16" customFormat="1" ht="15">
      <c r="A87" s="13"/>
      <c r="B87" s="13"/>
      <c r="C87" s="13"/>
      <c r="D87" s="13"/>
      <c r="E87" s="13"/>
      <c r="F87" s="13"/>
      <c r="G87" s="19"/>
      <c r="H87" s="19"/>
      <c r="I87" s="13"/>
      <c r="K87" s="19"/>
      <c r="L87" s="13"/>
      <c r="N87" s="19"/>
      <c r="O87" s="19"/>
      <c r="P87" s="19"/>
      <c r="Q87" s="13"/>
      <c r="R87" s="13"/>
      <c r="S87" s="13"/>
      <c r="T87" s="13"/>
      <c r="U87" s="19"/>
      <c r="W87" s="19"/>
      <c r="X87" s="19"/>
      <c r="Y87" s="19"/>
      <c r="Z87" s="19"/>
    </row>
    <row r="88" spans="1:26" s="16" customFormat="1" ht="15">
      <c r="A88" s="13"/>
      <c r="B88" s="13"/>
      <c r="C88" s="13"/>
      <c r="D88" s="13"/>
      <c r="E88" s="13"/>
      <c r="F88" s="13"/>
      <c r="G88" s="19"/>
      <c r="H88" s="19"/>
      <c r="I88" s="13"/>
      <c r="K88" s="19"/>
      <c r="L88" s="13"/>
      <c r="N88" s="19"/>
      <c r="O88" s="19"/>
      <c r="P88" s="19"/>
      <c r="Q88" s="13"/>
      <c r="R88" s="13"/>
      <c r="S88" s="13"/>
      <c r="T88" s="13"/>
      <c r="U88" s="19"/>
      <c r="W88" s="19"/>
      <c r="X88" s="19"/>
      <c r="Y88" s="19"/>
      <c r="Z88" s="19"/>
    </row>
    <row r="89" spans="1:26" ht="15.75">
      <c r="A89" s="6"/>
      <c r="G89" s="115"/>
      <c r="U89" s="109"/>
      <c r="X89" s="19"/>
    </row>
    <row r="90" spans="1:26" ht="14.25">
      <c r="R90" s="13"/>
    </row>
  </sheetData>
  <mergeCells count="22">
    <mergeCell ref="A84:B84"/>
    <mergeCell ref="R84:T84"/>
    <mergeCell ref="W84:Y84"/>
    <mergeCell ref="AA17:AB17"/>
    <mergeCell ref="AA26:AB26"/>
    <mergeCell ref="B72:C72"/>
    <mergeCell ref="Y72:Z72"/>
    <mergeCell ref="A77:B77"/>
    <mergeCell ref="B11:C11"/>
    <mergeCell ref="Y11:Z11"/>
    <mergeCell ref="R77:T77"/>
    <mergeCell ref="W77:Y77"/>
    <mergeCell ref="A6:Z6"/>
    <mergeCell ref="A7:Z7"/>
    <mergeCell ref="B10:C10"/>
    <mergeCell ref="Y10:Z10"/>
    <mergeCell ref="A5:Z5"/>
    <mergeCell ref="A1:L1"/>
    <mergeCell ref="M1:Z1"/>
    <mergeCell ref="A2:L2"/>
    <mergeCell ref="M2:Z2"/>
    <mergeCell ref="A3:L3"/>
  </mergeCells>
  <phoneticPr fontId="48" type="noConversion"/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B29"/>
  <sheetViews>
    <sheetView workbookViewId="0">
      <selection activeCell="E17" sqref="E17"/>
    </sheetView>
  </sheetViews>
  <sheetFormatPr defaultColWidth="10.5703125" defaultRowHeight="12.75"/>
  <cols>
    <col min="1" max="1" width="6.5703125" style="2" customWidth="1"/>
    <col min="2" max="2" width="15.42578125" style="2" customWidth="1"/>
    <col min="3" max="4" width="10.28515625" style="2" customWidth="1"/>
    <col min="5" max="5" width="23.5703125" style="2" customWidth="1"/>
    <col min="6" max="6" width="26.5703125" style="2" customWidth="1"/>
    <col min="7" max="7" width="10.5703125" style="2" customWidth="1"/>
    <col min="8" max="8" width="7.42578125" style="2" customWidth="1"/>
    <col min="9" max="9" width="9" style="2" customWidth="1"/>
    <col min="10" max="10" width="10.5703125" style="2" customWidth="1"/>
    <col min="11" max="11" width="10" style="2" customWidth="1"/>
    <col min="12" max="12" width="10.5703125" style="2" customWidth="1"/>
    <col min="13" max="13" width="7.42578125" style="2" customWidth="1"/>
    <col min="14" max="15" width="10.5703125" style="2" customWidth="1"/>
    <col min="16" max="16" width="8.42578125" style="2" customWidth="1"/>
    <col min="17" max="17" width="8.140625" style="2" customWidth="1"/>
    <col min="18" max="18" width="12.140625" style="2" customWidth="1"/>
    <col min="19" max="19" width="10.5703125" style="2" customWidth="1"/>
    <col min="20" max="20" width="8.85546875" style="2" customWidth="1"/>
    <col min="21" max="21" width="8" style="2" customWidth="1"/>
    <col min="22" max="22" width="10.5703125" style="2" customWidth="1"/>
    <col min="23" max="23" width="9.140625" style="2" customWidth="1"/>
    <col min="24" max="24" width="10.5703125" style="2" customWidth="1"/>
    <col min="25" max="25" width="10.7109375" style="2" customWidth="1"/>
    <col min="26" max="26" width="5.28515625" style="2" customWidth="1"/>
    <col min="27" max="27" width="15.28515625" style="2" customWidth="1"/>
    <col min="28" max="16384" width="10.5703125" style="2"/>
  </cols>
  <sheetData>
    <row r="1" spans="1:28" ht="15">
      <c r="A1" s="624" t="s">
        <v>492</v>
      </c>
      <c r="B1" s="624"/>
      <c r="C1" s="624"/>
      <c r="D1" s="624"/>
      <c r="E1" s="624"/>
      <c r="F1" s="624"/>
      <c r="G1" s="624"/>
      <c r="H1" s="624"/>
      <c r="I1" s="624"/>
      <c r="J1" s="624"/>
      <c r="K1" s="624"/>
      <c r="L1" s="624"/>
      <c r="M1" s="624"/>
      <c r="N1" s="622" t="s">
        <v>849</v>
      </c>
      <c r="O1" s="622"/>
      <c r="P1" s="622"/>
      <c r="Q1" s="622"/>
      <c r="R1" s="622"/>
      <c r="S1" s="622"/>
      <c r="T1" s="622"/>
      <c r="U1" s="622"/>
      <c r="V1" s="622"/>
      <c r="W1" s="622"/>
      <c r="X1" s="622"/>
      <c r="Y1" s="622"/>
      <c r="Z1" s="622"/>
      <c r="AA1" s="622"/>
    </row>
    <row r="2" spans="1:28" ht="14.25">
      <c r="A2" s="622" t="s">
        <v>850</v>
      </c>
      <c r="B2" s="622"/>
      <c r="C2" s="622"/>
      <c r="D2" s="622"/>
      <c r="E2" s="622"/>
      <c r="F2" s="622"/>
      <c r="G2" s="622"/>
      <c r="H2" s="622"/>
      <c r="I2" s="622"/>
      <c r="J2" s="622"/>
      <c r="K2" s="622"/>
      <c r="L2" s="622"/>
      <c r="M2" s="622"/>
      <c r="N2" s="646" t="s">
        <v>851</v>
      </c>
      <c r="O2" s="646"/>
      <c r="P2" s="646"/>
      <c r="Q2" s="646"/>
      <c r="R2" s="646"/>
      <c r="S2" s="646"/>
      <c r="T2" s="646"/>
      <c r="U2" s="646"/>
      <c r="V2" s="646"/>
      <c r="W2" s="646"/>
      <c r="X2" s="646"/>
      <c r="Y2" s="646"/>
      <c r="Z2" s="646"/>
      <c r="AA2" s="646"/>
    </row>
    <row r="3" spans="1:28" ht="14.25">
      <c r="A3" s="646" t="s">
        <v>852</v>
      </c>
      <c r="B3" s="646"/>
      <c r="C3" s="646"/>
      <c r="D3" s="646"/>
      <c r="E3" s="646"/>
      <c r="F3" s="646"/>
      <c r="G3" s="646"/>
      <c r="H3" s="646"/>
      <c r="I3" s="646"/>
      <c r="J3" s="646"/>
      <c r="K3" s="646"/>
      <c r="L3" s="646"/>
      <c r="M3" s="646"/>
      <c r="N3" s="3"/>
      <c r="O3" s="3"/>
      <c r="P3" s="1"/>
      <c r="Q3" s="1"/>
      <c r="R3" s="1"/>
      <c r="S3" s="1"/>
      <c r="T3" s="1"/>
      <c r="U3" s="1"/>
      <c r="V3" s="1"/>
      <c r="W3" s="1"/>
      <c r="X3" s="1"/>
      <c r="Y3" s="3"/>
    </row>
    <row r="4" spans="1:28" ht="13.5" customHeight="1">
      <c r="K4" s="1"/>
      <c r="L4" s="1"/>
      <c r="M4" s="1"/>
      <c r="N4" s="3"/>
      <c r="O4" s="3"/>
      <c r="P4" s="1"/>
      <c r="Q4" s="1"/>
      <c r="R4" s="1"/>
      <c r="S4" s="1"/>
      <c r="T4" s="1"/>
      <c r="U4" s="1"/>
      <c r="V4" s="1"/>
      <c r="W4" s="1"/>
      <c r="X4" s="1"/>
      <c r="Y4" s="3"/>
    </row>
    <row r="5" spans="1:28" ht="15.75">
      <c r="A5" s="625" t="s">
        <v>788</v>
      </c>
      <c r="B5" s="625"/>
      <c r="C5" s="625"/>
      <c r="D5" s="625"/>
      <c r="E5" s="625"/>
      <c r="F5" s="625"/>
      <c r="G5" s="625"/>
      <c r="H5" s="625"/>
      <c r="I5" s="625"/>
      <c r="J5" s="625"/>
      <c r="K5" s="625"/>
      <c r="L5" s="625"/>
      <c r="M5" s="625"/>
      <c r="N5" s="625"/>
      <c r="O5" s="625"/>
      <c r="P5" s="625"/>
      <c r="Q5" s="625"/>
      <c r="R5" s="625"/>
      <c r="S5" s="625"/>
      <c r="T5" s="625"/>
      <c r="U5" s="625"/>
      <c r="V5" s="625"/>
      <c r="W5" s="625"/>
      <c r="X5" s="625"/>
      <c r="Y5" s="625"/>
      <c r="Z5" s="625"/>
      <c r="AA5" s="625"/>
    </row>
    <row r="6" spans="1:28" ht="15.75">
      <c r="A6" s="625" t="s">
        <v>1136</v>
      </c>
      <c r="B6" s="625"/>
      <c r="C6" s="625"/>
      <c r="D6" s="625"/>
      <c r="E6" s="625"/>
      <c r="F6" s="625"/>
      <c r="G6" s="625"/>
      <c r="H6" s="625"/>
      <c r="I6" s="625"/>
      <c r="J6" s="625"/>
      <c r="K6" s="625"/>
      <c r="L6" s="625"/>
      <c r="M6" s="625"/>
      <c r="N6" s="625"/>
      <c r="O6" s="625"/>
      <c r="P6" s="625"/>
      <c r="Q6" s="625"/>
      <c r="R6" s="625"/>
      <c r="S6" s="625"/>
      <c r="T6" s="625"/>
      <c r="U6" s="625"/>
      <c r="V6" s="625"/>
      <c r="W6" s="625"/>
      <c r="X6" s="625"/>
      <c r="Y6" s="625"/>
      <c r="Z6" s="625"/>
      <c r="AA6" s="625"/>
    </row>
    <row r="7" spans="1:28" ht="34.5" customHeight="1">
      <c r="A7" s="643" t="s">
        <v>833</v>
      </c>
      <c r="B7" s="625"/>
      <c r="C7" s="625"/>
      <c r="D7" s="625"/>
      <c r="E7" s="625"/>
      <c r="F7" s="625"/>
      <c r="G7" s="625"/>
      <c r="H7" s="625"/>
      <c r="I7" s="625"/>
      <c r="J7" s="625"/>
      <c r="K7" s="625"/>
      <c r="L7" s="625"/>
      <c r="M7" s="625"/>
      <c r="N7" s="625"/>
      <c r="O7" s="625"/>
      <c r="P7" s="625"/>
      <c r="Q7" s="625"/>
      <c r="R7" s="625"/>
      <c r="S7" s="625"/>
      <c r="T7" s="625"/>
      <c r="U7" s="625"/>
      <c r="V7" s="625"/>
      <c r="W7" s="625"/>
      <c r="X7" s="625"/>
      <c r="Y7" s="625"/>
      <c r="Z7" s="625"/>
      <c r="AA7" s="625"/>
    </row>
    <row r="8" spans="1:28" ht="11.25" customHeight="1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</row>
    <row r="9" spans="1:28" s="16" customFormat="1" ht="15">
      <c r="A9" s="18"/>
      <c r="B9" s="43" t="s">
        <v>557</v>
      </c>
      <c r="C9" s="43"/>
      <c r="D9" s="43"/>
      <c r="E9" s="43"/>
      <c r="F9" s="43"/>
      <c r="G9" s="43"/>
      <c r="H9" s="43"/>
      <c r="I9" s="44">
        <v>1050000</v>
      </c>
      <c r="J9" s="43"/>
      <c r="K9" s="43"/>
      <c r="L9" s="43"/>
      <c r="M9" s="43"/>
      <c r="N9" s="47" t="s">
        <v>1195</v>
      </c>
      <c r="O9" s="13"/>
      <c r="P9" s="645" t="s">
        <v>834</v>
      </c>
      <c r="Q9" s="645"/>
      <c r="R9" s="645"/>
      <c r="S9" s="645"/>
      <c r="T9" s="645"/>
      <c r="U9" s="645"/>
      <c r="V9" s="28"/>
      <c r="W9" s="28" t="s">
        <v>1181</v>
      </c>
      <c r="X9" s="28"/>
      <c r="Y9" s="17"/>
      <c r="Z9" s="18"/>
      <c r="AA9" s="18"/>
    </row>
    <row r="10" spans="1:28">
      <c r="A10" s="1"/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3"/>
      <c r="Z10" s="1"/>
      <c r="AA10" s="1"/>
    </row>
    <row r="11" spans="1:28" s="114" customFormat="1" ht="78.75">
      <c r="A11" s="8" t="s">
        <v>853</v>
      </c>
      <c r="B11" s="648" t="s">
        <v>854</v>
      </c>
      <c r="C11" s="648"/>
      <c r="D11" s="8"/>
      <c r="E11" s="82" t="s">
        <v>51</v>
      </c>
      <c r="F11" s="82" t="s">
        <v>50</v>
      </c>
      <c r="G11" s="69" t="s">
        <v>1137</v>
      </c>
      <c r="H11" s="70" t="s">
        <v>1138</v>
      </c>
      <c r="I11" s="71" t="s">
        <v>1139</v>
      </c>
      <c r="J11" s="69" t="s">
        <v>1140</v>
      </c>
      <c r="K11" s="9" t="s">
        <v>855</v>
      </c>
      <c r="L11" s="69" t="s">
        <v>1141</v>
      </c>
      <c r="M11" s="9" t="s">
        <v>860</v>
      </c>
      <c r="N11" s="31" t="s">
        <v>1186</v>
      </c>
      <c r="O11" s="45" t="s">
        <v>47</v>
      </c>
      <c r="P11" s="31" t="s">
        <v>861</v>
      </c>
      <c r="Q11" s="31" t="s">
        <v>857</v>
      </c>
      <c r="R11" s="45" t="s">
        <v>1182</v>
      </c>
      <c r="S11" s="31" t="s">
        <v>1187</v>
      </c>
      <c r="T11" s="46" t="s">
        <v>1183</v>
      </c>
      <c r="U11" s="31" t="s">
        <v>1188</v>
      </c>
      <c r="V11" s="46" t="s">
        <v>1184</v>
      </c>
      <c r="W11" s="31" t="s">
        <v>1189</v>
      </c>
      <c r="X11" s="31" t="s">
        <v>1190</v>
      </c>
      <c r="Y11" s="8" t="s">
        <v>1100</v>
      </c>
      <c r="Z11" s="648" t="s">
        <v>40</v>
      </c>
      <c r="AA11" s="648"/>
    </row>
    <row r="12" spans="1:28" s="114" customFormat="1">
      <c r="A12" s="24" t="s">
        <v>1110</v>
      </c>
      <c r="B12" s="659" t="s">
        <v>1111</v>
      </c>
      <c r="C12" s="659"/>
      <c r="D12" s="24"/>
      <c r="E12" s="24"/>
      <c r="F12" s="32"/>
      <c r="G12" s="72" t="s">
        <v>1112</v>
      </c>
      <c r="H12" s="72" t="s">
        <v>1113</v>
      </c>
      <c r="I12" s="72" t="s">
        <v>1114</v>
      </c>
      <c r="J12" s="72" t="s">
        <v>1115</v>
      </c>
      <c r="K12" s="24" t="s">
        <v>1112</v>
      </c>
      <c r="L12" s="72" t="s">
        <v>1117</v>
      </c>
      <c r="M12" s="24" t="s">
        <v>1113</v>
      </c>
      <c r="N12" s="24" t="s">
        <v>1114</v>
      </c>
      <c r="O12" s="72" t="s">
        <v>1120</v>
      </c>
      <c r="P12" s="24" t="s">
        <v>1115</v>
      </c>
      <c r="Q12" s="24" t="s">
        <v>1116</v>
      </c>
      <c r="R12" s="72" t="s">
        <v>1123</v>
      </c>
      <c r="S12" s="24" t="s">
        <v>1117</v>
      </c>
      <c r="T12" s="74" t="s">
        <v>1125</v>
      </c>
      <c r="U12" s="24" t="s">
        <v>1118</v>
      </c>
      <c r="V12" s="74" t="s">
        <v>1127</v>
      </c>
      <c r="W12" s="24">
        <v>10</v>
      </c>
      <c r="X12" s="24">
        <v>11</v>
      </c>
      <c r="Y12" s="24">
        <v>12</v>
      </c>
      <c r="Z12" s="659" t="s">
        <v>1122</v>
      </c>
      <c r="AA12" s="659"/>
      <c r="AB12" s="165"/>
    </row>
    <row r="13" spans="1:28" s="113" customFormat="1" ht="22.5" customHeight="1">
      <c r="A13" s="63" t="s">
        <v>1110</v>
      </c>
      <c r="B13" s="64" t="s">
        <v>862</v>
      </c>
      <c r="C13" s="183" t="s">
        <v>863</v>
      </c>
      <c r="D13" s="183"/>
      <c r="E13" s="184" t="s">
        <v>258</v>
      </c>
      <c r="F13" s="81" t="s">
        <v>9</v>
      </c>
      <c r="G13" s="174">
        <v>6.1</v>
      </c>
      <c r="H13" s="174"/>
      <c r="I13" s="59">
        <f>G13+(G13*H13)</f>
        <v>6.1</v>
      </c>
      <c r="J13" s="174">
        <v>0.45</v>
      </c>
      <c r="K13" s="54">
        <f>I13+J13</f>
        <v>6.55</v>
      </c>
      <c r="L13" s="60">
        <f>K13*$I$9</f>
        <v>6877500</v>
      </c>
      <c r="M13" s="333" t="s">
        <v>858</v>
      </c>
      <c r="N13" s="60">
        <f>IF(M13="A",L13*0.5,IF(M13="B",L13*0.3,IF(M13="C",L13*0.1,0)))</f>
        <v>3438750</v>
      </c>
      <c r="O13" s="60">
        <f>IF(M13="A",1050000,IF(M13="B",735000,IF(M13="C",514500,0)))</f>
        <v>1050000</v>
      </c>
      <c r="P13" s="54">
        <v>21</v>
      </c>
      <c r="Q13" s="272">
        <v>19</v>
      </c>
      <c r="R13" s="175">
        <f>IF(N13&gt;O13,N13,O13)</f>
        <v>3438750</v>
      </c>
      <c r="S13" s="60">
        <f>IF(Q13&gt;=P13,R13,R13/P13*Q13)</f>
        <v>3111250</v>
      </c>
      <c r="T13" s="176"/>
      <c r="U13" s="60">
        <f>T13*$I$9*0.42</f>
        <v>0</v>
      </c>
      <c r="V13" s="106"/>
      <c r="W13" s="60">
        <f>V13*$I$9*0.42</f>
        <v>0</v>
      </c>
      <c r="X13" s="60">
        <f>(K13*$I$9*0.01)+(T13*1%*$I$9)+(V13*1%*$I$9)</f>
        <v>68775</v>
      </c>
      <c r="Y13" s="61">
        <f>S13+U13+W13+X13</f>
        <v>3180025</v>
      </c>
      <c r="Z13" s="65" t="str">
        <f>A13</f>
        <v>01</v>
      </c>
      <c r="AA13" s="177"/>
      <c r="AB13" s="178"/>
    </row>
    <row r="14" spans="1:28" s="113" customFormat="1" ht="22.5" customHeight="1">
      <c r="A14" s="22" t="s">
        <v>1111</v>
      </c>
      <c r="B14" s="37" t="s">
        <v>864</v>
      </c>
      <c r="C14" s="155" t="s">
        <v>865</v>
      </c>
      <c r="D14" s="155"/>
      <c r="E14" s="67" t="s">
        <v>259</v>
      </c>
      <c r="F14" s="80" t="s">
        <v>10</v>
      </c>
      <c r="G14" s="179">
        <v>2.06</v>
      </c>
      <c r="H14" s="179"/>
      <c r="I14" s="86">
        <f>G14+(G14*H14)</f>
        <v>2.06</v>
      </c>
      <c r="J14" s="179"/>
      <c r="K14" s="10">
        <f>I14+J14</f>
        <v>2.06</v>
      </c>
      <c r="L14" s="34">
        <f>K14*$I$9</f>
        <v>2163000</v>
      </c>
      <c r="M14" s="191" t="s">
        <v>858</v>
      </c>
      <c r="N14" s="34">
        <f>IF(M14="A",L14*0.5,IF(M14="B",L14*0.3,IF(M14="C",L14*0.1,0)))</f>
        <v>1081500</v>
      </c>
      <c r="O14" s="34">
        <f>IF(M14="A",1050000,IF(M14="B",735000,IF(M14="C",514500,0)))</f>
        <v>1050000</v>
      </c>
      <c r="P14" s="10">
        <v>21</v>
      </c>
      <c r="Q14" s="273">
        <v>21</v>
      </c>
      <c r="R14" s="180">
        <f>IF(N14&gt;O14,N14,O14)</f>
        <v>1081500</v>
      </c>
      <c r="S14" s="34">
        <f>IF(Q14&gt;=P14,R14,R14/P14*Q14)</f>
        <v>1081500</v>
      </c>
      <c r="T14" s="181"/>
      <c r="U14" s="34">
        <f>T14*$I$9*0.42</f>
        <v>0</v>
      </c>
      <c r="V14" s="79"/>
      <c r="W14" s="34">
        <f>V14*$I$9*0.42</f>
        <v>0</v>
      </c>
      <c r="X14" s="34">
        <f>(K14*$I$9*0.01)+(T14*1%*$I$9)+(V14*1%*$I$9)</f>
        <v>21630</v>
      </c>
      <c r="Y14" s="51">
        <f>S14+U14+W14+X14</f>
        <v>1103130</v>
      </c>
      <c r="Z14" s="11" t="str">
        <f>A14</f>
        <v>02</v>
      </c>
      <c r="AA14" s="118"/>
    </row>
    <row r="15" spans="1:28" s="113" customFormat="1" ht="22.5" customHeight="1">
      <c r="A15" s="22" t="s">
        <v>1112</v>
      </c>
      <c r="B15" s="37" t="s">
        <v>1180</v>
      </c>
      <c r="C15" s="155" t="s">
        <v>1178</v>
      </c>
      <c r="D15" s="155"/>
      <c r="E15" s="67" t="s">
        <v>260</v>
      </c>
      <c r="F15" s="80" t="s">
        <v>11</v>
      </c>
      <c r="G15" s="179">
        <v>1.86</v>
      </c>
      <c r="H15" s="179"/>
      <c r="I15" s="86">
        <f>G15+(G15*H15)</f>
        <v>1.86</v>
      </c>
      <c r="J15" s="179">
        <v>0</v>
      </c>
      <c r="K15" s="10">
        <f>I15+J15</f>
        <v>1.86</v>
      </c>
      <c r="L15" s="34">
        <f>K15*$I$9</f>
        <v>1953000</v>
      </c>
      <c r="M15" s="191" t="s">
        <v>858</v>
      </c>
      <c r="N15" s="34">
        <f>IF(M15="A",L15*0.5,IF(M15="B",L15*0.3,IF(M15="C",L15*0.1,0)))</f>
        <v>976500</v>
      </c>
      <c r="O15" s="34">
        <f>IF(M15="A",1050000,IF(M15="B",735000,IF(M15="C",514500,0)))</f>
        <v>1050000</v>
      </c>
      <c r="P15" s="10">
        <v>21</v>
      </c>
      <c r="Q15" s="252">
        <v>21</v>
      </c>
      <c r="R15" s="180">
        <f>IF(N15&gt;O15,N15,O15)</f>
        <v>1050000</v>
      </c>
      <c r="S15" s="34">
        <f>IF(Q15&gt;=P15,R15,R15/P15*Q15)</f>
        <v>1050000</v>
      </c>
      <c r="T15" s="181"/>
      <c r="U15" s="34">
        <f>T15*$I$9*0.42</f>
        <v>0</v>
      </c>
      <c r="V15" s="79"/>
      <c r="W15" s="34">
        <f>V15*$I$9*0.42</f>
        <v>0</v>
      </c>
      <c r="X15" s="34">
        <f>(K15*$I$9*0.01)+(T15*1%*$I$9)+(V15*1%*$I$9)</f>
        <v>19530</v>
      </c>
      <c r="Y15" s="51">
        <f>S15+U15+W15+X15</f>
        <v>1069530</v>
      </c>
      <c r="Z15" s="11" t="str">
        <f>A15</f>
        <v>03</v>
      </c>
      <c r="AA15" s="131"/>
    </row>
    <row r="16" spans="1:28" s="113" customFormat="1" ht="22.5" customHeight="1">
      <c r="A16" s="42" t="s">
        <v>1113</v>
      </c>
      <c r="B16" s="66" t="s">
        <v>1179</v>
      </c>
      <c r="C16" s="261" t="s">
        <v>987</v>
      </c>
      <c r="D16" s="261"/>
      <c r="E16" s="248" t="s">
        <v>261</v>
      </c>
      <c r="F16" s="262" t="s">
        <v>12</v>
      </c>
      <c r="G16" s="263">
        <v>2.06</v>
      </c>
      <c r="H16" s="263"/>
      <c r="I16" s="89">
        <f>G16+(G16*H16)</f>
        <v>2.06</v>
      </c>
      <c r="J16" s="263">
        <v>0</v>
      </c>
      <c r="K16" s="39">
        <v>2.2599999999999998</v>
      </c>
      <c r="L16" s="35">
        <f>K16*$I$9</f>
        <v>2373000</v>
      </c>
      <c r="M16" s="332" t="s">
        <v>858</v>
      </c>
      <c r="N16" s="35">
        <f>IF(M16="A",L16*0.5,IF(M16="B",L16*0.3,IF(M16="C",L16*0.1,0)))</f>
        <v>1186500</v>
      </c>
      <c r="O16" s="35">
        <f>IF(M16="A",1050000,IF(M16="B",735000,IF(M16="C",514500,0)))</f>
        <v>1050000</v>
      </c>
      <c r="P16" s="10">
        <v>21</v>
      </c>
      <c r="Q16" s="254">
        <v>16</v>
      </c>
      <c r="R16" s="182">
        <f>IF(N16&gt;O16,N16,O16)</f>
        <v>1186500</v>
      </c>
      <c r="S16" s="34">
        <f>IF(Q16&gt;=P16,R16,R16/P16*Q16)</f>
        <v>904000</v>
      </c>
      <c r="T16" s="264"/>
      <c r="U16" s="35">
        <f>T16*$I$9*0.42</f>
        <v>0</v>
      </c>
      <c r="V16" s="120"/>
      <c r="W16" s="35">
        <f>V16*$I$9*0.42</f>
        <v>0</v>
      </c>
      <c r="X16" s="34">
        <f>(K16*$I$9*0.01)+(T16*1%*$I$9)+(V16*1%*$I$9)</f>
        <v>23730</v>
      </c>
      <c r="Y16" s="51">
        <f>S16+U16+W16+X16</f>
        <v>927730</v>
      </c>
      <c r="Z16" s="20" t="str">
        <f>A16</f>
        <v>04</v>
      </c>
      <c r="AA16" s="265"/>
    </row>
    <row r="17" spans="1:27" s="21" customFormat="1" ht="20.25" customHeight="1">
      <c r="A17" s="55"/>
      <c r="B17" s="658" t="s">
        <v>866</v>
      </c>
      <c r="C17" s="658"/>
      <c r="D17" s="55"/>
      <c r="E17" s="55"/>
      <c r="F17" s="55"/>
      <c r="G17" s="55">
        <f>SUM(G13:G16)</f>
        <v>12.08</v>
      </c>
      <c r="H17" s="55">
        <f>SUM(H13:H16)</f>
        <v>0</v>
      </c>
      <c r="I17" s="55">
        <f>SUM(I13:I16)</f>
        <v>12.08</v>
      </c>
      <c r="J17" s="55">
        <f>SUM(J13:J16)</f>
        <v>0.45</v>
      </c>
      <c r="K17" s="55">
        <f>SUM(K13:K16)</f>
        <v>12.729999999999999</v>
      </c>
      <c r="L17" s="73">
        <f>K17*$I$9</f>
        <v>13366499.999999998</v>
      </c>
      <c r="M17" s="56"/>
      <c r="N17" s="57">
        <f>SUM(N13:N16)</f>
        <v>6683250</v>
      </c>
      <c r="O17" s="53"/>
      <c r="P17" s="55">
        <f>SUM(P13:P16)</f>
        <v>84</v>
      </c>
      <c r="Q17" s="55">
        <f>SUM(Q13:Q16)</f>
        <v>77</v>
      </c>
      <c r="R17" s="73"/>
      <c r="S17" s="57">
        <f t="shared" ref="S17:X17" si="0">SUM(S13:S16)</f>
        <v>6146750</v>
      </c>
      <c r="T17" s="75">
        <f t="shared" si="0"/>
        <v>0</v>
      </c>
      <c r="U17" s="57">
        <f t="shared" si="0"/>
        <v>0</v>
      </c>
      <c r="V17" s="75">
        <f t="shared" si="0"/>
        <v>0</v>
      </c>
      <c r="W17" s="57">
        <f t="shared" si="0"/>
        <v>0</v>
      </c>
      <c r="X17" s="57">
        <f t="shared" si="0"/>
        <v>133665</v>
      </c>
      <c r="Y17" s="170">
        <f>SUM(Y13:Y16)</f>
        <v>6280415</v>
      </c>
      <c r="Z17" s="110"/>
      <c r="AA17" s="116"/>
    </row>
    <row r="18" spans="1:27">
      <c r="K18" s="1"/>
      <c r="L18" s="1"/>
      <c r="M18" s="1"/>
      <c r="N18" s="3"/>
      <c r="O18" s="3"/>
      <c r="P18" s="1"/>
      <c r="Q18" s="1"/>
      <c r="R18" s="1"/>
      <c r="S18" s="1"/>
      <c r="T18" s="1"/>
      <c r="U18" s="1"/>
      <c r="V18" s="1"/>
      <c r="W18" s="1"/>
      <c r="X18" s="1"/>
      <c r="Y18" s="3"/>
    </row>
    <row r="19" spans="1:27" s="16" customFormat="1" ht="21" customHeight="1">
      <c r="B19" s="40" t="e">
        <f ca="1">"Số tiền bằng chữ: "&amp;[4]!DocSoUniH(Y17)&amp;" đồng."</f>
        <v>#NAME?</v>
      </c>
      <c r="C19" s="19"/>
      <c r="D19" s="19"/>
      <c r="E19" s="19"/>
      <c r="F19" s="19"/>
      <c r="G19" s="15"/>
      <c r="H19" s="15"/>
      <c r="I19" s="15"/>
      <c r="J19" s="15"/>
      <c r="K19" s="111"/>
      <c r="L19" s="17"/>
      <c r="M19" s="18"/>
      <c r="N19" s="17"/>
      <c r="O19" s="17"/>
      <c r="P19" s="18"/>
      <c r="Q19" s="18"/>
      <c r="R19" s="18"/>
      <c r="S19" s="18"/>
      <c r="T19" s="18"/>
      <c r="U19" s="18"/>
      <c r="V19" s="18"/>
      <c r="W19" s="18"/>
      <c r="X19" s="18"/>
      <c r="Y19" s="48"/>
    </row>
    <row r="20" spans="1:27" ht="15.75">
      <c r="Y20" s="136" t="s">
        <v>787</v>
      </c>
    </row>
    <row r="21" spans="1:27" s="16" customFormat="1" ht="15">
      <c r="A21" s="622" t="s">
        <v>859</v>
      </c>
      <c r="B21" s="622"/>
      <c r="C21" s="19"/>
      <c r="D21" s="19"/>
      <c r="E21" s="19"/>
      <c r="F21" s="19"/>
      <c r="G21" s="19"/>
      <c r="H21" s="19"/>
      <c r="I21" s="19"/>
      <c r="J21" s="19"/>
      <c r="L21" s="19"/>
      <c r="M21" s="13" t="s">
        <v>447</v>
      </c>
      <c r="O21" s="19"/>
      <c r="P21" s="19"/>
      <c r="Q21" s="622" t="s">
        <v>1191</v>
      </c>
      <c r="R21" s="622"/>
      <c r="S21" s="622"/>
      <c r="T21" s="622"/>
      <c r="U21" s="622"/>
      <c r="V21" s="19"/>
      <c r="X21" s="622" t="s">
        <v>41</v>
      </c>
      <c r="Y21" s="622"/>
      <c r="Z21" s="622"/>
      <c r="AA21" s="19"/>
    </row>
    <row r="22" spans="1:27" s="16" customFormat="1" ht="15">
      <c r="H22" s="23"/>
      <c r="I22" s="18"/>
      <c r="N22" s="18"/>
      <c r="O22" s="18"/>
      <c r="P22" s="18"/>
      <c r="Q22" s="18"/>
      <c r="R22" s="18"/>
      <c r="S22" s="18"/>
      <c r="T22" s="29"/>
      <c r="U22" s="18"/>
      <c r="V22" s="29"/>
      <c r="W22" s="18"/>
      <c r="X22" s="18"/>
      <c r="Y22" s="13"/>
      <c r="Z22" s="18"/>
      <c r="AA22" s="18"/>
    </row>
    <row r="23" spans="1:27" s="16" customFormat="1" ht="15">
      <c r="H23" s="23"/>
      <c r="I23" s="18"/>
      <c r="N23" s="18"/>
      <c r="O23" s="18"/>
      <c r="P23" s="18"/>
      <c r="Q23" s="18"/>
      <c r="R23" s="18"/>
      <c r="S23" s="18"/>
      <c r="T23" s="29"/>
      <c r="U23" s="18"/>
      <c r="V23" s="29"/>
      <c r="W23" s="18"/>
      <c r="X23" s="18"/>
      <c r="Y23" s="18"/>
      <c r="Z23" s="18"/>
      <c r="AA23" s="18"/>
    </row>
    <row r="24" spans="1:27" s="16" customFormat="1" ht="15">
      <c r="H24" s="23"/>
      <c r="I24" s="18"/>
      <c r="N24" s="18"/>
      <c r="O24" s="18"/>
      <c r="P24" s="18"/>
      <c r="Q24" s="18"/>
      <c r="R24" s="18"/>
      <c r="S24" s="18"/>
      <c r="T24" s="29"/>
      <c r="U24" s="18"/>
      <c r="V24" s="29"/>
      <c r="W24" s="18"/>
      <c r="X24" s="18"/>
      <c r="Y24" s="18"/>
      <c r="Z24" s="18"/>
      <c r="AA24" s="18"/>
    </row>
    <row r="25" spans="1:27" s="16" customFormat="1" ht="6.75" customHeight="1">
      <c r="H25" s="23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29"/>
      <c r="U25" s="18"/>
      <c r="V25" s="29"/>
      <c r="W25" s="18"/>
      <c r="X25" s="18"/>
      <c r="Y25" s="18"/>
      <c r="Z25" s="18"/>
      <c r="AA25" s="18"/>
    </row>
    <row r="26" spans="1:27" s="16" customFormat="1" ht="15">
      <c r="H26" s="23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29"/>
      <c r="U26" s="18"/>
      <c r="V26" s="29"/>
      <c r="W26" s="18"/>
      <c r="X26" s="18"/>
      <c r="Y26" s="18"/>
      <c r="Z26" s="18"/>
      <c r="AA26" s="18"/>
    </row>
    <row r="27" spans="1:27" s="16" customFormat="1" ht="15">
      <c r="H27" s="23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29"/>
      <c r="U27" s="18"/>
      <c r="V27" s="29"/>
      <c r="W27" s="18"/>
      <c r="X27" s="18"/>
      <c r="Y27" s="18"/>
      <c r="Z27" s="18"/>
      <c r="AA27" s="18"/>
    </row>
    <row r="28" spans="1:27" s="16" customFormat="1" ht="15">
      <c r="A28" s="622" t="s">
        <v>554</v>
      </c>
      <c r="B28" s="622"/>
      <c r="C28" s="13"/>
      <c r="D28" s="13"/>
      <c r="E28" s="13"/>
      <c r="F28" s="13"/>
      <c r="G28" s="14"/>
      <c r="H28" s="19"/>
      <c r="I28" s="19"/>
      <c r="J28" s="19"/>
      <c r="L28" s="19"/>
      <c r="M28" s="13" t="s">
        <v>526</v>
      </c>
      <c r="O28" s="19"/>
      <c r="P28" s="19"/>
      <c r="Q28" s="622" t="s">
        <v>1102</v>
      </c>
      <c r="R28" s="622"/>
      <c r="S28" s="622"/>
      <c r="T28" s="622"/>
      <c r="U28" s="622"/>
      <c r="V28" s="19"/>
      <c r="X28" s="622" t="s">
        <v>725</v>
      </c>
      <c r="Y28" s="622"/>
      <c r="Z28" s="622"/>
      <c r="AA28" s="19"/>
    </row>
    <row r="29" spans="1:27" ht="15.75">
      <c r="A29" s="6"/>
      <c r="H29" s="115"/>
      <c r="T29" s="109"/>
      <c r="V29" s="109"/>
    </row>
  </sheetData>
  <mergeCells count="20">
    <mergeCell ref="P9:U9"/>
    <mergeCell ref="B11:C11"/>
    <mergeCell ref="Z11:AA11"/>
    <mergeCell ref="A28:B28"/>
    <mergeCell ref="Q28:U28"/>
    <mergeCell ref="X28:Z28"/>
    <mergeCell ref="B17:C17"/>
    <mergeCell ref="A21:B21"/>
    <mergeCell ref="Q21:U21"/>
    <mergeCell ref="X21:Z21"/>
    <mergeCell ref="B12:C12"/>
    <mergeCell ref="Z12:AA12"/>
    <mergeCell ref="A5:AA5"/>
    <mergeCell ref="A6:AA6"/>
    <mergeCell ref="A7:AA7"/>
    <mergeCell ref="A1:M1"/>
    <mergeCell ref="N1:AA1"/>
    <mergeCell ref="A2:M2"/>
    <mergeCell ref="N2:AA2"/>
    <mergeCell ref="A3:M3"/>
  </mergeCells>
  <phoneticPr fontId="48" type="noConversion"/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B8"/>
  <sheetViews>
    <sheetView workbookViewId="0">
      <selection activeCell="E42" sqref="E42"/>
    </sheetView>
  </sheetViews>
  <sheetFormatPr defaultRowHeight="12.75"/>
  <cols>
    <col min="2" max="2" width="12.7109375" bestFit="1" customWidth="1"/>
  </cols>
  <sheetData>
    <row r="4" spans="2:2">
      <c r="B4" s="494"/>
    </row>
    <row r="5" spans="2:2">
      <c r="B5" s="494"/>
    </row>
    <row r="6" spans="2:2">
      <c r="B6" s="494">
        <f>CN!V279</f>
        <v>2271754974</v>
      </c>
    </row>
    <row r="7" spans="2:2">
      <c r="B7" s="494">
        <f>NH!V15</f>
        <v>0</v>
      </c>
    </row>
    <row r="8" spans="2:2">
      <c r="B8" s="494">
        <f>SUM(B5:B7)</f>
        <v>2271754974</v>
      </c>
    </row>
  </sheetData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3</vt:i4>
      </vt:variant>
    </vt:vector>
  </HeadingPairs>
  <TitlesOfParts>
    <vt:vector size="10" baseType="lpstr">
      <vt:lpstr>CN</vt:lpstr>
      <vt:lpstr>NH</vt:lpstr>
      <vt:lpstr>CN mới</vt:lpstr>
      <vt:lpstr>THPT mới</vt:lpstr>
      <vt:lpstr>NH mới</vt:lpstr>
      <vt:lpstr>Sheet1</vt:lpstr>
      <vt:lpstr>Sheet2</vt:lpstr>
      <vt:lpstr>CN!Print_Area</vt:lpstr>
      <vt:lpstr>NH!Print_Area</vt:lpstr>
      <vt:lpstr>CN!Print_Titles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Windows User</cp:lastModifiedBy>
  <cp:lastPrinted>2024-01-10T04:01:51Z</cp:lastPrinted>
  <dcterms:created xsi:type="dcterms:W3CDTF">2007-10-05T01:09:12Z</dcterms:created>
  <dcterms:modified xsi:type="dcterms:W3CDTF">2024-01-12T09:42:44Z</dcterms:modified>
</cp:coreProperties>
</file>